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/>
  <xr:revisionPtr revIDLastSave="0" documentId="13_ncr:1_{E5EC43CD-7238-4E86-A793-455CB15C3B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Y23 Template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'FY23 Template'!$B$1:$G$69</definedName>
    <definedName name="Show.Acct.Update.Warning" hidden="1">#REF!</definedName>
    <definedName name="Show.MDB.Update.Warning" hidden="1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" i="1" l="1"/>
  <c r="M29" i="1"/>
  <c r="L29" i="1"/>
  <c r="K29" i="1"/>
  <c r="E24" i="1"/>
  <c r="G8" i="1"/>
  <c r="G5" i="1"/>
  <c r="D12" i="1"/>
  <c r="F35" i="1"/>
  <c r="E35" i="1"/>
  <c r="D29" i="1"/>
  <c r="D28" i="1"/>
  <c r="F59" i="1"/>
  <c r="E59" i="1"/>
  <c r="D59" i="1"/>
  <c r="B59" i="1"/>
  <c r="D21" i="1"/>
  <c r="D20" i="1"/>
  <c r="E12" i="1"/>
  <c r="F12" i="1"/>
  <c r="E11" i="1"/>
  <c r="F11" i="1"/>
  <c r="E5" i="1"/>
  <c r="E17" i="1"/>
  <c r="F5" i="1"/>
  <c r="D17" i="1"/>
  <c r="E31" i="1"/>
  <c r="F31" i="1"/>
  <c r="G31" i="1"/>
  <c r="L32" i="1"/>
  <c r="K32" i="1"/>
  <c r="M32" i="1"/>
  <c r="O32" i="1"/>
  <c r="J32" i="1"/>
  <c r="D27" i="1"/>
  <c r="F8" i="1"/>
  <c r="F14" i="1"/>
  <c r="F17" i="1"/>
  <c r="F18" i="1"/>
  <c r="F19" i="1"/>
  <c r="F20" i="1"/>
  <c r="F21" i="1"/>
  <c r="F22" i="1"/>
  <c r="F23" i="1"/>
  <c r="F24" i="1"/>
  <c r="F28" i="1"/>
  <c r="F29" i="1"/>
  <c r="F30" i="1"/>
  <c r="F32" i="1"/>
  <c r="F40" i="1"/>
  <c r="F42" i="1"/>
  <c r="F67" i="1"/>
  <c r="E8" i="1"/>
  <c r="E14" i="1"/>
  <c r="E18" i="1"/>
  <c r="E19" i="1"/>
  <c r="E20" i="1"/>
  <c r="E21" i="1"/>
  <c r="E22" i="1"/>
  <c r="E23" i="1"/>
  <c r="E27" i="1"/>
  <c r="E28" i="1"/>
  <c r="E29" i="1"/>
  <c r="E30" i="1"/>
  <c r="E32" i="1"/>
  <c r="E40" i="1"/>
  <c r="E42" i="1"/>
  <c r="E67" i="1"/>
  <c r="K27" i="1"/>
  <c r="L27" i="1"/>
  <c r="M27" i="1"/>
  <c r="O27" i="1"/>
  <c r="J27" i="1"/>
  <c r="E48" i="1"/>
  <c r="J62" i="1"/>
  <c r="M28" i="1"/>
  <c r="L28" i="1"/>
  <c r="K28" i="1"/>
  <c r="O28" i="1"/>
  <c r="J28" i="1"/>
  <c r="J29" i="1"/>
  <c r="B21" i="1"/>
  <c r="B22" i="1"/>
  <c r="B20" i="1"/>
  <c r="B18" i="1"/>
  <c r="B19" i="1"/>
  <c r="B17" i="1"/>
  <c r="J79" i="1"/>
  <c r="E49" i="1"/>
  <c r="F49" i="1"/>
  <c r="G49" i="1"/>
  <c r="F63" i="1"/>
  <c r="E63" i="1"/>
  <c r="G62" i="1"/>
  <c r="G61" i="1"/>
  <c r="G60" i="1"/>
  <c r="G59" i="1"/>
  <c r="F56" i="1"/>
  <c r="E56" i="1"/>
  <c r="G55" i="1"/>
  <c r="G54" i="1"/>
  <c r="G53" i="1"/>
  <c r="G52" i="1"/>
  <c r="G48" i="1"/>
  <c r="G39" i="1"/>
  <c r="G38" i="1"/>
  <c r="G37" i="1"/>
  <c r="G36" i="1"/>
  <c r="G35" i="1"/>
  <c r="G30" i="1"/>
  <c r="G29" i="1"/>
  <c r="G28" i="1"/>
  <c r="G27" i="1"/>
  <c r="G13" i="1"/>
  <c r="G12" i="1"/>
  <c r="G11" i="1"/>
  <c r="G7" i="1"/>
  <c r="G6" i="1"/>
  <c r="G18" i="1"/>
  <c r="G20" i="1"/>
  <c r="G40" i="1"/>
  <c r="G14" i="1"/>
  <c r="G19" i="1"/>
  <c r="G21" i="1"/>
  <c r="G22" i="1"/>
  <c r="G56" i="1"/>
  <c r="G63" i="1"/>
  <c r="G17" i="1"/>
  <c r="F65" i="1"/>
  <c r="G23" i="1"/>
  <c r="G24" i="1"/>
  <c r="G32" i="1"/>
  <c r="G42" i="1"/>
  <c r="E65" i="1"/>
  <c r="G65" i="1"/>
  <c r="E69" i="1"/>
  <c r="F69" i="1"/>
  <c r="G67" i="1"/>
  <c r="G69" i="1"/>
</calcChain>
</file>

<file path=xl/sharedStrings.xml><?xml version="1.0" encoding="utf-8"?>
<sst xmlns="http://schemas.openxmlformats.org/spreadsheetml/2006/main" count="78" uniqueCount="76">
  <si>
    <t>Fringe</t>
  </si>
  <si>
    <t>Year 1</t>
  </si>
  <si>
    <t>Year 2</t>
  </si>
  <si>
    <t>Total</t>
  </si>
  <si>
    <t>Total Salaries and Fringe</t>
  </si>
  <si>
    <t>Total Salaries</t>
  </si>
  <si>
    <t>Total  Fringe</t>
  </si>
  <si>
    <t>Indirect Costs</t>
  </si>
  <si>
    <t>Total Direct Costs</t>
  </si>
  <si>
    <t>Travel</t>
  </si>
  <si>
    <t>Senior Salaries</t>
  </si>
  <si>
    <t>Tuition</t>
  </si>
  <si>
    <t>Total Travel</t>
  </si>
  <si>
    <t>Equipment &gt;$5,000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</si>
  <si>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</si>
  <si>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</si>
  <si>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</si>
  <si>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</si>
  <si>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</si>
  <si>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Senior 2</t>
  </si>
  <si>
    <t>Senior 3</t>
  </si>
  <si>
    <t>Salary Base</t>
  </si>
  <si>
    <t>Faculty</t>
  </si>
  <si>
    <t>Staff</t>
  </si>
  <si>
    <t>Students</t>
  </si>
  <si>
    <t>(non-PERSI Eligible)</t>
  </si>
  <si>
    <t>Total Other Direct Costs</t>
  </si>
  <si>
    <t>Total Modified Direct Costs</t>
  </si>
  <si>
    <t>Total Budget (Direct + Indirect Costs)</t>
  </si>
  <si>
    <t>Enter Only Costs Excluded From F&amp;A Below This Point</t>
  </si>
  <si>
    <t>Full-Time Graduate</t>
  </si>
  <si>
    <t>Part Time Graduate per credit</t>
  </si>
  <si>
    <t>Student Health Insurance</t>
  </si>
  <si>
    <t>Annual Cost</t>
  </si>
  <si>
    <t>Other 3</t>
  </si>
  <si>
    <t>Months</t>
  </si>
  <si>
    <t>Other Salaries</t>
  </si>
  <si>
    <t>Total Other Salaries</t>
  </si>
  <si>
    <t>Conference/Meeting 4-day, 3-night Trip Cost</t>
  </si>
  <si>
    <t>Per Diem</t>
  </si>
  <si>
    <t>Lodging</t>
  </si>
  <si>
    <t>Trans</t>
  </si>
  <si>
    <t>Misc</t>
  </si>
  <si>
    <t>In-State</t>
  </si>
  <si>
    <t>Out-of-State</t>
  </si>
  <si>
    <t>Foreign</t>
  </si>
  <si>
    <t>(Excludes non-PERSI Eligible TH)</t>
  </si>
  <si>
    <t xml:space="preserve">TH </t>
  </si>
  <si>
    <t>**List conference reg fees in Other Direct Costs</t>
  </si>
  <si>
    <t>FY23 Fringe Benefit Rates - Tentative</t>
  </si>
  <si>
    <t># of Trips</t>
  </si>
  <si>
    <t>Rate from Table</t>
  </si>
  <si>
    <t>Cost from Table</t>
  </si>
  <si>
    <t>#</t>
  </si>
  <si>
    <t>Cost per #</t>
  </si>
  <si>
    <t>Total Amount</t>
  </si>
  <si>
    <t>Conference Registration Fees - base on # of conference trips</t>
  </si>
  <si>
    <t>2022-2023 Tuition/Fees per Semester</t>
  </si>
  <si>
    <t>LEAPS-MPS Hernandez Vargas Budget</t>
  </si>
  <si>
    <t>11/1/2023 - 10/31/2025</t>
  </si>
  <si>
    <t>Notes</t>
  </si>
  <si>
    <t>Course release may be budgeted for Pis at institutions with high teaching loads. It is advisable to discuss this with a Program Officer in advance of submission.</t>
  </si>
  <si>
    <t>Should include funds in the budget for travel to the Washington, DC area for a one-and-a-half-day meeting of awardees.</t>
  </si>
  <si>
    <t>NSF Award Meeting</t>
  </si>
  <si>
    <t>NSF DC Meeting, 1.5 days</t>
  </si>
  <si>
    <t>$250,000 total maximum for a period of 24 months</t>
  </si>
  <si>
    <t>Tables</t>
  </si>
  <si>
    <t>Esteban Hernandez Vargas, PI</t>
  </si>
  <si>
    <t>Grad Student</t>
  </si>
  <si>
    <t>Undergrads</t>
  </si>
  <si>
    <t>Publication Costs</t>
  </si>
  <si>
    <t>per student: $15/hr X 10 weeks X 40hrs</t>
  </si>
  <si>
    <t>Foreign Conference Travel</t>
  </si>
  <si>
    <t>Out of State Conference Travel</t>
  </si>
  <si>
    <t>PI</t>
  </si>
  <si>
    <t>PI +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</si>
</sst>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&quot;$&quot;#,##0;[Red]&quot;$&quot;#,##0"/>
  </numFmts>
  <fonts count="4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6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4" fillId="0" borderId="0" xfId="0" applyFont="1"/>
    <xf numFmtId="0" fontId="3" fillId="28" borderId="0" xfId="0" applyFont="1" applyFill="1" applyAlignment="1">
      <alignment horizontal="centerContinuous" vertical="center"/>
    </xf>
    <xf numFmtId="0" fontId="1" fillId="0" borderId="0" xfId="0" applyFont="1"/>
    <xf numFmtId="0" fontId="37" fillId="28" borderId="0" xfId="0" applyFont="1" applyFill="1" applyAlignment="1">
      <alignment horizontal="centerContinuous" vertical="center"/>
    </xf>
    <xf numFmtId="0" fontId="36" fillId="28" borderId="0" xfId="0" applyFont="1" applyFill="1"/>
    <xf numFmtId="3" fontId="39" fillId="0" borderId="0" xfId="53" applyNumberFormat="1" applyFont="1" applyAlignment="1" applyProtection="1">
      <alignment horizontal="right" vertical="center"/>
    </xf>
    <xf numFmtId="0" fontId="40" fillId="0" borderId="0" xfId="53" applyFont="1" applyAlignment="1" applyProtection="1">
      <alignment horizontal="center" vertical="center"/>
    </xf>
    <xf numFmtId="170" fontId="41" fillId="0" borderId="0" xfId="36" applyNumberFormat="1" applyFont="1" applyFill="1" applyAlignment="1" applyProtection="1">
      <alignment horizontal="centerContinuous"/>
      <protection locked="0"/>
    </xf>
    <xf numFmtId="0" fontId="4" fillId="0" borderId="0" xfId="0" applyFont="1" applyAlignment="1">
      <alignment horizontal="centerContinuous"/>
    </xf>
    <xf numFmtId="172" fontId="36" fillId="0" borderId="0" xfId="0" applyNumberFormat="1" applyFont="1" applyAlignment="1">
      <alignment horizontal="right"/>
    </xf>
    <xf numFmtId="0" fontId="4" fillId="27" borderId="19" xfId="0" applyFont="1" applyFill="1" applyBorder="1"/>
    <xf numFmtId="0" fontId="41" fillId="27" borderId="19" xfId="0" applyFont="1" applyFill="1" applyBorder="1" applyAlignment="1">
      <alignment horizontal="center"/>
    </xf>
    <xf numFmtId="0" fontId="41" fillId="27" borderId="19" xfId="0" applyFont="1" applyFill="1" applyBorder="1" applyAlignment="1">
      <alignment horizontal="centerContinuous"/>
    </xf>
    <xf numFmtId="0" fontId="41" fillId="28" borderId="18" xfId="0" applyFont="1" applyFill="1" applyBorder="1"/>
    <xf numFmtId="0" fontId="41" fillId="28" borderId="18" xfId="0" applyFont="1" applyFill="1" applyBorder="1" applyAlignment="1">
      <alignment horizontal="center"/>
    </xf>
    <xf numFmtId="3" fontId="41" fillId="28" borderId="18" xfId="0" applyNumberFormat="1" applyFont="1" applyFill="1" applyBorder="1" applyAlignment="1" applyProtection="1">
      <alignment horizontal="center"/>
      <protection locked="0"/>
    </xf>
    <xf numFmtId="3" fontId="36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1" fillId="0" borderId="0" xfId="0" applyNumberFormat="1" applyFont="1"/>
    <xf numFmtId="0" fontId="4" fillId="28" borderId="0" xfId="0" applyFont="1" applyFill="1"/>
    <xf numFmtId="38" fontId="4" fillId="0" borderId="0" xfId="0" applyNumberFormat="1" applyFont="1"/>
    <xf numFmtId="0" fontId="42" fillId="28" borderId="0" xfId="0" applyFont="1" applyFill="1"/>
    <xf numFmtId="38" fontId="41" fillId="28" borderId="0" xfId="0" applyNumberFormat="1" applyFont="1" applyFill="1" applyAlignment="1">
      <alignment horizontal="center"/>
    </xf>
    <xf numFmtId="0" fontId="41" fillId="28" borderId="0" xfId="0" applyFont="1" applyFill="1"/>
    <xf numFmtId="0" fontId="41" fillId="28" borderId="0" xfId="0" applyFont="1" applyFill="1" applyAlignment="1" applyProtection="1">
      <alignment horizontal="center"/>
      <protection locked="0"/>
    </xf>
    <xf numFmtId="38" fontId="4" fillId="28" borderId="0" xfId="0" applyNumberFormat="1" applyFont="1" applyFill="1"/>
    <xf numFmtId="173" fontId="4" fillId="0" borderId="0" xfId="0" applyNumberFormat="1" applyFont="1" applyProtection="1">
      <protection locked="0"/>
    </xf>
    <xf numFmtId="0" fontId="41" fillId="0" borderId="0" xfId="0" applyFont="1"/>
    <xf numFmtId="0" fontId="41" fillId="28" borderId="0" xfId="0" applyFont="1" applyFill="1" applyAlignment="1">
      <alignment horizontal="center"/>
    </xf>
    <xf numFmtId="0" fontId="1" fillId="28" borderId="0" xfId="0" applyFont="1" applyFill="1"/>
    <xf numFmtId="0" fontId="43" fillId="0" borderId="0" xfId="53" applyFont="1" applyAlignment="1" applyProtection="1">
      <alignment horizontal="center" vertical="center"/>
    </xf>
    <xf numFmtId="0" fontId="44" fillId="28" borderId="0" xfId="53" applyFont="1" applyFill="1" applyAlignment="1" applyProtection="1">
      <alignment horizontal="left" vertical="center"/>
    </xf>
    <xf numFmtId="0" fontId="43" fillId="28" borderId="0" xfId="53" applyFont="1" applyFill="1" applyAlignment="1" applyProtection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45" fillId="0" borderId="0" xfId="0" applyNumberFormat="1" applyFont="1"/>
    <xf numFmtId="174" fontId="45" fillId="0" borderId="0" xfId="0" applyNumberFormat="1" applyFont="1"/>
    <xf numFmtId="0" fontId="47" fillId="0" borderId="0" xfId="0" applyFont="1"/>
    <xf numFmtId="0" fontId="0" fillId="0" borderId="0" xfId="0" applyAlignment="1">
      <alignment wrapText="1"/>
    </xf>
    <xf numFmtId="6" fontId="4" fillId="0" borderId="0" xfId="0" applyNumberFormat="1" applyFont="1" applyProtection="1">
      <protection locked="0"/>
    </xf>
    <xf numFmtId="38" fontId="4" fillId="0" borderId="0" xfId="0" applyNumberFormat="1" applyFont="1" applyProtection="1">
      <protection locked="0"/>
    </xf>
    <xf numFmtId="0" fontId="43" fillId="0" borderId="0" xfId="53" applyFont="1" applyFill="1" applyAlignment="1" applyProtection="1">
      <alignment horizontal="center" vertical="center"/>
    </xf>
    <xf numFmtId="0" fontId="46" fillId="0" borderId="0" xfId="0" applyFont="1" applyAlignment="1">
      <alignment horizontal="center" vertical="center"/>
    </xf>
    <xf numFmtId="3" fontId="44" fillId="0" borderId="0" xfId="53" applyNumberFormat="1" applyFont="1" applyFill="1" applyAlignment="1" applyProtection="1">
      <alignment horizontal="right" vertical="center"/>
    </xf>
    <xf numFmtId="3" fontId="41" fillId="0" borderId="0" xfId="0" applyNumberFormat="1" applyFont="1"/>
    <xf numFmtId="173" fontId="36" fillId="0" borderId="0" xfId="0" applyNumberFormat="1" applyFont="1"/>
    <xf numFmtId="0" fontId="36" fillId="0" borderId="0" xfId="0" applyFont="1"/>
    <xf numFmtId="0" fontId="48" fillId="0" borderId="0" xfId="53" applyFont="1" applyFill="1" applyAlignment="1" applyProtection="1">
      <alignment horizontal="center" vertical="center"/>
    </xf>
    <xf numFmtId="0" fontId="4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4" fillId="28" borderId="21" xfId="0" applyNumberFormat="1" applyFont="1" applyFill="1" applyBorder="1"/>
    <xf numFmtId="0" fontId="35" fillId="0" borderId="0" xfId="0" applyFont="1"/>
    <xf numFmtId="0" fontId="36" fillId="29" borderId="26" xfId="0" applyFont="1" applyFill="1" applyBorder="1" applyAlignment="1">
      <alignment vertical="center" wrapText="1"/>
    </xf>
    <xf numFmtId="172" fontId="36" fillId="29" borderId="27" xfId="0" applyNumberFormat="1" applyFont="1" applyFill="1" applyBorder="1"/>
    <xf numFmtId="172" fontId="1" fillId="0" borderId="0" xfId="0" applyNumberFormat="1" applyFont="1"/>
    <xf numFmtId="0" fontId="45" fillId="29" borderId="26" xfId="0" applyFont="1" applyFill="1" applyBorder="1" applyAlignment="1">
      <alignment horizontal="left" vertical="center"/>
    </xf>
    <xf numFmtId="0" fontId="45" fillId="29" borderId="26" xfId="0" applyFont="1" applyFill="1" applyBorder="1" applyAlignment="1">
      <alignment horizontal="left"/>
    </xf>
    <xf numFmtId="172" fontId="45" fillId="29" borderId="27" xfId="0" applyNumberFormat="1" applyFont="1" applyFill="1" applyBorder="1" applyAlignment="1">
      <alignment horizontal="right" vertical="center"/>
    </xf>
    <xf numFmtId="0" fontId="45" fillId="29" borderId="28" xfId="0" applyFont="1" applyFill="1" applyBorder="1" applyAlignment="1">
      <alignment horizontal="left"/>
    </xf>
    <xf numFmtId="172" fontId="45" fillId="29" borderId="29" xfId="0" applyNumberFormat="1" applyFont="1" applyFill="1" applyBorder="1" applyAlignment="1">
      <alignment horizontal="right" vertical="center"/>
    </xf>
    <xf numFmtId="10" fontId="36" fillId="0" borderId="0" xfId="0" applyNumberFormat="1" applyFont="1"/>
    <xf numFmtId="173" fontId="1" fillId="0" borderId="0" xfId="0" applyNumberFormat="1" applyFont="1"/>
    <xf numFmtId="0" fontId="36" fillId="30" borderId="26" xfId="0" applyFont="1" applyFill="1" applyBorder="1"/>
    <xf numFmtId="173" fontId="36" fillId="30" borderId="27" xfId="0" applyNumberFormat="1" applyFont="1" applyFill="1" applyBorder="1"/>
    <xf numFmtId="0" fontId="45" fillId="0" borderId="0" xfId="0" applyFont="1" applyAlignment="1">
      <alignment horizontal="center" vertical="center" wrapText="1"/>
    </xf>
    <xf numFmtId="172" fontId="36" fillId="0" borderId="0" xfId="0" applyNumberFormat="1" applyFont="1"/>
    <xf numFmtId="0" fontId="36" fillId="0" borderId="0" xfId="0" applyFont="1" applyAlignment="1">
      <alignment horizontal="center" vertical="center" wrapText="1"/>
    </xf>
    <xf numFmtId="9" fontId="36" fillId="0" borderId="0" xfId="0" applyNumberFormat="1" applyFont="1"/>
    <xf numFmtId="0" fontId="36" fillId="31" borderId="26" xfId="0" applyFont="1" applyFill="1" applyBorder="1"/>
    <xf numFmtId="172" fontId="36" fillId="31" borderId="27" xfId="0" applyNumberFormat="1" applyFont="1" applyFill="1" applyBorder="1"/>
    <xf numFmtId="0" fontId="36" fillId="0" borderId="0" xfId="0" applyFont="1" applyAlignment="1">
      <alignment vertical="center" wrapTex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72" fontId="4" fillId="0" borderId="0" xfId="0" applyNumberFormat="1" applyFont="1"/>
    <xf numFmtId="172" fontId="4" fillId="0" borderId="0" xfId="0" applyNumberFormat="1" applyFont="1" applyProtection="1">
      <protection locked="0"/>
    </xf>
    <xf numFmtId="6" fontId="4" fillId="0" borderId="0" xfId="0" applyNumberFormat="1" applyFont="1"/>
    <xf numFmtId="42" fontId="4" fillId="28" borderId="0" xfId="0" applyNumberFormat="1" applyFont="1" applyFill="1"/>
    <xf numFmtId="42" fontId="4" fillId="28" borderId="0" xfId="0" applyNumberFormat="1" applyFont="1" applyFill="1" applyProtection="1">
      <protection locked="0"/>
    </xf>
    <xf numFmtId="42" fontId="1" fillId="0" borderId="0" xfId="0" applyNumberFormat="1" applyFont="1"/>
    <xf numFmtId="42" fontId="36" fillId="0" borderId="0" xfId="0" applyNumberFormat="1" applyFont="1"/>
    <xf numFmtId="42" fontId="0" fillId="0" borderId="0" xfId="0" applyNumberFormat="1"/>
    <xf numFmtId="42" fontId="45" fillId="0" borderId="0" xfId="0" applyNumberFormat="1" applyFont="1" applyAlignment="1">
      <alignment horizontal="center" vertical="center"/>
    </xf>
    <xf numFmtId="172" fontId="41" fillId="28" borderId="0" xfId="0" applyNumberFormat="1" applyFont="1" applyFill="1"/>
    <xf numFmtId="172" fontId="4" fillId="28" borderId="0" xfId="0" applyNumberFormat="1" applyFont="1" applyFill="1"/>
    <xf numFmtId="172" fontId="41" fillId="28" borderId="20" xfId="0" applyNumberFormat="1" applyFont="1" applyFill="1" applyBorder="1"/>
    <xf numFmtId="172" fontId="41" fillId="28" borderId="20" xfId="0" applyNumberFormat="1" applyFont="1" applyFill="1" applyBorder="1" applyProtection="1">
      <protection locked="0"/>
    </xf>
    <xf numFmtId="172" fontId="46" fillId="0" borderId="0" xfId="0" applyNumberFormat="1" applyFont="1" applyAlignment="1">
      <alignment horizontal="center" vertical="center"/>
    </xf>
    <xf numFmtId="172" fontId="1" fillId="28" borderId="0" xfId="0" applyNumberFormat="1" applyFont="1" applyFill="1"/>
    <xf numFmtId="172" fontId="36" fillId="28" borderId="0" xfId="0" applyNumberFormat="1" applyFont="1" applyFill="1" applyAlignment="1">
      <alignment horizontal="center"/>
    </xf>
    <xf numFmtId="172" fontId="43" fillId="0" borderId="0" xfId="53" applyNumberFormat="1" applyFont="1" applyAlignment="1" applyProtection="1">
      <alignment horizontal="center" vertical="center"/>
    </xf>
    <xf numFmtId="172" fontId="38" fillId="0" borderId="0" xfId="53" applyNumberFormat="1" applyFont="1" applyAlignment="1" applyProtection="1">
      <alignment horizontal="right" vertical="center"/>
    </xf>
    <xf numFmtId="42" fontId="46" fillId="0" borderId="0" xfId="0" applyNumberFormat="1" applyFont="1" applyAlignment="1">
      <alignment vertical="center"/>
    </xf>
    <xf numFmtId="42" fontId="0" fillId="0" borderId="0" xfId="0" applyNumberFormat="1" applyAlignment="1">
      <alignment vertical="center"/>
    </xf>
    <xf numFmtId="42" fontId="46" fillId="0" borderId="0" xfId="0" applyNumberFormat="1" applyFont="1" applyAlignment="1">
      <alignment horizontal="center" vertical="center"/>
    </xf>
    <xf numFmtId="42" fontId="41" fillId="28" borderId="0" xfId="0" applyNumberFormat="1" applyFont="1" applyFill="1"/>
    <xf numFmtId="42" fontId="43" fillId="28" borderId="0" xfId="53" applyNumberFormat="1" applyFont="1" applyFill="1" applyAlignment="1" applyProtection="1">
      <alignment horizontal="center" vertical="center"/>
    </xf>
    <xf numFmtId="42" fontId="44" fillId="28" borderId="0" xfId="53" applyNumberFormat="1" applyFont="1" applyFill="1" applyAlignment="1" applyProtection="1">
      <alignment horizontal="right" vertical="center"/>
    </xf>
    <xf numFmtId="42" fontId="38" fillId="0" borderId="0" xfId="53" applyNumberFormat="1" applyFont="1" applyAlignment="1" applyProtection="1">
      <alignment horizontal="right" vertical="center"/>
    </xf>
    <xf numFmtId="42" fontId="4" fillId="0" borderId="0" xfId="0" applyNumberFormat="1" applyFont="1"/>
    <xf numFmtId="42" fontId="41" fillId="28" borderId="12" xfId="0" applyNumberFormat="1" applyFont="1" applyFill="1" applyBorder="1"/>
    <xf numFmtId="0" fontId="41" fillId="28" borderId="0" xfId="0" applyFont="1" applyFill="1" applyProtection="1">
      <protection locked="0"/>
    </xf>
    <xf numFmtId="0" fontId="37" fillId="0" borderId="0" xfId="0" applyFont="1" applyAlignment="1">
      <alignment vertical="center"/>
    </xf>
    <xf numFmtId="0" fontId="36" fillId="30" borderId="28" xfId="0" applyFont="1" applyFill="1" applyBorder="1"/>
    <xf numFmtId="173" fontId="36" fillId="30" borderId="29" xfId="0" applyNumberFormat="1" applyFont="1" applyFill="1" applyBorder="1"/>
    <xf numFmtId="0" fontId="36" fillId="31" borderId="28" xfId="0" applyFont="1" applyFill="1" applyBorder="1"/>
    <xf numFmtId="172" fontId="36" fillId="31" borderId="29" xfId="0" applyNumberFormat="1" applyFont="1" applyFill="1" applyBorder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45" fillId="29" borderId="30" xfId="0" applyFont="1" applyFill="1" applyBorder="1" applyAlignment="1">
      <alignment horizontal="left" vertical="center"/>
    </xf>
    <xf numFmtId="172" fontId="36" fillId="29" borderId="31" xfId="0" applyNumberFormat="1" applyFont="1" applyFill="1" applyBorder="1"/>
    <xf numFmtId="0" fontId="1" fillId="0" borderId="0" xfId="53" applyFont="1" applyAlignment="1" applyProtection="1">
      <alignment horizontal="left" vertical="center"/>
    </xf>
    <xf numFmtId="172" fontId="1" fillId="0" borderId="0" xfId="53" applyNumberFormat="1" applyFont="1" applyAlignment="1" applyProtection="1">
      <alignment horizontal="center" vertical="center"/>
    </xf>
    <xf numFmtId="0" fontId="36" fillId="31" borderId="24" xfId="0" applyFont="1" applyFill="1" applyBorder="1" applyAlignment="1">
      <alignment horizontal="center"/>
    </xf>
    <xf numFmtId="0" fontId="36" fillId="31" borderId="25" xfId="0" applyFont="1" applyFill="1" applyBorder="1" applyAlignment="1">
      <alignment horizontal="center"/>
    </xf>
    <xf numFmtId="0" fontId="41" fillId="29" borderId="23" xfId="0" applyFont="1" applyFill="1" applyBorder="1" applyAlignment="1">
      <alignment horizontal="left" vertical="center"/>
    </xf>
    <xf numFmtId="0" fontId="0" fillId="29" borderId="23" xfId="0" applyFill="1" applyBorder="1" applyAlignment="1">
      <alignment horizontal="left" vertical="center"/>
    </xf>
    <xf numFmtId="0" fontId="0" fillId="29" borderId="22" xfId="0" applyFill="1" applyBorder="1" applyAlignment="1">
      <alignment horizontal="left" vertical="center"/>
    </xf>
    <xf numFmtId="172" fontId="3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6" fillId="29" borderId="24" xfId="0" applyFont="1" applyFill="1" applyBorder="1" applyAlignment="1">
      <alignment horizontal="center" vertical="center" wrapText="1"/>
    </xf>
    <xf numFmtId="0" fontId="36" fillId="29" borderId="25" xfId="0" applyFont="1" applyFill="1" applyBorder="1" applyAlignment="1">
      <alignment horizontal="center" vertical="center" wrapText="1"/>
    </xf>
    <xf numFmtId="0" fontId="36" fillId="30" borderId="24" xfId="0" applyFont="1" applyFill="1" applyBorder="1" applyAlignment="1">
      <alignment horizontal="center"/>
    </xf>
    <xf numFmtId="0" fontId="36" fillId="30" borderId="25" xfId="0" applyFont="1" applyFill="1" applyBorder="1" applyAlignment="1">
      <alignment horizontal="center"/>
    </xf>
    <xf numFmtId="3" fontId="41" fillId="28" borderId="0" xfId="0" applyNumberFormat="1" applyFont="1" applyFill="1" applyAlignment="1" applyProtection="1">
      <alignment horizontal="center"/>
      <protection locked="0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Good" xfId="41" builtinId="26" customBuiltin="1"/>
    <cellStyle name="GRAY" xfId="42" xr:uid="{00000000-0005-0000-0000-000029000000}"/>
    <cellStyle name="Gross Margin" xfId="43" xr:uid="{00000000-0005-0000-0000-00002A000000}"/>
    <cellStyle name="header" xfId="44" xr:uid="{00000000-0005-0000-0000-00002B000000}"/>
    <cellStyle name="Header Total" xfId="45" xr:uid="{00000000-0005-0000-0000-00002C000000}"/>
    <cellStyle name="Header1" xfId="46" xr:uid="{00000000-0005-0000-0000-00002D000000}"/>
    <cellStyle name="Header2" xfId="47" xr:uid="{00000000-0005-0000-0000-00002E000000}"/>
    <cellStyle name="Header3" xfId="48" xr:uid="{00000000-0005-0000-0000-00002F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6000000}"/>
    <cellStyle name="Linked Cell" xfId="56" builtinId="24" customBuiltin="1"/>
    <cellStyle name="Major Total" xfId="57" xr:uid="{00000000-0005-0000-0000-000038000000}"/>
    <cellStyle name="Neutral" xfId="58" builtinId="28" customBuiltin="1"/>
    <cellStyle name="NonPrint_TemTitle" xfId="59" xr:uid="{00000000-0005-0000-0000-00003A000000}"/>
    <cellStyle name="Normal" xfId="0" builtinId="0"/>
    <cellStyle name="Normal 2" xfId="60" xr:uid="{00000000-0005-0000-0000-00003C000000}"/>
    <cellStyle name="NormalRed" xfId="61" xr:uid="{00000000-0005-0000-0000-00003D000000}"/>
    <cellStyle name="Note" xfId="62" builtinId="10" customBuiltin="1"/>
    <cellStyle name="Output" xfId="63" builtinId="21" customBuiltin="1"/>
    <cellStyle name="Percent.0" xfId="64" xr:uid="{00000000-0005-0000-0000-000040000000}"/>
    <cellStyle name="Percent.00" xfId="65" xr:uid="{00000000-0005-0000-0000-000041000000}"/>
    <cellStyle name="RED POSTED" xfId="66" xr:uid="{00000000-0005-0000-0000-000042000000}"/>
    <cellStyle name="Standard_Anpassen der Amortisation" xfId="67" xr:uid="{00000000-0005-0000-0000-000043000000}"/>
    <cellStyle name="Text_simple" xfId="68" xr:uid="{00000000-0005-0000-0000-000044000000}"/>
    <cellStyle name="Title" xfId="69" builtinId="15" customBuiltin="1"/>
    <cellStyle name="TmsRmn10BlueItalic" xfId="70" xr:uid="{00000000-0005-0000-0000-000046000000}"/>
    <cellStyle name="TmsRmn10Bold" xfId="71" xr:uid="{00000000-0005-0000-0000-000047000000}"/>
    <cellStyle name="Total" xfId="72" builtinId="25" customBuiltin="1"/>
    <cellStyle name="Währung [0]_Compiling Utility Macros" xfId="73" xr:uid="{00000000-0005-0000-0000-000049000000}"/>
    <cellStyle name="Währung_Compiling Utility Macros" xfId="74" xr:uid="{00000000-0005-0000-0000-00004A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B1:O97"/>
  <sheetViews>
    <sheetView tabSelected="1" zoomScaleNormal="100" workbookViewId="0">
      <selection activeCell="H21" sqref="H21"/>
    </sheetView>
  </sheetViews>
  <sheetFormatPr defaultColWidth="9.140625" defaultRowHeight="12.75" x14ac:dyDescent="0.2"/>
  <cols>
    <col min="1" max="1" width="1.7109375" style="1" customWidth="1"/>
    <col min="2" max="2" width="26.42578125" style="1" customWidth="1"/>
    <col min="3" max="3" width="9.28515625" style="1" customWidth="1"/>
    <col min="4" max="7" width="15.7109375" style="1" customWidth="1"/>
    <col min="8" max="8" width="54.7109375" style="1" customWidth="1"/>
    <col min="9" max="9" width="28.42578125" style="1" customWidth="1"/>
    <col min="10" max="10" width="26.7109375" style="1" customWidth="1"/>
    <col min="11" max="11" width="9.42578125" style="1" customWidth="1"/>
    <col min="12" max="12" width="8.140625" style="1" customWidth="1"/>
    <col min="13" max="13" width="6.85546875" style="1" customWidth="1"/>
    <col min="14" max="14" width="6" style="1" customWidth="1"/>
    <col min="15" max="16384" width="9.140625" style="1"/>
  </cols>
  <sheetData>
    <row r="1" spans="2:14" ht="19.5" customHeight="1" x14ac:dyDescent="0.25">
      <c r="B1" s="5" t="s">
        <v>58</v>
      </c>
      <c r="C1" s="3"/>
      <c r="D1" s="3"/>
      <c r="E1" s="3"/>
      <c r="F1" s="3"/>
      <c r="G1" s="3"/>
      <c r="I1" s="104"/>
      <c r="J1" s="104"/>
      <c r="K1" s="104"/>
      <c r="L1" s="104"/>
      <c r="M1" s="54"/>
      <c r="N1" s="54"/>
    </row>
    <row r="2" spans="2:14" s="4" customFormat="1" ht="12.95" customHeight="1" x14ac:dyDescent="0.2">
      <c r="B2" s="9" t="s">
        <v>59</v>
      </c>
      <c r="C2" s="10"/>
      <c r="D2" s="10"/>
      <c r="E2" s="10"/>
      <c r="F2" s="10"/>
      <c r="G2" s="10"/>
      <c r="I2" s="48"/>
      <c r="J2" s="48"/>
      <c r="K2" s="48"/>
      <c r="L2" s="11"/>
      <c r="M2" s="120"/>
      <c r="N2" s="121"/>
    </row>
    <row r="3" spans="2:14" s="4" customFormat="1" ht="12.95" customHeight="1" x14ac:dyDescent="0.2">
      <c r="B3" s="12"/>
      <c r="C3" s="12"/>
      <c r="D3" s="13"/>
      <c r="E3" s="14"/>
      <c r="F3" s="14"/>
      <c r="G3" s="14"/>
      <c r="N3" s="47"/>
    </row>
    <row r="4" spans="2:14" s="4" customFormat="1" ht="12.95" customHeight="1" x14ac:dyDescent="0.2">
      <c r="B4" s="15" t="s">
        <v>10</v>
      </c>
      <c r="C4" s="15" t="s">
        <v>35</v>
      </c>
      <c r="D4" s="16" t="s">
        <v>21</v>
      </c>
      <c r="E4" s="17" t="s">
        <v>1</v>
      </c>
      <c r="F4" s="18" t="s">
        <v>2</v>
      </c>
      <c r="G4" s="17" t="s">
        <v>3</v>
      </c>
      <c r="H4" s="17" t="s">
        <v>60</v>
      </c>
      <c r="I4" s="126" t="s">
        <v>66</v>
      </c>
      <c r="J4" s="126"/>
      <c r="M4" s="48"/>
    </row>
    <row r="5" spans="2:14" s="4" customFormat="1" ht="38.25" customHeight="1" x14ac:dyDescent="0.2">
      <c r="B5" s="2" t="s">
        <v>67</v>
      </c>
      <c r="C5" s="2">
        <v>2</v>
      </c>
      <c r="D5" s="77">
        <v>80012.399999999994</v>
      </c>
      <c r="E5" s="76">
        <f>D5/9*C5</f>
        <v>17780.533333333333</v>
      </c>
      <c r="F5" s="76">
        <f>(D5*1.03)/9*C5</f>
        <v>18313.949333333334</v>
      </c>
      <c r="G5" s="76">
        <f>SUM(E5:F5)+1</f>
        <v>36095.482666666663</v>
      </c>
      <c r="H5" s="110" t="s">
        <v>61</v>
      </c>
      <c r="M5" s="48"/>
    </row>
    <row r="6" spans="2:14" s="4" customFormat="1" ht="12.95" customHeight="1" x14ac:dyDescent="0.2">
      <c r="B6" s="2" t="s">
        <v>19</v>
      </c>
      <c r="C6" s="2"/>
      <c r="D6" s="77"/>
      <c r="E6" s="76">
        <v>0</v>
      </c>
      <c r="F6" s="76">
        <v>0</v>
      </c>
      <c r="G6" s="76">
        <f>SUM(E6:F6)</f>
        <v>0</v>
      </c>
      <c r="H6" s="20"/>
      <c r="M6" s="48"/>
      <c r="N6" s="48"/>
    </row>
    <row r="7" spans="2:14" s="4" customFormat="1" ht="12.95" customHeight="1" x14ac:dyDescent="0.2">
      <c r="B7" s="2" t="s">
        <v>20</v>
      </c>
      <c r="C7" s="2"/>
      <c r="D7" s="77"/>
      <c r="E7" s="76">
        <v>0</v>
      </c>
      <c r="F7" s="76">
        <v>0</v>
      </c>
      <c r="G7" s="76">
        <f>SUM(E7:F7)</f>
        <v>0</v>
      </c>
      <c r="H7" s="20"/>
      <c r="M7" s="48"/>
      <c r="N7" s="48"/>
    </row>
    <row r="8" spans="2:14" s="81" customFormat="1" ht="12.95" customHeight="1" x14ac:dyDescent="0.2">
      <c r="B8" s="79" t="s">
        <v>5</v>
      </c>
      <c r="C8" s="79"/>
      <c r="D8" s="80"/>
      <c r="E8" s="79">
        <f>SUM(E5:E7)</f>
        <v>17780.533333333333</v>
      </c>
      <c r="F8" s="79">
        <f>SUM(F5:F7)</f>
        <v>18313.949333333334</v>
      </c>
      <c r="G8" s="79">
        <f>SUM(E8:F8)+1</f>
        <v>36095.482666666663</v>
      </c>
      <c r="M8" s="82"/>
    </row>
    <row r="9" spans="2:14" s="4" customFormat="1" ht="12.95" customHeight="1" x14ac:dyDescent="0.2">
      <c r="B9" s="2"/>
      <c r="C9" s="2"/>
      <c r="D9" s="19"/>
      <c r="E9" s="22"/>
      <c r="F9" s="22"/>
      <c r="G9" s="22"/>
    </row>
    <row r="10" spans="2:14" s="4" customFormat="1" ht="12.95" customHeight="1" x14ac:dyDescent="0.2">
      <c r="B10" s="25" t="s">
        <v>36</v>
      </c>
      <c r="C10" s="23"/>
      <c r="D10" s="103" t="s">
        <v>21</v>
      </c>
      <c r="E10" s="24"/>
      <c r="F10" s="24"/>
      <c r="G10" s="24"/>
    </row>
    <row r="11" spans="2:14" s="4" customFormat="1" ht="12.95" customHeight="1" x14ac:dyDescent="0.2">
      <c r="B11" s="2" t="s">
        <v>68</v>
      </c>
      <c r="C11" s="2"/>
      <c r="D11" s="77">
        <v>26352</v>
      </c>
      <c r="E11" s="76">
        <f>D11</f>
        <v>26352</v>
      </c>
      <c r="F11" s="76">
        <f>E11</f>
        <v>26352</v>
      </c>
      <c r="G11" s="76">
        <f>SUM(E11:F11)</f>
        <v>52704</v>
      </c>
    </row>
    <row r="12" spans="2:14" s="4" customFormat="1" ht="12.95" customHeight="1" x14ac:dyDescent="0.2">
      <c r="B12" s="2" t="s">
        <v>69</v>
      </c>
      <c r="C12" s="2">
        <v>2</v>
      </c>
      <c r="D12" s="77">
        <f>10*40*15</f>
        <v>6000</v>
      </c>
      <c r="E12" s="76">
        <f>D12*C12</f>
        <v>12000</v>
      </c>
      <c r="F12" s="76">
        <f>E12</f>
        <v>12000</v>
      </c>
      <c r="G12" s="76">
        <f>SUM(E12:F12)</f>
        <v>24000</v>
      </c>
      <c r="H12" s="4" t="s">
        <v>71</v>
      </c>
    </row>
    <row r="13" spans="2:14" s="4" customFormat="1" ht="12.95" customHeight="1" x14ac:dyDescent="0.2">
      <c r="B13" s="2" t="s">
        <v>34</v>
      </c>
      <c r="C13" s="2"/>
      <c r="D13" s="77"/>
      <c r="E13" s="76">
        <v>0</v>
      </c>
      <c r="F13" s="76">
        <v>0</v>
      </c>
      <c r="G13" s="76">
        <f>SUM(E13:F13)</f>
        <v>0</v>
      </c>
    </row>
    <row r="14" spans="2:14" s="81" customFormat="1" ht="12.95" customHeight="1" x14ac:dyDescent="0.2">
      <c r="B14" s="79" t="s">
        <v>37</v>
      </c>
      <c r="C14" s="79"/>
      <c r="D14" s="80"/>
      <c r="E14" s="79">
        <f>SUM(E11:E13)</f>
        <v>38352</v>
      </c>
      <c r="F14" s="79">
        <f>SUM(F11:F13)</f>
        <v>38352</v>
      </c>
      <c r="G14" s="79">
        <f>SUM(E14:F14)</f>
        <v>76704</v>
      </c>
      <c r="K14" s="83"/>
      <c r="L14" s="83"/>
    </row>
    <row r="15" spans="2:14" s="4" customFormat="1" ht="12.95" customHeight="1" thickBot="1" x14ac:dyDescent="0.25">
      <c r="B15" s="2"/>
      <c r="C15" s="2"/>
      <c r="D15" s="19"/>
      <c r="E15" s="22"/>
      <c r="F15" s="22"/>
      <c r="G15" s="22"/>
      <c r="J15"/>
      <c r="K15"/>
      <c r="L15"/>
    </row>
    <row r="16" spans="2:14" s="4" customFormat="1" ht="12.95" customHeight="1" x14ac:dyDescent="0.2">
      <c r="B16" s="25" t="s">
        <v>0</v>
      </c>
      <c r="C16" s="21"/>
      <c r="D16" s="26" t="s">
        <v>51</v>
      </c>
      <c r="E16" s="27"/>
      <c r="F16" s="27"/>
      <c r="G16" s="27"/>
      <c r="I16" s="124" t="s">
        <v>49</v>
      </c>
      <c r="J16" s="125"/>
    </row>
    <row r="17" spans="2:15" s="4" customFormat="1" ht="12.95" customHeight="1" x14ac:dyDescent="0.2">
      <c r="B17" s="2" t="str">
        <f>B5</f>
        <v>Esteban Hernandez Vargas, PI</v>
      </c>
      <c r="C17" s="2"/>
      <c r="D17" s="28">
        <f>J17</f>
        <v>0.30099999999999999</v>
      </c>
      <c r="E17" s="78">
        <f>SUM(D17*E5)</f>
        <v>5351.9405333333334</v>
      </c>
      <c r="F17" s="78">
        <f>SUM(D17*F5)</f>
        <v>5512.4987493333338</v>
      </c>
      <c r="G17" s="78">
        <f t="shared" ref="G17:G23" si="0">SUM(E17:F17)</f>
        <v>10864.439282666666</v>
      </c>
      <c r="I17" s="65" t="s">
        <v>22</v>
      </c>
      <c r="J17" s="66">
        <v>0.30099999999999999</v>
      </c>
      <c r="K17" s="48"/>
      <c r="L17" s="47"/>
    </row>
    <row r="18" spans="2:15" s="4" customFormat="1" ht="12.95" customHeight="1" x14ac:dyDescent="0.2">
      <c r="B18" s="2" t="str">
        <f>B6</f>
        <v>Senior 2</v>
      </c>
      <c r="C18" s="2"/>
      <c r="D18" s="28">
        <v>0</v>
      </c>
      <c r="E18" s="78">
        <f>SUM(D18*E6)</f>
        <v>0</v>
      </c>
      <c r="F18" s="78">
        <f>SUM(D18*F6)</f>
        <v>0</v>
      </c>
      <c r="G18" s="78">
        <f t="shared" si="0"/>
        <v>0</v>
      </c>
      <c r="I18" s="65" t="s">
        <v>23</v>
      </c>
      <c r="J18" s="66">
        <v>0.42</v>
      </c>
      <c r="K18" s="48"/>
      <c r="L18" s="48"/>
    </row>
    <row r="19" spans="2:15" s="4" customFormat="1" ht="12.95" customHeight="1" x14ac:dyDescent="0.2">
      <c r="B19" s="2" t="str">
        <f>B7</f>
        <v>Senior 3</v>
      </c>
      <c r="C19" s="2"/>
      <c r="D19" s="28">
        <v>0</v>
      </c>
      <c r="E19" s="78">
        <f>SUM(D19*E7)</f>
        <v>0</v>
      </c>
      <c r="F19" s="78">
        <f>SUM(D19*F7)</f>
        <v>0</v>
      </c>
      <c r="G19" s="78">
        <f t="shared" si="0"/>
        <v>0</v>
      </c>
      <c r="I19" s="65" t="s">
        <v>46</v>
      </c>
      <c r="J19" s="66"/>
      <c r="K19" s="48"/>
      <c r="L19" s="48"/>
    </row>
    <row r="20" spans="2:15" s="4" customFormat="1" ht="12.95" customHeight="1" x14ac:dyDescent="0.2">
      <c r="B20" s="2" t="str">
        <f>B11</f>
        <v>Grad Student</v>
      </c>
      <c r="C20" s="2"/>
      <c r="D20" s="28">
        <f>J22</f>
        <v>3.5999999999999997E-2</v>
      </c>
      <c r="E20" s="78">
        <f>SUM(D20*E11)</f>
        <v>948.67199999999991</v>
      </c>
      <c r="F20" s="78">
        <f>SUM(D20*F11)</f>
        <v>948.67199999999991</v>
      </c>
      <c r="G20" s="78">
        <f t="shared" si="0"/>
        <v>1897.3439999999998</v>
      </c>
      <c r="I20" s="65" t="s">
        <v>47</v>
      </c>
      <c r="J20" s="66">
        <v>8.6999999999999994E-2</v>
      </c>
      <c r="K20" s="47"/>
      <c r="L20" s="63"/>
    </row>
    <row r="21" spans="2:15" s="4" customFormat="1" ht="12.95" customHeight="1" x14ac:dyDescent="0.2">
      <c r="B21" s="2" t="str">
        <f>B12</f>
        <v>Undergrads</v>
      </c>
      <c r="C21" s="2"/>
      <c r="D21" s="28">
        <f>J22</f>
        <v>3.5999999999999997E-2</v>
      </c>
      <c r="E21" s="78">
        <f>SUM(D21*E12)</f>
        <v>431.99999999999994</v>
      </c>
      <c r="F21" s="78">
        <f>SUM(D21*F12)</f>
        <v>431.99999999999994</v>
      </c>
      <c r="G21" s="78">
        <f t="shared" si="0"/>
        <v>863.99999999999989</v>
      </c>
      <c r="I21" s="65" t="s">
        <v>25</v>
      </c>
      <c r="J21" s="66"/>
      <c r="K21" s="47"/>
      <c r="L21" s="48"/>
    </row>
    <row r="22" spans="2:15" s="4" customFormat="1" ht="12.95" customHeight="1" thickBot="1" x14ac:dyDescent="0.25">
      <c r="B22" s="2" t="str">
        <f>B13</f>
        <v>Other 3</v>
      </c>
      <c r="C22" s="2"/>
      <c r="D22" s="28">
        <v>0</v>
      </c>
      <c r="E22" s="78">
        <f>SUM(D22*E13)</f>
        <v>0</v>
      </c>
      <c r="F22" s="78">
        <f>SUM(D22*F13)</f>
        <v>0</v>
      </c>
      <c r="G22" s="78">
        <f t="shared" si="0"/>
        <v>0</v>
      </c>
      <c r="I22" s="105" t="s">
        <v>24</v>
      </c>
      <c r="J22" s="106">
        <v>3.5999999999999997E-2</v>
      </c>
      <c r="K22" s="64"/>
    </row>
    <row r="23" spans="2:15" s="81" customFormat="1" ht="12.95" customHeight="1" x14ac:dyDescent="0.2">
      <c r="B23" s="79" t="s">
        <v>6</v>
      </c>
      <c r="C23" s="79"/>
      <c r="D23" s="79"/>
      <c r="E23" s="79">
        <f>SUM(E17:E22)</f>
        <v>6732.612533333333</v>
      </c>
      <c r="F23" s="79">
        <f>SUM(F17:F22)</f>
        <v>6893.1707493333333</v>
      </c>
      <c r="G23" s="79">
        <f t="shared" si="0"/>
        <v>13625.783282666667</v>
      </c>
      <c r="J23" s="82"/>
      <c r="K23" s="82"/>
      <c r="L23" s="82"/>
    </row>
    <row r="24" spans="2:15" s="81" customFormat="1" ht="12.95" customHeight="1" x14ac:dyDescent="0.2">
      <c r="B24" s="79" t="s">
        <v>4</v>
      </c>
      <c r="C24" s="79"/>
      <c r="D24" s="79"/>
      <c r="E24" s="79">
        <f>SUM(E8+E14+E23)+1</f>
        <v>62866.145866666666</v>
      </c>
      <c r="F24" s="79">
        <f>SUM(F8+F14+F23)</f>
        <v>63559.120082666668</v>
      </c>
      <c r="G24" s="79">
        <f>SUM(G8+G14+G23)</f>
        <v>126425.26594933333</v>
      </c>
      <c r="J24" s="82"/>
      <c r="K24" s="82"/>
      <c r="L24" s="82"/>
    </row>
    <row r="25" spans="2:15" s="4" customFormat="1" ht="12.95" customHeight="1" thickBot="1" x14ac:dyDescent="0.25">
      <c r="B25" s="2"/>
      <c r="C25" s="2"/>
      <c r="D25" s="2"/>
      <c r="E25" s="2"/>
      <c r="F25" s="2"/>
      <c r="G25" s="22"/>
    </row>
    <row r="26" spans="2:15" s="4" customFormat="1" ht="12.95" customHeight="1" x14ac:dyDescent="0.2">
      <c r="B26" s="25" t="s">
        <v>9</v>
      </c>
      <c r="C26" s="25" t="s">
        <v>50</v>
      </c>
      <c r="D26" s="25" t="s">
        <v>52</v>
      </c>
      <c r="E26" s="21"/>
      <c r="F26" s="21"/>
      <c r="G26" s="27"/>
      <c r="I26" s="122" t="s">
        <v>38</v>
      </c>
      <c r="J26" s="123"/>
      <c r="K26" s="48" t="s">
        <v>39</v>
      </c>
      <c r="L26" s="48" t="s">
        <v>40</v>
      </c>
      <c r="M26" s="48" t="s">
        <v>41</v>
      </c>
      <c r="N26" s="48" t="s">
        <v>42</v>
      </c>
      <c r="O26" s="48" t="s">
        <v>3</v>
      </c>
    </row>
    <row r="27" spans="2:15" s="4" customFormat="1" ht="26.25" customHeight="1" x14ac:dyDescent="0.2">
      <c r="B27" s="2" t="s">
        <v>63</v>
      </c>
      <c r="C27" s="2">
        <v>1</v>
      </c>
      <c r="D27" s="76">
        <f>J32</f>
        <v>1675</v>
      </c>
      <c r="E27" s="76">
        <f>C27*D27</f>
        <v>1675</v>
      </c>
      <c r="F27" s="76">
        <v>0</v>
      </c>
      <c r="G27" s="76">
        <f t="shared" ref="G27:G32" si="1">SUM(E27:F27)</f>
        <v>1675</v>
      </c>
      <c r="H27" s="109" t="s">
        <v>62</v>
      </c>
      <c r="I27" s="55" t="s">
        <v>43</v>
      </c>
      <c r="J27" s="56">
        <f>O27</f>
        <v>1200</v>
      </c>
      <c r="K27" s="4">
        <f>55*4</f>
        <v>220</v>
      </c>
      <c r="L27" s="4">
        <f>150*3</f>
        <v>450</v>
      </c>
      <c r="M27" s="4">
        <f>400+100</f>
        <v>500</v>
      </c>
      <c r="N27" s="4">
        <v>30</v>
      </c>
      <c r="O27" s="57">
        <f>SUM(K27:N27)</f>
        <v>1200</v>
      </c>
    </row>
    <row r="28" spans="2:15" s="4" customFormat="1" ht="12.95" customHeight="1" x14ac:dyDescent="0.2">
      <c r="B28" s="2" t="s">
        <v>72</v>
      </c>
      <c r="C28" s="2">
        <v>1</v>
      </c>
      <c r="D28" s="76">
        <f>O29</f>
        <v>2600</v>
      </c>
      <c r="E28" s="76">
        <f>C28*D28</f>
        <v>2600</v>
      </c>
      <c r="F28" s="76">
        <f t="shared" ref="F28:F31" si="2">C28*D28</f>
        <v>2600</v>
      </c>
      <c r="G28" s="76">
        <f t="shared" si="1"/>
        <v>5200</v>
      </c>
      <c r="H28" s="4" t="s">
        <v>74</v>
      </c>
      <c r="I28" s="58" t="s">
        <v>44</v>
      </c>
      <c r="J28" s="56">
        <f>O28</f>
        <v>1600</v>
      </c>
      <c r="K28" s="4">
        <f>59*4</f>
        <v>236</v>
      </c>
      <c r="L28" s="4">
        <f>150*3</f>
        <v>450</v>
      </c>
      <c r="M28" s="4">
        <f>700+150</f>
        <v>850</v>
      </c>
      <c r="N28" s="4">
        <v>64</v>
      </c>
      <c r="O28" s="57">
        <f t="shared" ref="O28:O29" si="3">SUM(K28:N28)</f>
        <v>1600</v>
      </c>
    </row>
    <row r="29" spans="2:15" s="4" customFormat="1" ht="12.95" customHeight="1" x14ac:dyDescent="0.25">
      <c r="B29" s="2" t="s">
        <v>73</v>
      </c>
      <c r="C29" s="2">
        <v>2</v>
      </c>
      <c r="D29" s="76">
        <f>O28</f>
        <v>1600</v>
      </c>
      <c r="E29" s="76">
        <f t="shared" ref="E29:E31" si="4">C29*D29</f>
        <v>3200</v>
      </c>
      <c r="F29" s="76">
        <f t="shared" si="2"/>
        <v>3200</v>
      </c>
      <c r="G29" s="76">
        <f t="shared" si="1"/>
        <v>6400</v>
      </c>
      <c r="H29" s="4" t="s">
        <v>75</v>
      </c>
      <c r="I29" s="59" t="s">
        <v>45</v>
      </c>
      <c r="J29" s="60">
        <f>O29</f>
        <v>2600</v>
      </c>
      <c r="K29" s="4">
        <f>59*4</f>
        <v>236</v>
      </c>
      <c r="L29" s="4">
        <f>150*3</f>
        <v>450</v>
      </c>
      <c r="M29" s="4">
        <f>1700+150</f>
        <v>1850</v>
      </c>
      <c r="N29" s="4">
        <v>64</v>
      </c>
      <c r="O29" s="57">
        <f t="shared" si="3"/>
        <v>2600</v>
      </c>
    </row>
    <row r="30" spans="2:15" s="4" customFormat="1" ht="12.95" customHeight="1" thickBot="1" x14ac:dyDescent="0.3">
      <c r="B30" s="2"/>
      <c r="C30" s="2"/>
      <c r="D30" s="76"/>
      <c r="E30" s="76">
        <f t="shared" si="4"/>
        <v>0</v>
      </c>
      <c r="F30" s="76">
        <f t="shared" si="2"/>
        <v>0</v>
      </c>
      <c r="G30" s="76">
        <f t="shared" si="1"/>
        <v>0</v>
      </c>
      <c r="I30" s="61" t="s">
        <v>48</v>
      </c>
      <c r="J30" s="62"/>
      <c r="K30"/>
    </row>
    <row r="31" spans="2:15" s="4" customFormat="1" ht="12.95" customHeight="1" thickBot="1" x14ac:dyDescent="0.25">
      <c r="B31" s="2"/>
      <c r="C31" s="2"/>
      <c r="D31" s="76"/>
      <c r="E31" s="76">
        <f t="shared" si="4"/>
        <v>0</v>
      </c>
      <c r="F31" s="76">
        <f t="shared" si="2"/>
        <v>0</v>
      </c>
      <c r="G31" s="76">
        <f t="shared" si="1"/>
        <v>0</v>
      </c>
    </row>
    <row r="32" spans="2:15" s="81" customFormat="1" ht="12.95" customHeight="1" thickBot="1" x14ac:dyDescent="0.25">
      <c r="B32" s="79" t="s">
        <v>12</v>
      </c>
      <c r="C32" s="79"/>
      <c r="D32" s="79"/>
      <c r="E32" s="79">
        <f>SUM(E27:E31)</f>
        <v>7475</v>
      </c>
      <c r="F32" s="79">
        <f>SUM(F27:F31)</f>
        <v>5800</v>
      </c>
      <c r="G32" s="79">
        <f t="shared" si="1"/>
        <v>13275</v>
      </c>
      <c r="I32" s="111" t="s">
        <v>64</v>
      </c>
      <c r="J32" s="112">
        <f>O32</f>
        <v>1675</v>
      </c>
      <c r="K32" s="4">
        <f>79*3</f>
        <v>237</v>
      </c>
      <c r="L32" s="4">
        <f>257*2</f>
        <v>514</v>
      </c>
      <c r="M32" s="4">
        <f>700+150</f>
        <v>850</v>
      </c>
      <c r="N32" s="4">
        <v>74</v>
      </c>
      <c r="O32" s="57">
        <f>SUM(K32:N32)</f>
        <v>1675</v>
      </c>
    </row>
    <row r="33" spans="2:13" s="4" customFormat="1" ht="12.95" customHeight="1" x14ac:dyDescent="0.2">
      <c r="B33" s="2"/>
      <c r="C33" s="2"/>
      <c r="D33" s="2"/>
      <c r="E33" s="2"/>
      <c r="F33" s="2"/>
      <c r="G33" s="22"/>
    </row>
    <row r="34" spans="2:13" s="4" customFormat="1" ht="12.95" customHeight="1" x14ac:dyDescent="0.2">
      <c r="B34" s="25" t="s">
        <v>15</v>
      </c>
      <c r="C34" s="21"/>
      <c r="D34" s="21"/>
      <c r="E34" s="21"/>
      <c r="F34" s="21"/>
      <c r="G34" s="27"/>
    </row>
    <row r="35" spans="2:13" s="4" customFormat="1" ht="12.95" customHeight="1" x14ac:dyDescent="0.2">
      <c r="B35" s="2" t="s">
        <v>56</v>
      </c>
      <c r="C35" s="2">
        <v>3</v>
      </c>
      <c r="D35" s="2">
        <v>500</v>
      </c>
      <c r="E35" s="76">
        <f>C35*D35</f>
        <v>1500</v>
      </c>
      <c r="F35" s="76">
        <f>C35*D35</f>
        <v>1500</v>
      </c>
      <c r="G35" s="76">
        <f t="shared" ref="G35:G40" si="5">SUM(E35:F35)</f>
        <v>3000</v>
      </c>
    </row>
    <row r="36" spans="2:13" s="4" customFormat="1" ht="12.95" customHeight="1" x14ac:dyDescent="0.2">
      <c r="B36" s="2" t="s">
        <v>70</v>
      </c>
      <c r="C36" s="2"/>
      <c r="D36" s="2"/>
      <c r="E36" s="76">
        <v>2000</v>
      </c>
      <c r="F36" s="76">
        <v>4741</v>
      </c>
      <c r="G36" s="76">
        <f t="shared" si="5"/>
        <v>6741</v>
      </c>
    </row>
    <row r="37" spans="2:13" s="4" customFormat="1" ht="12.95" customHeight="1" x14ac:dyDescent="0.2">
      <c r="B37" s="2"/>
      <c r="C37" s="2"/>
      <c r="D37" s="2"/>
      <c r="E37" s="76">
        <v>0</v>
      </c>
      <c r="F37" s="76">
        <v>0</v>
      </c>
      <c r="G37" s="76">
        <f t="shared" si="5"/>
        <v>0</v>
      </c>
    </row>
    <row r="38" spans="2:13" s="4" customFormat="1" ht="12.95" customHeight="1" x14ac:dyDescent="0.2">
      <c r="B38" s="2"/>
      <c r="C38" s="2"/>
      <c r="D38" s="2"/>
      <c r="E38" s="76">
        <v>0</v>
      </c>
      <c r="F38" s="76">
        <v>0</v>
      </c>
      <c r="G38" s="76">
        <f t="shared" si="5"/>
        <v>0</v>
      </c>
    </row>
    <row r="39" spans="2:13" s="4" customFormat="1" ht="12.95" customHeight="1" x14ac:dyDescent="0.2">
      <c r="B39" s="2"/>
      <c r="C39" s="2"/>
      <c r="D39" s="2"/>
      <c r="E39" s="76">
        <v>0</v>
      </c>
      <c r="F39" s="76">
        <v>0</v>
      </c>
      <c r="G39" s="76">
        <f t="shared" si="5"/>
        <v>0</v>
      </c>
    </row>
    <row r="40" spans="2:13" s="81" customFormat="1" ht="12.95" customHeight="1" x14ac:dyDescent="0.2">
      <c r="B40" s="79" t="s">
        <v>26</v>
      </c>
      <c r="C40" s="79"/>
      <c r="D40" s="79"/>
      <c r="E40" s="79">
        <f>SUM(E35:E39)</f>
        <v>3500</v>
      </c>
      <c r="F40" s="79">
        <f>SUM(F35:F39)</f>
        <v>6241</v>
      </c>
      <c r="G40" s="79">
        <f t="shared" si="5"/>
        <v>9741</v>
      </c>
      <c r="M40" s="84"/>
    </row>
    <row r="41" spans="2:13" s="4" customFormat="1" ht="12.95" customHeight="1" x14ac:dyDescent="0.2">
      <c r="C41" s="2"/>
      <c r="D41" s="2"/>
      <c r="E41" s="41"/>
      <c r="F41" s="41"/>
      <c r="G41" s="41"/>
      <c r="M41"/>
    </row>
    <row r="42" spans="2:13" s="57" customFormat="1" ht="12.95" customHeight="1" x14ac:dyDescent="0.2">
      <c r="B42" s="85" t="s">
        <v>27</v>
      </c>
      <c r="C42" s="86"/>
      <c r="D42" s="86"/>
      <c r="E42" s="87">
        <f>SUM(E24+E32+E40)</f>
        <v>73841.145866666659</v>
      </c>
      <c r="F42" s="87">
        <f>SUM(F24+F32+F40)</f>
        <v>75600.120082666661</v>
      </c>
      <c r="G42" s="88">
        <f>SUM(E42:F42)</f>
        <v>149441.26594933332</v>
      </c>
      <c r="M42" s="89"/>
    </row>
    <row r="43" spans="2:13" s="4" customFormat="1" ht="12.95" customHeight="1" thickBot="1" x14ac:dyDescent="0.25">
      <c r="B43" s="29"/>
      <c r="C43" s="2"/>
      <c r="D43" s="2"/>
      <c r="E43" s="22"/>
      <c r="F43" s="22"/>
      <c r="G43" s="42"/>
      <c r="I43" s="44"/>
      <c r="J43" s="44"/>
      <c r="K43" s="44"/>
      <c r="L43" s="44"/>
      <c r="M43" s="44"/>
    </row>
    <row r="44" spans="2:13" s="4" customFormat="1" ht="12.95" customHeight="1" thickTop="1" x14ac:dyDescent="0.2">
      <c r="B44" s="117" t="s">
        <v>29</v>
      </c>
      <c r="C44" s="118"/>
      <c r="D44" s="118"/>
      <c r="E44" s="118"/>
      <c r="F44" s="118"/>
      <c r="G44" s="118"/>
      <c r="I44" s="44"/>
      <c r="J44"/>
      <c r="K44"/>
      <c r="L44"/>
      <c r="M44"/>
    </row>
    <row r="45" spans="2:13" s="4" customFormat="1" ht="12.95" customHeight="1" thickBot="1" x14ac:dyDescent="0.25">
      <c r="B45" s="119"/>
      <c r="C45" s="119"/>
      <c r="D45" s="119"/>
      <c r="E45" s="119"/>
      <c r="F45" s="119"/>
      <c r="G45" s="119"/>
      <c r="I45"/>
      <c r="J45"/>
      <c r="K45" s="35"/>
      <c r="L45"/>
      <c r="M45"/>
    </row>
    <row r="46" spans="2:13" s="4" customFormat="1" ht="12.95" customHeight="1" thickTop="1" x14ac:dyDescent="0.2">
      <c r="I46" s="50"/>
      <c r="J46" s="51"/>
      <c r="K46" s="51"/>
      <c r="L46" s="51"/>
      <c r="M46" s="67"/>
    </row>
    <row r="47" spans="2:13" s="4" customFormat="1" ht="12.95" customHeight="1" x14ac:dyDescent="0.2">
      <c r="B47" s="25" t="s">
        <v>13</v>
      </c>
      <c r="C47" s="25" t="s">
        <v>53</v>
      </c>
      <c r="D47" s="25" t="s">
        <v>54</v>
      </c>
      <c r="E47" s="21"/>
      <c r="F47" s="21"/>
      <c r="G47" s="27"/>
      <c r="I47" s="51"/>
      <c r="J47" s="51"/>
      <c r="K47" s="51"/>
      <c r="L47" s="51"/>
      <c r="M47" s="67"/>
    </row>
    <row r="48" spans="2:13" s="4" customFormat="1" ht="12.95" customHeight="1" x14ac:dyDescent="0.2">
      <c r="D48" s="57"/>
      <c r="E48" s="57">
        <f>C48*D48</f>
        <v>0</v>
      </c>
      <c r="F48" s="57">
        <v>0</v>
      </c>
      <c r="G48" s="57">
        <f>SUM(E48:F48)</f>
        <v>0</v>
      </c>
      <c r="I48"/>
      <c r="J48"/>
      <c r="K48"/>
      <c r="L48"/>
      <c r="M48"/>
    </row>
    <row r="49" spans="2:13" s="81" customFormat="1" ht="12.95" customHeight="1" x14ac:dyDescent="0.2">
      <c r="B49" s="79" t="s">
        <v>17</v>
      </c>
      <c r="C49" s="79"/>
      <c r="D49" s="79"/>
      <c r="E49" s="79">
        <f>SUM(E48:E48)</f>
        <v>0</v>
      </c>
      <c r="F49" s="79">
        <f>SUM(F48:F48)</f>
        <v>0</v>
      </c>
      <c r="G49" s="79">
        <f>SUM(E49:F49)</f>
        <v>0</v>
      </c>
      <c r="I49" s="94"/>
      <c r="J49" s="95"/>
      <c r="K49" s="95"/>
      <c r="L49" s="95"/>
      <c r="M49" s="96"/>
    </row>
    <row r="50" spans="2:13" s="4" customFormat="1" ht="12.95" customHeight="1" x14ac:dyDescent="0.2">
      <c r="D50" s="57"/>
      <c r="E50" s="57"/>
      <c r="F50" s="57"/>
      <c r="G50" s="57"/>
      <c r="I50" s="52"/>
      <c r="J50" s="52"/>
      <c r="K50" s="52"/>
      <c r="L50" s="52"/>
      <c r="M50" s="44"/>
    </row>
    <row r="51" spans="2:13" s="4" customFormat="1" ht="12.95" customHeight="1" x14ac:dyDescent="0.2">
      <c r="B51" s="25" t="s">
        <v>14</v>
      </c>
      <c r="C51" s="21"/>
      <c r="D51" s="85" t="s">
        <v>55</v>
      </c>
      <c r="E51" s="86"/>
      <c r="F51" s="86"/>
      <c r="G51" s="86"/>
      <c r="I51"/>
      <c r="J51"/>
      <c r="K51"/>
      <c r="L51"/>
      <c r="M51"/>
    </row>
    <row r="52" spans="2:13" s="4" customFormat="1" ht="12.95" customHeight="1" x14ac:dyDescent="0.2">
      <c r="D52" s="57"/>
      <c r="E52" s="57">
        <v>0</v>
      </c>
      <c r="F52" s="57">
        <v>0</v>
      </c>
      <c r="G52" s="76">
        <f>SUM(E52:F52)</f>
        <v>0</v>
      </c>
      <c r="I52"/>
      <c r="J52"/>
      <c r="K52" s="35"/>
      <c r="L52"/>
      <c r="M52"/>
    </row>
    <row r="53" spans="2:13" s="4" customFormat="1" ht="12.95" customHeight="1" x14ac:dyDescent="0.2">
      <c r="D53" s="57"/>
      <c r="E53" s="57">
        <v>0</v>
      </c>
      <c r="F53" s="57">
        <v>0</v>
      </c>
      <c r="G53" s="76">
        <f>SUM(E53:F53)</f>
        <v>0</v>
      </c>
      <c r="I53"/>
      <c r="J53"/>
      <c r="K53" s="35"/>
      <c r="L53"/>
      <c r="M53"/>
    </row>
    <row r="54" spans="2:13" s="4" customFormat="1" ht="12.95" customHeight="1" x14ac:dyDescent="0.2">
      <c r="D54" s="57"/>
      <c r="E54" s="57">
        <v>0</v>
      </c>
      <c r="F54" s="57">
        <v>0</v>
      </c>
      <c r="G54" s="76">
        <f>SUM(E54:F54)</f>
        <v>0</v>
      </c>
      <c r="I54"/>
      <c r="J54" s="50"/>
      <c r="K54" s="35"/>
      <c r="L54"/>
      <c r="M54"/>
    </row>
    <row r="55" spans="2:13" s="4" customFormat="1" ht="12.95" customHeight="1" x14ac:dyDescent="0.2">
      <c r="D55" s="57"/>
      <c r="E55" s="57">
        <v>0</v>
      </c>
      <c r="F55" s="57">
        <v>0</v>
      </c>
      <c r="G55" s="76">
        <f>SUM(E55:F55)</f>
        <v>0</v>
      </c>
      <c r="I55"/>
      <c r="J55" s="51"/>
      <c r="K55" s="35"/>
      <c r="L55"/>
      <c r="M55"/>
    </row>
    <row r="56" spans="2:13" s="81" customFormat="1" ht="12.95" customHeight="1" x14ac:dyDescent="0.2">
      <c r="B56" s="79" t="s">
        <v>16</v>
      </c>
      <c r="C56" s="79"/>
      <c r="D56" s="86"/>
      <c r="E56" s="79">
        <f>SUM(E52:E55)</f>
        <v>0</v>
      </c>
      <c r="F56" s="79">
        <f>SUM(F52:F55)</f>
        <v>0</v>
      </c>
      <c r="G56" s="79">
        <f>SUM(E56:F56)</f>
        <v>0</v>
      </c>
      <c r="M56" s="83"/>
    </row>
    <row r="57" spans="2:13" s="4" customFormat="1" ht="12.95" customHeight="1" thickBot="1" x14ac:dyDescent="0.25">
      <c r="D57" s="57"/>
      <c r="E57" s="57"/>
      <c r="F57" s="57"/>
      <c r="G57" s="57"/>
      <c r="J57" s="48"/>
      <c r="K57"/>
      <c r="L57"/>
      <c r="M57"/>
    </row>
    <row r="58" spans="2:13" s="4" customFormat="1" ht="12.95" customHeight="1" x14ac:dyDescent="0.2">
      <c r="B58" s="6" t="s">
        <v>11</v>
      </c>
      <c r="C58" s="31"/>
      <c r="D58" s="90"/>
      <c r="E58" s="91"/>
      <c r="F58" s="91"/>
      <c r="G58" s="91"/>
      <c r="I58" s="115" t="s">
        <v>57</v>
      </c>
      <c r="J58" s="116"/>
      <c r="K58"/>
      <c r="L58"/>
      <c r="M58"/>
    </row>
    <row r="59" spans="2:13" s="4" customFormat="1" ht="12.95" customHeight="1" x14ac:dyDescent="0.2">
      <c r="B59" s="113" t="str">
        <f>B11</f>
        <v>Grad Student</v>
      </c>
      <c r="C59" s="32"/>
      <c r="D59" s="114">
        <f>J62</f>
        <v>12604</v>
      </c>
      <c r="E59" s="93">
        <f>D59</f>
        <v>12604</v>
      </c>
      <c r="F59" s="93">
        <f>E59*1.05</f>
        <v>13234.2</v>
      </c>
      <c r="G59" s="76">
        <f>SUM(E59:F59)</f>
        <v>25838.2</v>
      </c>
      <c r="I59" s="71" t="s">
        <v>30</v>
      </c>
      <c r="J59" s="72">
        <v>4984</v>
      </c>
      <c r="K59" s="68"/>
      <c r="L59"/>
      <c r="M59"/>
    </row>
    <row r="60" spans="2:13" s="4" customFormat="1" ht="12.95" customHeight="1" x14ac:dyDescent="0.2">
      <c r="B60" s="32"/>
      <c r="C60" s="32"/>
      <c r="D60" s="92"/>
      <c r="E60" s="93">
        <v>0</v>
      </c>
      <c r="F60" s="93">
        <v>0</v>
      </c>
      <c r="G60" s="76">
        <f>SUM(E60:F60)</f>
        <v>0</v>
      </c>
      <c r="I60" s="71" t="s">
        <v>31</v>
      </c>
      <c r="J60" s="72">
        <v>554</v>
      </c>
      <c r="K60" s="68"/>
      <c r="L60"/>
      <c r="M60"/>
    </row>
    <row r="61" spans="2:13" s="4" customFormat="1" ht="12.95" customHeight="1" x14ac:dyDescent="0.2">
      <c r="B61" s="32"/>
      <c r="C61" s="32"/>
      <c r="D61" s="92"/>
      <c r="E61" s="93">
        <v>0</v>
      </c>
      <c r="F61" s="93">
        <v>0</v>
      </c>
      <c r="G61" s="76">
        <f>SUM(E61:F61)</f>
        <v>0</v>
      </c>
      <c r="I61" s="71" t="s">
        <v>32</v>
      </c>
      <c r="J61" s="72">
        <v>1041</v>
      </c>
      <c r="K61" s="68"/>
      <c r="L61"/>
      <c r="M61"/>
    </row>
    <row r="62" spans="2:13" s="4" customFormat="1" ht="12.95" customHeight="1" thickBot="1" x14ac:dyDescent="0.25">
      <c r="B62" s="32"/>
      <c r="C62" s="32"/>
      <c r="D62" s="92"/>
      <c r="E62" s="93">
        <v>0</v>
      </c>
      <c r="F62" s="93">
        <v>0</v>
      </c>
      <c r="G62" s="76">
        <f>SUM(E62:F62)</f>
        <v>0</v>
      </c>
      <c r="I62" s="107" t="s">
        <v>33</v>
      </c>
      <c r="J62" s="108">
        <f>J59+J59+J60+J61+J61</f>
        <v>12604</v>
      </c>
      <c r="K62" s="68"/>
      <c r="L62"/>
      <c r="M62"/>
    </row>
    <row r="63" spans="2:13" s="81" customFormat="1" ht="12.95" customHeight="1" x14ac:dyDescent="0.2">
      <c r="B63" s="79" t="s">
        <v>18</v>
      </c>
      <c r="C63" s="79"/>
      <c r="D63" s="79"/>
      <c r="E63" s="79">
        <f t="shared" ref="E63:G63" si="6">SUM(E59:E62)</f>
        <v>12604</v>
      </c>
      <c r="F63" s="79">
        <f t="shared" si="6"/>
        <v>13234.2</v>
      </c>
      <c r="G63" s="79">
        <f t="shared" si="6"/>
        <v>25838.2</v>
      </c>
      <c r="M63" s="83"/>
    </row>
    <row r="64" spans="2:13" s="4" customFormat="1" ht="12.95" customHeight="1" x14ac:dyDescent="0.2">
      <c r="B64" s="2"/>
      <c r="C64" s="2"/>
      <c r="D64" s="76"/>
      <c r="E64" s="76"/>
      <c r="F64" s="76"/>
      <c r="G64" s="76"/>
      <c r="M64"/>
    </row>
    <row r="65" spans="2:13" s="81" customFormat="1" ht="12.95" customHeight="1" x14ac:dyDescent="0.2">
      <c r="B65" s="97" t="s">
        <v>8</v>
      </c>
      <c r="C65" s="98"/>
      <c r="D65" s="98"/>
      <c r="E65" s="99">
        <f>SUM(E42+E49+E56+E63)</f>
        <v>86445.145866666659</v>
      </c>
      <c r="F65" s="99">
        <f>SUM(F42+F49+F56+F63)</f>
        <v>88834.320082666658</v>
      </c>
      <c r="G65" s="97">
        <f>SUM(E65:F65)</f>
        <v>175279.46594933333</v>
      </c>
      <c r="M65" s="83"/>
    </row>
    <row r="66" spans="2:13" s="4" customFormat="1" ht="12.95" customHeight="1" thickBot="1" x14ac:dyDescent="0.25">
      <c r="B66" s="29"/>
      <c r="C66" s="43"/>
      <c r="D66" s="49"/>
      <c r="E66" s="45"/>
      <c r="F66" s="45"/>
      <c r="G66" s="46"/>
      <c r="I66"/>
      <c r="J66" s="69"/>
      <c r="K66" s="48"/>
      <c r="L66"/>
      <c r="M66"/>
    </row>
    <row r="67" spans="2:13" s="4" customFormat="1" ht="12.95" customHeight="1" thickBot="1" x14ac:dyDescent="0.25">
      <c r="B67" s="25" t="s">
        <v>7</v>
      </c>
      <c r="C67" s="30"/>
      <c r="D67" s="53">
        <v>0.5</v>
      </c>
      <c r="E67" s="97">
        <f>E42*D67</f>
        <v>36920.572933333329</v>
      </c>
      <c r="F67" s="97">
        <f>F42*D67</f>
        <v>37800.06004133333</v>
      </c>
      <c r="G67" s="97">
        <f>SUM(E67:F67)</f>
        <v>74720.63297466666</v>
      </c>
      <c r="I67" s="73"/>
      <c r="J67" s="73"/>
      <c r="K67" s="63"/>
      <c r="L67"/>
      <c r="M67"/>
    </row>
    <row r="68" spans="2:13" s="4" customFormat="1" ht="12.95" customHeight="1" x14ac:dyDescent="0.2">
      <c r="B68" s="32"/>
      <c r="C68" s="32"/>
      <c r="D68" s="32"/>
      <c r="E68" s="100"/>
      <c r="F68" s="100"/>
      <c r="G68" s="101"/>
      <c r="I68" s="73"/>
      <c r="J68" s="63"/>
      <c r="K68" s="70"/>
      <c r="L68"/>
      <c r="M68"/>
    </row>
    <row r="69" spans="2:13" s="4" customFormat="1" ht="12.95" customHeight="1" thickBot="1" x14ac:dyDescent="0.25">
      <c r="B69" s="33" t="s">
        <v>28</v>
      </c>
      <c r="C69" s="34"/>
      <c r="D69" s="34"/>
      <c r="E69" s="102">
        <f>SUM(E65+E67)</f>
        <v>123365.71879999999</v>
      </c>
      <c r="F69" s="102">
        <f>SUM(F65+F67)</f>
        <v>126634.38012399999</v>
      </c>
      <c r="G69" s="102">
        <f>SUM(E69:F69)</f>
        <v>250000.09892399999</v>
      </c>
      <c r="I69" s="74"/>
      <c r="J69" s="70"/>
      <c r="K69" s="35"/>
      <c r="L69"/>
      <c r="M69"/>
    </row>
    <row r="70" spans="2:13" ht="15" customHeight="1" thickTop="1" x14ac:dyDescent="0.25">
      <c r="B70" s="8"/>
      <c r="C70" s="8"/>
      <c r="D70" s="8"/>
      <c r="E70" s="7"/>
      <c r="F70" s="7"/>
      <c r="G70" s="4" t="s">
        <v>65</v>
      </c>
      <c r="I70" s="75"/>
      <c r="J70" s="35"/>
      <c r="K70" s="35"/>
      <c r="L70"/>
      <c r="M70"/>
    </row>
    <row r="71" spans="2:13" ht="15" customHeight="1" x14ac:dyDescent="0.2">
      <c r="I71"/>
      <c r="J71" s="35"/>
      <c r="K71"/>
      <c r="L71"/>
      <c r="M71"/>
    </row>
    <row r="72" spans="2:13" ht="15" x14ac:dyDescent="0.25">
      <c r="B72" s="4"/>
      <c r="I72"/>
      <c r="J72" s="36"/>
      <c r="K72" s="37"/>
      <c r="L72"/>
      <c r="M72"/>
    </row>
    <row r="73" spans="2:13" ht="15" x14ac:dyDescent="0.2">
      <c r="I73"/>
      <c r="J73" s="35"/>
      <c r="K73" s="35"/>
      <c r="L73"/>
      <c r="M73"/>
    </row>
    <row r="74" spans="2:13" ht="15" x14ac:dyDescent="0.2">
      <c r="I74"/>
      <c r="J74" s="35"/>
      <c r="K74" s="35"/>
      <c r="L74"/>
      <c r="M74"/>
    </row>
    <row r="75" spans="2:13" ht="13.5" customHeight="1" x14ac:dyDescent="0.2">
      <c r="B75" s="4"/>
      <c r="I75"/>
      <c r="J75" s="36"/>
      <c r="K75"/>
      <c r="L75"/>
      <c r="M75"/>
    </row>
    <row r="76" spans="2:13" ht="15" x14ac:dyDescent="0.25">
      <c r="I76"/>
      <c r="J76" s="36"/>
      <c r="K76" s="38"/>
      <c r="L76"/>
      <c r="M76"/>
    </row>
    <row r="77" spans="2:13" ht="14.25" customHeight="1" x14ac:dyDescent="0.2">
      <c r="I77"/>
      <c r="J77" s="35"/>
      <c r="K77"/>
      <c r="L77"/>
      <c r="M77"/>
    </row>
    <row r="78" spans="2:13" ht="13.5" hidden="1" customHeight="1" x14ac:dyDescent="0.25">
      <c r="I78"/>
      <c r="J78" s="36"/>
      <c r="K78" s="38"/>
      <c r="L78"/>
      <c r="M78"/>
    </row>
    <row r="79" spans="2:13" hidden="1" x14ac:dyDescent="0.2">
      <c r="I79"/>
      <c r="J79" s="39" t="e">
        <f>AVERAGE(0.453*#REF!+0.46*#REF!+0.475*#REF!)/SUM(#REF!+#REF!+#REF!)</f>
        <v>#REF!</v>
      </c>
      <c r="K79"/>
      <c r="L79"/>
      <c r="M79"/>
    </row>
    <row r="80" spans="2:13" ht="13.5" hidden="1" customHeight="1" x14ac:dyDescent="0.2"/>
    <row r="81" spans="13:13" ht="13.5" customHeight="1" x14ac:dyDescent="0.2"/>
    <row r="82" spans="13:13" ht="13.5" customHeight="1" x14ac:dyDescent="0.2">
      <c r="M82"/>
    </row>
    <row r="84" spans="13:13" ht="13.5" customHeight="1" x14ac:dyDescent="0.2"/>
    <row r="85" spans="13:13" ht="13.5" customHeight="1" x14ac:dyDescent="0.2"/>
    <row r="97" spans="9:13" x14ac:dyDescent="0.2">
      <c r="I97"/>
      <c r="J97" s="40"/>
      <c r="K97" s="40"/>
      <c r="L97" s="40"/>
      <c r="M97"/>
    </row>
  </sheetData>
  <mergeCells count="6">
    <mergeCell ref="I58:J58"/>
    <mergeCell ref="B44:G45"/>
    <mergeCell ref="M2:N2"/>
    <mergeCell ref="I26:J26"/>
    <mergeCell ref="I16:J16"/>
    <mergeCell ref="I4:J4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FY23 Template</vt:lpstr>
      <vt:lpstr>Sheet1</vt:lpstr>
      <vt:lpstr>'FY23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2023-01-09T17:46:10Z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