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Master table" sheetId="1" r:id="rId1"/>
    <sheet name="Source tab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6" i="1"/>
  <c r="V2" i="1"/>
  <c r="V7" i="1" s="1"/>
  <c r="V10" i="1"/>
  <c r="V14" i="1"/>
  <c r="V18" i="1"/>
  <c r="V22" i="1"/>
  <c r="V23" i="1"/>
  <c r="V26" i="1"/>
  <c r="V27" i="1"/>
  <c r="V30" i="1"/>
  <c r="V31" i="1"/>
  <c r="V34" i="1"/>
  <c r="V35" i="1"/>
  <c r="V38" i="1"/>
  <c r="V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6" i="1"/>
  <c r="E6" i="1"/>
  <c r="E7" i="1"/>
  <c r="E8" i="1"/>
  <c r="E9" i="1"/>
  <c r="E10" i="1"/>
  <c r="E11" i="1"/>
  <c r="E12" i="1"/>
  <c r="E13" i="1"/>
  <c r="E1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H76" i="2"/>
  <c r="L76" i="2"/>
  <c r="H77" i="2"/>
  <c r="L77" i="2"/>
  <c r="H78" i="2"/>
  <c r="K78" i="2"/>
  <c r="L78" i="2"/>
  <c r="H79" i="2"/>
  <c r="K79" i="2"/>
  <c r="L79" i="2"/>
  <c r="H80" i="2"/>
  <c r="K80" i="2"/>
  <c r="L80" i="2"/>
  <c r="H81" i="2"/>
  <c r="K81" i="2"/>
  <c r="L81" i="2"/>
  <c r="H82" i="2"/>
  <c r="K82" i="2"/>
  <c r="L82" i="2"/>
  <c r="H83" i="2"/>
  <c r="K83" i="2"/>
  <c r="L83" i="2"/>
  <c r="H84" i="2"/>
  <c r="K84" i="2"/>
  <c r="L84" i="2"/>
  <c r="F85" i="2"/>
  <c r="G85" i="2"/>
  <c r="H85" i="2"/>
  <c r="I85" i="2"/>
  <c r="J85" i="2"/>
  <c r="K85" i="2"/>
  <c r="L85" i="2"/>
  <c r="F86" i="2"/>
  <c r="G86" i="2"/>
  <c r="H86" i="2"/>
  <c r="I86" i="2"/>
  <c r="J86" i="2"/>
  <c r="K86" i="2"/>
  <c r="L86" i="2"/>
  <c r="F87" i="2"/>
  <c r="G87" i="2"/>
  <c r="H87" i="2"/>
  <c r="I87" i="2"/>
  <c r="J87" i="2"/>
  <c r="K87" i="2"/>
  <c r="L87" i="2"/>
  <c r="F88" i="2"/>
  <c r="G88" i="2"/>
  <c r="I88" i="2"/>
  <c r="J88" i="2"/>
  <c r="K88" i="2"/>
  <c r="F89" i="2"/>
  <c r="G89" i="2"/>
  <c r="I89" i="2"/>
  <c r="J89" i="2"/>
  <c r="K89" i="2"/>
  <c r="F90" i="2"/>
  <c r="G90" i="2"/>
  <c r="I90" i="2"/>
  <c r="J90" i="2"/>
  <c r="K90" i="2"/>
  <c r="F91" i="2"/>
  <c r="G91" i="2"/>
  <c r="I91" i="2"/>
  <c r="J91" i="2"/>
  <c r="K91" i="2"/>
  <c r="F92" i="2"/>
  <c r="G92" i="2"/>
  <c r="I92" i="2"/>
  <c r="J92" i="2"/>
  <c r="K92" i="2"/>
  <c r="F93" i="2"/>
  <c r="G93" i="2"/>
  <c r="I93" i="2"/>
  <c r="J93" i="2"/>
  <c r="K93" i="2"/>
  <c r="G94" i="2"/>
  <c r="I94" i="2"/>
  <c r="J94" i="2"/>
  <c r="K94" i="2"/>
  <c r="T38" i="1"/>
  <c r="S38" i="1"/>
  <c r="R38" i="1"/>
  <c r="Q38" i="1"/>
  <c r="P38" i="1"/>
  <c r="O38" i="1"/>
  <c r="R37" i="1"/>
  <c r="Q37" i="1"/>
  <c r="P37" i="1"/>
  <c r="O37" i="1"/>
  <c r="T36" i="1"/>
  <c r="S36" i="1"/>
  <c r="R36" i="1"/>
  <c r="Q36" i="1"/>
  <c r="P36" i="1"/>
  <c r="O36" i="1"/>
  <c r="T35" i="1"/>
  <c r="S35" i="1"/>
  <c r="R35" i="1"/>
  <c r="Q35" i="1"/>
  <c r="P35" i="1"/>
  <c r="O35" i="1"/>
  <c r="T34" i="1"/>
  <c r="S34" i="1"/>
  <c r="R34" i="1"/>
  <c r="Q34" i="1"/>
  <c r="P34" i="1"/>
  <c r="O34" i="1"/>
  <c r="T33" i="1"/>
  <c r="S33" i="1"/>
  <c r="R33" i="1"/>
  <c r="Q33" i="1"/>
  <c r="P33" i="1"/>
  <c r="O33" i="1"/>
  <c r="T32" i="1"/>
  <c r="S32" i="1"/>
  <c r="R32" i="1"/>
  <c r="Q32" i="1"/>
  <c r="P32" i="1"/>
  <c r="O32" i="1"/>
  <c r="Q31" i="1"/>
  <c r="P31" i="1"/>
  <c r="O31" i="1"/>
  <c r="T30" i="1"/>
  <c r="S30" i="1"/>
  <c r="R30" i="1"/>
  <c r="Q30" i="1"/>
  <c r="P30" i="1"/>
  <c r="O30" i="1"/>
  <c r="T29" i="1"/>
  <c r="S29" i="1"/>
  <c r="R29" i="1"/>
  <c r="Q29" i="1"/>
  <c r="P29" i="1"/>
  <c r="O29" i="1"/>
  <c r="T28" i="1"/>
  <c r="S28" i="1"/>
  <c r="R28" i="1"/>
  <c r="Q28" i="1"/>
  <c r="P28" i="1"/>
  <c r="O28" i="1"/>
  <c r="T27" i="1"/>
  <c r="S27" i="1"/>
  <c r="R27" i="1"/>
  <c r="Q27" i="1"/>
  <c r="P27" i="1"/>
  <c r="O27" i="1"/>
  <c r="T26" i="1"/>
  <c r="S26" i="1"/>
  <c r="R26" i="1"/>
  <c r="Q26" i="1"/>
  <c r="P26" i="1"/>
  <c r="O26" i="1"/>
  <c r="T25" i="1"/>
  <c r="S25" i="1"/>
  <c r="R25" i="1"/>
  <c r="Q25" i="1"/>
  <c r="P25" i="1"/>
  <c r="O25" i="1"/>
  <c r="T24" i="1"/>
  <c r="R24" i="1"/>
  <c r="T23" i="1"/>
  <c r="Q23" i="1"/>
  <c r="T22" i="1"/>
  <c r="S22" i="1"/>
  <c r="P22" i="1"/>
  <c r="O22" i="1"/>
  <c r="T21" i="1"/>
  <c r="T20" i="1"/>
  <c r="S20" i="1"/>
  <c r="O20" i="1"/>
  <c r="T19" i="1"/>
  <c r="T18" i="1"/>
  <c r="O18" i="1"/>
  <c r="T17" i="1"/>
  <c r="S17" i="1"/>
  <c r="T16" i="1"/>
  <c r="R16" i="1"/>
  <c r="O16" i="1"/>
  <c r="T15" i="1"/>
  <c r="S15" i="1"/>
  <c r="P15" i="1"/>
  <c r="T14" i="1"/>
  <c r="T13" i="1"/>
  <c r="Q13" i="1"/>
  <c r="T12" i="1"/>
  <c r="S12" i="1"/>
  <c r="T11" i="1"/>
  <c r="Q11" i="1"/>
  <c r="P11" i="1"/>
  <c r="T10" i="1"/>
  <c r="R10" i="1"/>
  <c r="O10" i="1"/>
  <c r="T9" i="1"/>
  <c r="P9" i="1"/>
  <c r="T8" i="1"/>
  <c r="R8" i="1"/>
  <c r="Q7" i="1"/>
  <c r="P7" i="1"/>
  <c r="N7" i="1"/>
  <c r="N8" i="1"/>
  <c r="N9" i="1"/>
  <c r="N10" i="1"/>
  <c r="N11" i="1"/>
  <c r="N12" i="1"/>
  <c r="N13" i="1"/>
  <c r="N14" i="1"/>
  <c r="N27" i="1"/>
  <c r="N31" i="1"/>
  <c r="N6" i="1"/>
  <c r="Q37" i="2"/>
  <c r="U37" i="2"/>
  <c r="Q38" i="2"/>
  <c r="U38" i="2"/>
  <c r="Q39" i="2"/>
  <c r="T39" i="2"/>
  <c r="U39" i="2"/>
  <c r="Q40" i="2"/>
  <c r="T40" i="2"/>
  <c r="U40" i="2"/>
  <c r="Q41" i="2"/>
  <c r="T41" i="2"/>
  <c r="U41" i="2"/>
  <c r="Q42" i="2"/>
  <c r="T42" i="2"/>
  <c r="U42" i="2"/>
  <c r="Q43" i="2"/>
  <c r="T43" i="2"/>
  <c r="U43" i="2"/>
  <c r="Q44" i="2"/>
  <c r="T44" i="2"/>
  <c r="U44" i="2"/>
  <c r="Q45" i="2"/>
  <c r="T45" i="2"/>
  <c r="U45" i="2"/>
  <c r="O46" i="2"/>
  <c r="P46" i="2"/>
  <c r="Q46" i="2"/>
  <c r="R46" i="2"/>
  <c r="S46" i="2"/>
  <c r="T46" i="2"/>
  <c r="U46" i="2"/>
  <c r="O47" i="2"/>
  <c r="P47" i="2"/>
  <c r="Q47" i="2"/>
  <c r="R47" i="2"/>
  <c r="S47" i="2"/>
  <c r="T47" i="2"/>
  <c r="U47" i="2"/>
  <c r="O48" i="2"/>
  <c r="P48" i="2"/>
  <c r="Q48" i="2"/>
  <c r="R48" i="2"/>
  <c r="S48" i="2"/>
  <c r="T48" i="2"/>
  <c r="U48" i="2"/>
  <c r="O49" i="2"/>
  <c r="P49" i="2"/>
  <c r="R49" i="2"/>
  <c r="S49" i="2"/>
  <c r="T49" i="2"/>
  <c r="O50" i="2"/>
  <c r="P50" i="2"/>
  <c r="R50" i="2"/>
  <c r="S50" i="2"/>
  <c r="T50" i="2"/>
  <c r="O51" i="2"/>
  <c r="P51" i="2"/>
  <c r="R51" i="2"/>
  <c r="S51" i="2"/>
  <c r="T51" i="2"/>
  <c r="O52" i="2"/>
  <c r="P52" i="2"/>
  <c r="R52" i="2"/>
  <c r="S52" i="2"/>
  <c r="T52" i="2"/>
  <c r="O53" i="2"/>
  <c r="P53" i="2"/>
  <c r="R53" i="2"/>
  <c r="S53" i="2"/>
  <c r="T53" i="2"/>
  <c r="O54" i="2"/>
  <c r="P54" i="2"/>
  <c r="R54" i="2"/>
  <c r="S54" i="2"/>
  <c r="T54" i="2"/>
  <c r="P55" i="2"/>
  <c r="R55" i="2"/>
  <c r="S55" i="2"/>
  <c r="T55" i="2"/>
  <c r="Q30" i="2"/>
  <c r="P30" i="2"/>
  <c r="P29" i="2"/>
  <c r="O29" i="2"/>
  <c r="Q28" i="2"/>
  <c r="P28" i="2"/>
  <c r="O28" i="2"/>
  <c r="Q27" i="2"/>
  <c r="P27" i="2"/>
  <c r="O27" i="2"/>
  <c r="Q26" i="2"/>
  <c r="P26" i="2"/>
  <c r="O26" i="2"/>
  <c r="P25" i="2"/>
  <c r="O25" i="2"/>
  <c r="Q24" i="2"/>
  <c r="P24" i="2"/>
  <c r="O24" i="2"/>
  <c r="S23" i="2"/>
  <c r="Q23" i="2"/>
  <c r="P23" i="2"/>
  <c r="T22" i="2"/>
  <c r="S22" i="2"/>
  <c r="Q22" i="2"/>
  <c r="P22" i="2"/>
  <c r="O22" i="2"/>
  <c r="T21" i="2"/>
  <c r="S21" i="2"/>
  <c r="P21" i="2"/>
  <c r="O21" i="2"/>
  <c r="T20" i="2"/>
  <c r="S20" i="2"/>
  <c r="Q20" i="2"/>
  <c r="P20" i="2"/>
  <c r="O20" i="2"/>
  <c r="T19" i="2"/>
  <c r="S19" i="2"/>
  <c r="Q19" i="2"/>
  <c r="P19" i="2"/>
  <c r="O19" i="2"/>
  <c r="T18" i="2"/>
  <c r="S18" i="2"/>
  <c r="Q18" i="2"/>
  <c r="P18" i="2"/>
  <c r="O18" i="2"/>
  <c r="T17" i="2"/>
  <c r="S17" i="2"/>
  <c r="Q17" i="2"/>
  <c r="P17" i="2"/>
  <c r="O17" i="2"/>
  <c r="T16" i="2"/>
  <c r="S16" i="2"/>
  <c r="P16" i="2"/>
  <c r="O16" i="2"/>
  <c r="T15" i="2"/>
  <c r="S15" i="2"/>
  <c r="Q15" i="2"/>
  <c r="P15" i="2"/>
  <c r="O15" i="2"/>
  <c r="T14" i="2"/>
  <c r="S14" i="2"/>
  <c r="P14" i="2"/>
  <c r="O14" i="2"/>
  <c r="T13" i="2"/>
  <c r="S13" i="2"/>
  <c r="T12" i="2"/>
  <c r="S12" i="2"/>
  <c r="T11" i="2"/>
  <c r="S11" i="2"/>
  <c r="T10" i="2"/>
  <c r="S10" i="2"/>
  <c r="T9" i="2"/>
  <c r="S9" i="2"/>
  <c r="T8" i="2"/>
  <c r="S8" i="2"/>
  <c r="K24" i="2"/>
  <c r="J24" i="2"/>
  <c r="I24" i="2"/>
  <c r="K23" i="2"/>
  <c r="J23" i="2"/>
  <c r="I23" i="2"/>
  <c r="K22" i="2"/>
  <c r="J22" i="2"/>
  <c r="I22" i="2"/>
  <c r="K21" i="2"/>
  <c r="J21" i="2"/>
  <c r="I21" i="2"/>
  <c r="K20" i="2"/>
  <c r="J20" i="2"/>
  <c r="I20" i="2"/>
  <c r="K19" i="2"/>
  <c r="J19" i="2"/>
  <c r="I19" i="2"/>
  <c r="K18" i="2"/>
  <c r="J18" i="2"/>
  <c r="I18" i="2"/>
  <c r="K17" i="2"/>
  <c r="J17" i="2"/>
  <c r="I17" i="2"/>
  <c r="K16" i="2"/>
  <c r="J16" i="2"/>
  <c r="I16" i="2"/>
  <c r="K15" i="2"/>
  <c r="J15" i="2"/>
  <c r="I15" i="2"/>
  <c r="K14" i="2"/>
  <c r="J14" i="2"/>
  <c r="I14" i="2"/>
  <c r="K13" i="2"/>
  <c r="J13" i="2"/>
  <c r="I13" i="2"/>
  <c r="K12" i="2"/>
  <c r="J12" i="2"/>
  <c r="I12" i="2"/>
  <c r="K11" i="2"/>
  <c r="J11" i="2"/>
  <c r="I11" i="2"/>
  <c r="K10" i="2"/>
  <c r="J10" i="2"/>
  <c r="I10" i="2"/>
  <c r="K9" i="2"/>
  <c r="J9" i="2"/>
  <c r="I9" i="2"/>
  <c r="K8" i="2"/>
  <c r="J8" i="2"/>
  <c r="I8" i="2"/>
  <c r="K9" i="1"/>
  <c r="K7" i="1"/>
  <c r="T7" i="1" s="1"/>
  <c r="K6" i="1"/>
  <c r="T6" i="1" s="1"/>
  <c r="I7" i="1"/>
  <c r="R7" i="1" s="1"/>
  <c r="D26" i="1"/>
  <c r="N26" i="1" s="1"/>
  <c r="D27" i="1"/>
  <c r="D28" i="1"/>
  <c r="N28" i="1" s="1"/>
  <c r="D29" i="1"/>
  <c r="N29" i="1" s="1"/>
  <c r="D30" i="1"/>
  <c r="N30" i="1" s="1"/>
  <c r="D31" i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25" i="1"/>
  <c r="N25" i="1" s="1"/>
  <c r="D24" i="1"/>
  <c r="N24" i="1" s="1"/>
  <c r="K31" i="1"/>
  <c r="T31" i="1" s="1"/>
  <c r="J31" i="1"/>
  <c r="S31" i="1" s="1"/>
  <c r="I31" i="1"/>
  <c r="R31" i="1" s="1"/>
  <c r="K37" i="1"/>
  <c r="T37" i="1" s="1"/>
  <c r="J37" i="1"/>
  <c r="S37" i="1" s="1"/>
  <c r="I37" i="1"/>
  <c r="J24" i="1"/>
  <c r="S24" i="1" s="1"/>
  <c r="J23" i="1"/>
  <c r="S23" i="1" s="1"/>
  <c r="J21" i="1"/>
  <c r="S21" i="1" s="1"/>
  <c r="J20" i="1"/>
  <c r="J19" i="1"/>
  <c r="S19" i="1" s="1"/>
  <c r="J18" i="1"/>
  <c r="S18" i="1" s="1"/>
  <c r="J16" i="1"/>
  <c r="S16" i="1" s="1"/>
  <c r="I24" i="1"/>
  <c r="I23" i="1"/>
  <c r="R23" i="1" s="1"/>
  <c r="I22" i="1"/>
  <c r="R22" i="1" s="1"/>
  <c r="I21" i="1"/>
  <c r="R21" i="1" s="1"/>
  <c r="I20" i="1"/>
  <c r="R20" i="1" s="1"/>
  <c r="I19" i="1"/>
  <c r="R19" i="1" s="1"/>
  <c r="I18" i="1"/>
  <c r="R18" i="1" s="1"/>
  <c r="I17" i="1"/>
  <c r="R17" i="1" s="1"/>
  <c r="I16" i="1"/>
  <c r="I15" i="1"/>
  <c r="R15" i="1" s="1"/>
  <c r="J14" i="1"/>
  <c r="S14" i="1" s="1"/>
  <c r="J13" i="1"/>
  <c r="S13" i="1" s="1"/>
  <c r="J12" i="1"/>
  <c r="J11" i="1"/>
  <c r="S11" i="1" s="1"/>
  <c r="J10" i="1"/>
  <c r="S10" i="1" s="1"/>
  <c r="J8" i="1"/>
  <c r="I14" i="1"/>
  <c r="R14" i="1" s="1"/>
  <c r="I13" i="1"/>
  <c r="R13" i="1" s="1"/>
  <c r="I12" i="1"/>
  <c r="R12" i="1" s="1"/>
  <c r="I11" i="1"/>
  <c r="R11" i="1" s="1"/>
  <c r="I10" i="1"/>
  <c r="I8" i="1"/>
  <c r="I6" i="1" s="1"/>
  <c r="R6" i="1" s="1"/>
  <c r="F24" i="1"/>
  <c r="O24" i="1" s="1"/>
  <c r="F23" i="1"/>
  <c r="O23" i="1" s="1"/>
  <c r="F22" i="1"/>
  <c r="F6" i="1"/>
  <c r="O6" i="1" s="1"/>
  <c r="G6" i="1"/>
  <c r="H6" i="1" s="1"/>
  <c r="Q6" i="1" s="1"/>
  <c r="F7" i="1"/>
  <c r="O7" i="1" s="1"/>
  <c r="G7" i="1"/>
  <c r="H7" i="1" s="1"/>
  <c r="F8" i="1"/>
  <c r="O8" i="1" s="1"/>
  <c r="G8" i="1"/>
  <c r="H8" i="1" s="1"/>
  <c r="Q8" i="1" s="1"/>
  <c r="F9" i="1"/>
  <c r="O9" i="1" s="1"/>
  <c r="G9" i="1"/>
  <c r="H9" i="1" s="1"/>
  <c r="Q9" i="1" s="1"/>
  <c r="F10" i="1"/>
  <c r="G10" i="1"/>
  <c r="H10" i="1" s="1"/>
  <c r="Q10" i="1" s="1"/>
  <c r="F11" i="1"/>
  <c r="O11" i="1" s="1"/>
  <c r="G11" i="1"/>
  <c r="H11" i="1" s="1"/>
  <c r="F12" i="1"/>
  <c r="O12" i="1" s="1"/>
  <c r="G12" i="1"/>
  <c r="H12" i="1" s="1"/>
  <c r="Q12" i="1" s="1"/>
  <c r="F13" i="1"/>
  <c r="O13" i="1" s="1"/>
  <c r="G13" i="1"/>
  <c r="H13" i="1" s="1"/>
  <c r="F14" i="1"/>
  <c r="O14" i="1" s="1"/>
  <c r="G14" i="1"/>
  <c r="H14" i="1" s="1"/>
  <c r="Q14" i="1" s="1"/>
  <c r="C15" i="1"/>
  <c r="D15" i="1" s="1"/>
  <c r="N15" i="1" s="1"/>
  <c r="F15" i="1"/>
  <c r="O15" i="1" s="1"/>
  <c r="G15" i="1"/>
  <c r="H15" i="1"/>
  <c r="Q15" i="1" s="1"/>
  <c r="C16" i="1"/>
  <c r="D16" i="1" s="1"/>
  <c r="N16" i="1" s="1"/>
  <c r="F16" i="1"/>
  <c r="G16" i="1"/>
  <c r="P16" i="1" s="1"/>
  <c r="H16" i="1"/>
  <c r="Q16" i="1" s="1"/>
  <c r="C17" i="1"/>
  <c r="D17" i="1" s="1"/>
  <c r="N17" i="1" s="1"/>
  <c r="F17" i="1"/>
  <c r="O17" i="1" s="1"/>
  <c r="G17" i="1"/>
  <c r="P17" i="1" s="1"/>
  <c r="H17" i="1"/>
  <c r="Q17" i="1" s="1"/>
  <c r="C18" i="1"/>
  <c r="D18" i="1" s="1"/>
  <c r="N18" i="1" s="1"/>
  <c r="F18" i="1"/>
  <c r="G18" i="1"/>
  <c r="P18" i="1" s="1"/>
  <c r="H18" i="1"/>
  <c r="Q18" i="1" s="1"/>
  <c r="C19" i="1"/>
  <c r="D19" i="1" s="1"/>
  <c r="N19" i="1" s="1"/>
  <c r="F19" i="1"/>
  <c r="O19" i="1" s="1"/>
  <c r="G19" i="1"/>
  <c r="P19" i="1" s="1"/>
  <c r="H19" i="1"/>
  <c r="Q19" i="1" s="1"/>
  <c r="C20" i="1"/>
  <c r="D20" i="1" s="1"/>
  <c r="N20" i="1" s="1"/>
  <c r="F20" i="1"/>
  <c r="G20" i="1"/>
  <c r="P20" i="1" s="1"/>
  <c r="H20" i="1"/>
  <c r="Q20" i="1" s="1"/>
  <c r="C21" i="1"/>
  <c r="D21" i="1" s="1"/>
  <c r="N21" i="1" s="1"/>
  <c r="F21" i="1"/>
  <c r="O21" i="1" s="1"/>
  <c r="G21" i="1"/>
  <c r="P21" i="1" s="1"/>
  <c r="H21" i="1"/>
  <c r="Q21" i="1" s="1"/>
  <c r="C22" i="1"/>
  <c r="D22" i="1" s="1"/>
  <c r="N22" i="1" s="1"/>
  <c r="G22" i="1"/>
  <c r="H22" i="1"/>
  <c r="Q22" i="1" s="1"/>
  <c r="C23" i="1"/>
  <c r="D23" i="1" s="1"/>
  <c r="N23" i="1" s="1"/>
  <c r="G23" i="1"/>
  <c r="P23" i="1" s="1"/>
  <c r="H23" i="1"/>
  <c r="G24" i="1"/>
  <c r="P24" i="1" s="1"/>
  <c r="H24" i="1"/>
  <c r="Q24" i="1" s="1"/>
  <c r="V37" i="1" l="1"/>
  <c r="V33" i="1"/>
  <c r="V29" i="1"/>
  <c r="V25" i="1"/>
  <c r="V21" i="1"/>
  <c r="V17" i="1"/>
  <c r="V13" i="1"/>
  <c r="V9" i="1"/>
  <c r="V36" i="1"/>
  <c r="V32" i="1"/>
  <c r="V28" i="1"/>
  <c r="V24" i="1"/>
  <c r="V20" i="1"/>
  <c r="V16" i="1"/>
  <c r="V12" i="1"/>
  <c r="V8" i="1"/>
  <c r="V19" i="1"/>
  <c r="V15" i="1"/>
  <c r="V11" i="1"/>
  <c r="P13" i="1"/>
  <c r="S8" i="1"/>
  <c r="J9" i="1"/>
  <c r="S9" i="1" s="1"/>
  <c r="J7" i="1"/>
  <c r="S7" i="1" s="1"/>
  <c r="J6" i="1"/>
  <c r="S6" i="1" s="1"/>
  <c r="I9" i="1"/>
  <c r="R9" i="1" s="1"/>
  <c r="P6" i="1"/>
  <c r="P8" i="1"/>
  <c r="P10" i="1"/>
  <c r="P12" i="1"/>
  <c r="P14" i="1"/>
</calcChain>
</file>

<file path=xl/sharedStrings.xml><?xml version="1.0" encoding="utf-8"?>
<sst xmlns="http://schemas.openxmlformats.org/spreadsheetml/2006/main" count="269" uniqueCount="72">
  <si>
    <t>Nut Size</t>
  </si>
  <si>
    <t>Diameter*</t>
  </si>
  <si>
    <t>Height</t>
  </si>
  <si>
    <t>Hex Nut</t>
  </si>
  <si>
    <t>Jam Nut</t>
  </si>
  <si>
    <t>Nylock Nut</t>
  </si>
  <si>
    <t>-</t>
  </si>
  <si>
    <t>Size</t>
  </si>
  <si>
    <t>Diam.*</t>
  </si>
  <si>
    <t>Machine Screw Nut</t>
  </si>
  <si>
    <t>Unit</t>
  </si>
  <si>
    <t>#</t>
  </si>
  <si>
    <t>in</t>
  </si>
  <si>
    <t>mm</t>
  </si>
  <si>
    <t>Jam height</t>
  </si>
  <si>
    <t>Maj dia</t>
  </si>
  <si>
    <t>#2</t>
  </si>
  <si>
    <t>#4</t>
  </si>
  <si>
    <t>#6</t>
  </si>
  <si>
    <t>#8</t>
  </si>
  <si>
    <t>#10</t>
  </si>
  <si>
    <t>#12</t>
  </si>
  <si>
    <t>USS</t>
  </si>
  <si>
    <t>SAE</t>
  </si>
  <si>
    <t>Inside Diameter</t>
  </si>
  <si>
    <t>(A)</t>
  </si>
  <si>
    <t>Outside Diameter</t>
  </si>
  <si>
    <t>(B)</t>
  </si>
  <si>
    <t>Thickness</t>
  </si>
  <si>
    <t>(C)</t>
  </si>
  <si>
    <t>Washer</t>
  </si>
  <si>
    <t>ID</t>
  </si>
  <si>
    <t>OD</t>
  </si>
  <si>
    <t>Th</t>
  </si>
  <si>
    <t>Nut</t>
  </si>
  <si>
    <t>Wrench size</t>
  </si>
  <si>
    <t>Std height</t>
  </si>
  <si>
    <t>metric washer</t>
  </si>
  <si>
    <t>nom size</t>
  </si>
  <si>
    <t>id</t>
  </si>
  <si>
    <t>max</t>
  </si>
  <si>
    <t>min</t>
  </si>
  <si>
    <t>od</t>
  </si>
  <si>
    <t>th</t>
  </si>
  <si>
    <t>avg</t>
  </si>
  <si>
    <t>Maj dia'</t>
  </si>
  <si>
    <t>http://en.wikipedia.org/wiki/Unified_Thread_Standard</t>
  </si>
  <si>
    <t>http://www.itpbolt.com/products/metric-fasteners/metric-washer-flat.pdf</t>
  </si>
  <si>
    <t>https://www.boltdepot.com/fastener-information/nuts-washers/Metric-Nut-Dimensions.aspx</t>
  </si>
  <si>
    <t>https://www.boltdepot.com/fastener-information/nuts-washers/USS-SAE-Washer-Dimensions.aspx</t>
  </si>
  <si>
    <t>https://www.boltdepot.com/fastener-information/nuts-washers/US-Nut-Dimensions.aspx</t>
  </si>
  <si>
    <t>us nut</t>
  </si>
  <si>
    <t>metric nut</t>
  </si>
  <si>
    <t>us  washers</t>
  </si>
  <si>
    <t>Maj dia (mm)</t>
  </si>
  <si>
    <t>METRIC (mm)</t>
  </si>
  <si>
    <t>1/4"</t>
  </si>
  <si>
    <t>5/16"</t>
  </si>
  <si>
    <t>3/8"</t>
  </si>
  <si>
    <t>7/16"</t>
  </si>
  <si>
    <t>1/2"</t>
  </si>
  <si>
    <t>9/16"</t>
  </si>
  <si>
    <t>5/8"</t>
  </si>
  <si>
    <t>3/4"</t>
  </si>
  <si>
    <t>7/8"</t>
  </si>
  <si>
    <t>1"</t>
  </si>
  <si>
    <t>NAME</t>
  </si>
  <si>
    <t>index</t>
  </si>
  <si>
    <t>name-esc</t>
  </si>
  <si>
    <t>num fmt:</t>
  </si>
  <si>
    <t>table</t>
  </si>
  <si>
    <t>chooser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</si>
</sst>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b/>
      <sz val="9"/>
      <color rgb="FF222222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11"/>
      <color rgb="FF222222"/>
      <name val="Arial"/>
      <family val="2"/>
    </font>
    <font>
      <sz val="11"/>
      <name val="Calibri"/>
      <family val="2"/>
      <scheme val="minor"/>
    </font>
    <font>
      <sz val="11"/>
      <color theme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medium">
        <color rgb="FFAFAFAF"/>
      </left>
      <right style="medium">
        <color rgb="FFAFAFAF"/>
      </right>
      <top style="medium">
        <color rgb="FFAFAFAF"/>
      </top>
      <bottom/>
      <diagonal/>
    </border>
    <border>
      <left style="medium">
        <color rgb="FFAFAFAF"/>
      </left>
      <right style="medium">
        <color rgb="FFAFAFAF"/>
      </right>
      <top/>
      <bottom style="medium">
        <color rgb="FFAFAFAF"/>
      </bottom>
      <diagonal/>
    </border>
    <border>
      <left style="medium">
        <color rgb="FFAFAFAF"/>
      </left>
      <right/>
      <top style="medium">
        <color rgb="FFAFAFAF"/>
      </top>
      <bottom style="medium">
        <color rgb="FFAFAFAF"/>
      </bottom>
      <diagonal/>
    </border>
    <border>
      <left/>
      <right/>
      <top style="medium">
        <color rgb="FFAFAFAF"/>
      </top>
      <bottom style="medium">
        <color rgb="FFAFAFAF"/>
      </bottom>
      <diagonal/>
    </border>
    <border>
      <left/>
      <right style="medium">
        <color rgb="FFAFAFAF"/>
      </right>
      <top style="medium">
        <color rgb="FFAFAFAF"/>
      </top>
      <bottom style="medium">
        <color rgb="FFAFAFA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AFAFAF"/>
      </left>
      <right style="medium">
        <color rgb="FFAFAFA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4" fillId="4" borderId="3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7" fillId="3" borderId="4" xfId="0" applyFont="1" applyFill="1" applyBorder="1" applyAlignment="1">
      <alignment horizontal="center" vertical="center" wrapText="1" readingOrder="1"/>
    </xf>
    <xf numFmtId="0" fontId="6" fillId="3" borderId="4" xfId="0" applyFont="1" applyFill="1" applyBorder="1" applyAlignment="1">
      <alignment horizontal="center" vertical="center" wrapText="1" readingOrder="1"/>
    </xf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0" fontId="4" fillId="4" borderId="5" xfId="0" applyFont="1" applyFill="1" applyBorder="1" applyAlignment="1">
      <alignment horizontal="center" vertical="center" wrapText="1" readingOrder="1"/>
    </xf>
    <xf numFmtId="0" fontId="4" fillId="4" borderId="6" xfId="0" applyFont="1" applyFill="1" applyBorder="1" applyAlignment="1">
      <alignment horizontal="center" vertical="center" wrapText="1" readingOrder="1"/>
    </xf>
    <xf numFmtId="0" fontId="4" fillId="4" borderId="7" xfId="0" applyFont="1" applyFill="1" applyBorder="1" applyAlignment="1">
      <alignment horizontal="center" vertical="center" wrapText="1" readingOrder="1"/>
    </xf>
    <xf numFmtId="2" fontId="0" fillId="0" borderId="0" xfId="0" applyNumberFormat="1"/>
    <xf numFmtId="2" fontId="3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2" fillId="0" borderId="0" xfId="0" applyNumberFormat="1" applyFont="1"/>
    <xf numFmtId="0" fontId="8" fillId="4" borderId="4" xfId="0" applyFont="1" applyFill="1" applyBorder="1" applyAlignment="1">
      <alignment horizontal="center" vertical="center" wrapText="1" readingOrder="1"/>
    </xf>
    <xf numFmtId="0" fontId="4" fillId="4" borderId="11" xfId="0" applyFont="1" applyFill="1" applyBorder="1" applyAlignment="1">
      <alignment horizontal="center" vertical="center" wrapText="1" readingOrder="1"/>
    </xf>
    <xf numFmtId="0" fontId="0" fillId="5" borderId="0" xfId="0" applyNumberFormat="1" applyFill="1"/>
    <xf numFmtId="0" fontId="0" fillId="5" borderId="0" xfId="0" applyFill="1"/>
    <xf numFmtId="0" fontId="2" fillId="5" borderId="0" xfId="0" applyNumberFormat="1" applyFont="1" applyFill="1"/>
    <xf numFmtId="0" fontId="0" fillId="6" borderId="0" xfId="0" applyNumberFormat="1" applyFill="1"/>
    <xf numFmtId="0" fontId="2" fillId="6" borderId="0" xfId="0" applyNumberFormat="1" applyFont="1" applyFill="1"/>
    <xf numFmtId="0" fontId="0" fillId="6" borderId="0" xfId="0" applyFill="1"/>
    <xf numFmtId="0" fontId="0" fillId="6" borderId="0" xfId="0" applyNumberFormat="1" applyFill="1" applyBorder="1"/>
    <xf numFmtId="0" fontId="1" fillId="7" borderId="1" xfId="1" applyNumberFormat="1" applyFill="1" applyAlignment="1">
      <alignment horizontal="center"/>
    </xf>
    <xf numFmtId="0" fontId="1" fillId="7" borderId="8" xfId="1" applyNumberFormat="1" applyFill="1" applyBorder="1" applyAlignment="1">
      <alignment horizontal="center"/>
    </xf>
    <xf numFmtId="0" fontId="1" fillId="7" borderId="9" xfId="1" applyNumberFormat="1" applyFill="1" applyBorder="1" applyAlignment="1">
      <alignment horizontal="center"/>
    </xf>
    <xf numFmtId="0" fontId="1" fillId="7" borderId="10" xfId="1" applyNumberFormat="1" applyFill="1" applyBorder="1" applyAlignment="1">
      <alignment horizontal="center"/>
    </xf>
    <xf numFmtId="0" fontId="0" fillId="5" borderId="0" xfId="0" applyFill="1" applyAlignment="1"/>
    <xf numFmtId="0" fontId="0" fillId="8" borderId="0" xfId="0" applyNumberFormat="1" applyFill="1"/>
    <xf numFmtId="0" fontId="9" fillId="7" borderId="0" xfId="0" applyNumberFormat="1" applyFont="1" applyFill="1" applyAlignment="1">
      <alignment horizontal="center"/>
    </xf>
    <xf numFmtId="0" fontId="10" fillId="0" borderId="0" xfId="0" applyNumberFormat="1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8"/>
  <sheetViews>
    <sheetView tabSelected="1" topLeftCell="B1" zoomScale="85" zoomScaleNormal="85" workbookViewId="0">
      <selection activeCell="I2" sqref="I2"/>
    </sheetView>
  </sheetViews>
  <sheetFormatPr defaultRowHeight="15" x14ac:dyDescent="0.25"/>
  <cols>
    <col min="2" max="2" width="4.85546875" style="12" bestFit="1" customWidth="1"/>
    <col min="3" max="3" width="7.5703125" style="12" bestFit="1" customWidth="1"/>
    <col min="4" max="5" width="7.5703125" style="12" customWidth="1"/>
    <col min="6" max="6" width="12" style="12" bestFit="1" customWidth="1"/>
    <col min="7" max="8" width="10.5703125" style="12" bestFit="1" customWidth="1"/>
    <col min="9" max="9" width="8.140625" style="12" bestFit="1" customWidth="1"/>
    <col min="10" max="10" width="10.7109375" bestFit="1" customWidth="1"/>
    <col min="11" max="11" width="6" bestFit="1" customWidth="1"/>
    <col min="12" max="12" width="6" customWidth="1"/>
    <col min="13" max="13" width="7.5703125" style="12" customWidth="1"/>
    <col min="14" max="14" width="9.42578125" customWidth="1"/>
    <col min="15" max="15" width="7" bestFit="1" customWidth="1"/>
    <col min="16" max="16" width="15.28515625" bestFit="1" customWidth="1"/>
    <col min="17" max="17" width="16.85546875" bestFit="1" customWidth="1"/>
    <col min="18" max="18" width="9.5703125" bestFit="1" customWidth="1"/>
    <col min="19" max="19" width="15.28515625" bestFit="1" customWidth="1"/>
    <col min="20" max="20" width="16.85546875" bestFit="1" customWidth="1"/>
    <col min="21" max="21" width="9.5703125" bestFit="1" customWidth="1"/>
  </cols>
  <sheetData>
    <row r="2" spans="2:23" x14ac:dyDescent="0.25">
      <c r="U2" t="s">
        <v>69</v>
      </c>
      <c r="V2" t="str">
        <f>"0.000"</f>
        <v>0.000</v>
      </c>
    </row>
    <row r="3" spans="2:23" x14ac:dyDescent="0.25">
      <c r="N3" s="28" t="s">
        <v>55</v>
      </c>
      <c r="O3" s="28"/>
      <c r="P3" s="28"/>
      <c r="Q3" s="28"/>
      <c r="R3" s="28"/>
      <c r="S3" s="28"/>
      <c r="T3" s="28"/>
    </row>
    <row r="4" spans="2:23" x14ac:dyDescent="0.25">
      <c r="F4" s="24" t="s">
        <v>34</v>
      </c>
      <c r="G4" s="24"/>
      <c r="H4" s="24"/>
      <c r="I4" s="25" t="s">
        <v>30</v>
      </c>
      <c r="J4" s="26"/>
      <c r="K4" s="27"/>
      <c r="L4" s="12"/>
      <c r="O4" s="24" t="s">
        <v>34</v>
      </c>
      <c r="P4" s="24"/>
      <c r="Q4" s="24"/>
      <c r="R4" s="25" t="s">
        <v>30</v>
      </c>
      <c r="S4" s="26"/>
      <c r="T4" s="27"/>
    </row>
    <row r="5" spans="2:23" x14ac:dyDescent="0.25">
      <c r="B5" s="13" t="s">
        <v>10</v>
      </c>
      <c r="C5" s="13" t="s">
        <v>15</v>
      </c>
      <c r="D5" s="13" t="s">
        <v>45</v>
      </c>
      <c r="E5" s="13" t="s">
        <v>66</v>
      </c>
      <c r="F5" s="13" t="s">
        <v>35</v>
      </c>
      <c r="G5" s="13" t="s">
        <v>36</v>
      </c>
      <c r="H5" s="13" t="s">
        <v>14</v>
      </c>
      <c r="I5" s="13" t="s">
        <v>31</v>
      </c>
      <c r="J5" s="10" t="s">
        <v>32</v>
      </c>
      <c r="K5" s="10" t="s">
        <v>33</v>
      </c>
      <c r="L5" s="11" t="s">
        <v>67</v>
      </c>
      <c r="M5" s="13" t="s">
        <v>66</v>
      </c>
      <c r="N5" s="13" t="s">
        <v>54</v>
      </c>
      <c r="O5" s="13" t="s">
        <v>35</v>
      </c>
      <c r="P5" s="13" t="s">
        <v>36</v>
      </c>
      <c r="Q5" s="13" t="s">
        <v>14</v>
      </c>
      <c r="R5" s="13" t="s">
        <v>31</v>
      </c>
      <c r="S5" s="10" t="s">
        <v>32</v>
      </c>
      <c r="T5" s="10" t="s">
        <v>33</v>
      </c>
      <c r="U5" s="13" t="s">
        <v>68</v>
      </c>
      <c r="V5" t="s">
        <v>70</v>
      </c>
      <c r="W5" t="s">
        <v>71</v>
      </c>
    </row>
    <row r="6" spans="2:23" x14ac:dyDescent="0.25">
      <c r="B6" s="12" t="s">
        <v>11</v>
      </c>
      <c r="C6" s="12">
        <v>0</v>
      </c>
      <c r="D6" s="20">
        <v>0.06</v>
      </c>
      <c r="E6" s="20" t="str">
        <f>B6&amp;C6</f>
        <v>#0</v>
      </c>
      <c r="F6" s="20">
        <f>5/32</f>
        <v>0.15625</v>
      </c>
      <c r="G6" s="20">
        <f>3/64</f>
        <v>4.6875E-2</v>
      </c>
      <c r="H6" s="21">
        <f>G6/2</f>
        <v>2.34375E-2</v>
      </c>
      <c r="I6" s="21">
        <f>I$8/$D$8*$D6</f>
        <v>6.5406976744186052E-2</v>
      </c>
      <c r="J6" s="21">
        <f>J$8/$D$8*$D6</f>
        <v>0.1744186046511628</v>
      </c>
      <c r="K6" s="21">
        <f>K$8/$D$8*$D6</f>
        <v>1.3953488372093025E-2</v>
      </c>
      <c r="L6" s="30">
        <v>0</v>
      </c>
      <c r="M6" s="29" t="str">
        <f>E6</f>
        <v>#0</v>
      </c>
      <c r="N6">
        <f>D6*25.4</f>
        <v>1.5239999999999998</v>
      </c>
      <c r="O6" s="12">
        <f>F6*25.4</f>
        <v>3.96875</v>
      </c>
      <c r="P6" s="12">
        <f>G6*25.4</f>
        <v>1.1906249999999998</v>
      </c>
      <c r="Q6" s="14">
        <f>H6*25.4</f>
        <v>0.59531249999999991</v>
      </c>
      <c r="R6" s="14">
        <f>I6*25.4</f>
        <v>1.6613372093023255</v>
      </c>
      <c r="S6" s="14">
        <f>J6*25.4</f>
        <v>4.4302325581395348</v>
      </c>
      <c r="T6" s="14">
        <f>K6*25.4</f>
        <v>0.35441860465116282</v>
      </c>
      <c r="U6" s="31" t="str">
        <f>SUBSTITUTE(M6,"""","\""")</f>
        <v>#0</v>
      </c>
      <c r="V6" s="31" t="str">
        <f>"[""" &amp;TEXT(U6, $V$2)&amp;""",  "&amp;TEXT(N6, $V$2)&amp;", "&amp;TEXT(O6, $V$2)&amp;", "&amp;TEXT(P6, $V$2)&amp;", "&amp;TEXT(Q6, $V$2)&amp;", "&amp;TEXT(R6, $V$2)&amp;", "&amp;TEXT(S6, $V$2)&amp;", "&amp;TEXT(T6, $V$2)&amp;"], "</f>
        <v xml:space="preserve">["#0",  1.524, 3.969, 1.191, 0.595, 1.661, 4.430, 0.354], </v>
      </c>
      <c r="W6" t="str">
        <f>L6&amp;":"&amp;M6&amp;", "</f>
        <v xml:space="preserve">0:#0, </v>
      </c>
    </row>
    <row r="7" spans="2:23" x14ac:dyDescent="0.25">
      <c r="B7" s="12" t="s">
        <v>11</v>
      </c>
      <c r="C7" s="12">
        <v>1</v>
      </c>
      <c r="D7" s="20">
        <v>7.2999999999999995E-2</v>
      </c>
      <c r="E7" s="20" t="str">
        <f t="shared" ref="E7:E14" si="0">B7&amp;C7</f>
        <v>#1</v>
      </c>
      <c r="F7" s="20">
        <f>5/32</f>
        <v>0.15625</v>
      </c>
      <c r="G7" s="20">
        <f>3/64</f>
        <v>4.6875E-2</v>
      </c>
      <c r="H7" s="21">
        <f t="shared" ref="H7:H14" si="1">G7/2</f>
        <v>2.34375E-2</v>
      </c>
      <c r="I7" s="21">
        <f>I$8/D$8*D7</f>
        <v>7.9578488372093026E-2</v>
      </c>
      <c r="J7" s="21">
        <f>J$8/$D$8*$D7</f>
        <v>0.21220930232558141</v>
      </c>
      <c r="K7" s="21">
        <f>K$8/$D$8*$D7</f>
        <v>1.6976744186046513E-2</v>
      </c>
      <c r="L7" s="30">
        <v>1</v>
      </c>
      <c r="M7" s="29" t="str">
        <f t="shared" ref="M7:M38" si="2">E7</f>
        <v>#1</v>
      </c>
      <c r="N7">
        <f>D7*25.4</f>
        <v>1.8541999999999998</v>
      </c>
      <c r="O7" s="12">
        <f>F7*25.4</f>
        <v>3.96875</v>
      </c>
      <c r="P7" s="12">
        <f>G7*25.4</f>
        <v>1.1906249999999998</v>
      </c>
      <c r="Q7" s="14">
        <f>H7*25.4</f>
        <v>0.59531249999999991</v>
      </c>
      <c r="R7" s="14">
        <f>I7*25.4</f>
        <v>2.0212936046511629</v>
      </c>
      <c r="S7" s="14">
        <f>J7*25.4</f>
        <v>5.3901162790697672</v>
      </c>
      <c r="T7" s="14">
        <f>K7*25.4</f>
        <v>0.43120930232558141</v>
      </c>
      <c r="U7" s="31" t="str">
        <f t="shared" ref="U7:U38" si="3">SUBSTITUTE(M7,"""","\""")</f>
        <v>#1</v>
      </c>
      <c r="V7" s="31" t="str">
        <f t="shared" ref="V7:V38" si="4">"[""" &amp;TEXT(U7, $V$2)&amp;""",  "&amp;TEXT(N7, $V$2)&amp;", "&amp;TEXT(O7, $V$2)&amp;", "&amp;TEXT(P7, $V$2)&amp;", "&amp;TEXT(Q7, $V$2)&amp;", "&amp;TEXT(R7, $V$2)&amp;", "&amp;TEXT(S7, $V$2)&amp;", "&amp;TEXT(T7, $V$2)&amp;"], "</f>
        <v xml:space="preserve">["#1",  1.854, 3.969, 1.191, 0.595, 2.021, 5.390, 0.431], </v>
      </c>
      <c r="W7" t="str">
        <f t="shared" ref="W7:W38" si="5">L7&amp;":"&amp;M7&amp;", "</f>
        <v xml:space="preserve">1:#1, </v>
      </c>
    </row>
    <row r="8" spans="2:23" x14ac:dyDescent="0.25">
      <c r="B8" s="12" t="s">
        <v>11</v>
      </c>
      <c r="C8" s="12">
        <v>2</v>
      </c>
      <c r="D8" s="20">
        <v>8.5999999999999993E-2</v>
      </c>
      <c r="E8" s="20" t="str">
        <f t="shared" si="0"/>
        <v>#2</v>
      </c>
      <c r="F8" s="20">
        <f>3/16</f>
        <v>0.1875</v>
      </c>
      <c r="G8" s="20">
        <f>1/16</f>
        <v>6.25E-2</v>
      </c>
      <c r="H8" s="21">
        <f t="shared" si="1"/>
        <v>3.125E-2</v>
      </c>
      <c r="I8" s="20">
        <f>3/32</f>
        <v>9.375E-2</v>
      </c>
      <c r="J8" s="22">
        <f>1/4</f>
        <v>0.25</v>
      </c>
      <c r="K8" s="22">
        <v>0.02</v>
      </c>
      <c r="L8" s="30">
        <v>2</v>
      </c>
      <c r="M8" s="29" t="str">
        <f t="shared" si="2"/>
        <v>#2</v>
      </c>
      <c r="N8">
        <f>D8*25.4</f>
        <v>2.1843999999999997</v>
      </c>
      <c r="O8" s="12">
        <f>F8*25.4</f>
        <v>4.7624999999999993</v>
      </c>
      <c r="P8" s="12">
        <f>G8*25.4</f>
        <v>1.5874999999999999</v>
      </c>
      <c r="Q8" s="14">
        <f>H8*25.4</f>
        <v>0.79374999999999996</v>
      </c>
      <c r="R8" s="12">
        <f>I8*25.4</f>
        <v>2.3812499999999996</v>
      </c>
      <c r="S8">
        <f>J8*25.4</f>
        <v>6.35</v>
      </c>
      <c r="T8">
        <f>K8*25.4</f>
        <v>0.50800000000000001</v>
      </c>
      <c r="U8" s="31" t="str">
        <f t="shared" si="3"/>
        <v>#2</v>
      </c>
      <c r="V8" s="31" t="str">
        <f t="shared" si="4"/>
        <v xml:space="preserve">["#2",  2.184, 4.763, 1.588, 0.794, 2.381, 6.350, 0.508], </v>
      </c>
      <c r="W8" t="str">
        <f t="shared" si="5"/>
        <v xml:space="preserve">2:#2, </v>
      </c>
    </row>
    <row r="9" spans="2:23" x14ac:dyDescent="0.25">
      <c r="B9" s="12" t="s">
        <v>11</v>
      </c>
      <c r="C9" s="12">
        <v>3</v>
      </c>
      <c r="D9" s="23">
        <v>9.9000000000000005E-2</v>
      </c>
      <c r="E9" s="20" t="str">
        <f t="shared" si="0"/>
        <v>#3</v>
      </c>
      <c r="F9" s="20">
        <f>3/16</f>
        <v>0.1875</v>
      </c>
      <c r="G9" s="20">
        <f>1/16</f>
        <v>6.25E-2</v>
      </c>
      <c r="H9" s="21">
        <f t="shared" si="1"/>
        <v>3.125E-2</v>
      </c>
      <c r="I9" s="21">
        <f>I$8/D$8*D9</f>
        <v>0.107921511627907</v>
      </c>
      <c r="J9" s="21">
        <f>J$8/$D$8*$D9</f>
        <v>0.28779069767441867</v>
      </c>
      <c r="K9" s="21">
        <f>K$8/$D$8*$D9</f>
        <v>2.3023255813953491E-2</v>
      </c>
      <c r="L9" s="30">
        <v>3</v>
      </c>
      <c r="M9" s="29" t="str">
        <f t="shared" si="2"/>
        <v>#3</v>
      </c>
      <c r="N9">
        <f>D9*25.4</f>
        <v>2.5146000000000002</v>
      </c>
      <c r="O9" s="12">
        <f>F9*25.4</f>
        <v>4.7624999999999993</v>
      </c>
      <c r="P9" s="12">
        <f>G9*25.4</f>
        <v>1.5874999999999999</v>
      </c>
      <c r="Q9" s="14">
        <f>H9*25.4</f>
        <v>0.79374999999999996</v>
      </c>
      <c r="R9" s="14">
        <f>I9*25.4</f>
        <v>2.7412063953488377</v>
      </c>
      <c r="S9" s="14">
        <f>J9*25.4</f>
        <v>7.3098837209302339</v>
      </c>
      <c r="T9" s="14">
        <f>K9*25.4</f>
        <v>0.5847906976744186</v>
      </c>
      <c r="U9" s="31" t="str">
        <f t="shared" si="3"/>
        <v>#3</v>
      </c>
      <c r="V9" s="31" t="str">
        <f t="shared" si="4"/>
        <v xml:space="preserve">["#3",  2.515, 4.763, 1.588, 0.794, 2.741, 7.310, 0.585], </v>
      </c>
      <c r="W9" t="str">
        <f t="shared" si="5"/>
        <v xml:space="preserve">3:#3, </v>
      </c>
    </row>
    <row r="10" spans="2:23" x14ac:dyDescent="0.25">
      <c r="B10" s="12" t="s">
        <v>11</v>
      </c>
      <c r="C10" s="12">
        <v>4</v>
      </c>
      <c r="D10" s="23">
        <v>0.112</v>
      </c>
      <c r="E10" s="20" t="str">
        <f t="shared" si="0"/>
        <v>#4</v>
      </c>
      <c r="F10" s="20">
        <f>1/4</f>
        <v>0.25</v>
      </c>
      <c r="G10" s="20">
        <f>3/32</f>
        <v>9.375E-2</v>
      </c>
      <c r="H10" s="21">
        <f t="shared" si="1"/>
        <v>4.6875E-2</v>
      </c>
      <c r="I10" s="20">
        <f>1/8</f>
        <v>0.125</v>
      </c>
      <c r="J10" s="22">
        <f>5/16</f>
        <v>0.3125</v>
      </c>
      <c r="K10" s="22">
        <v>3.2000000000000001E-2</v>
      </c>
      <c r="L10" s="30">
        <v>4</v>
      </c>
      <c r="M10" s="29" t="str">
        <f t="shared" si="2"/>
        <v>#4</v>
      </c>
      <c r="N10">
        <f>D10*25.4</f>
        <v>2.8447999999999998</v>
      </c>
      <c r="O10" s="12">
        <f>F10*25.4</f>
        <v>6.35</v>
      </c>
      <c r="P10" s="12">
        <f>G10*25.4</f>
        <v>2.3812499999999996</v>
      </c>
      <c r="Q10" s="14">
        <f>H10*25.4</f>
        <v>1.1906249999999998</v>
      </c>
      <c r="R10" s="12">
        <f>I10*25.4</f>
        <v>3.1749999999999998</v>
      </c>
      <c r="S10">
        <f>J10*25.4</f>
        <v>7.9375</v>
      </c>
      <c r="T10">
        <f>K10*25.4</f>
        <v>0.81279999999999997</v>
      </c>
      <c r="U10" s="31" t="str">
        <f t="shared" si="3"/>
        <v>#4</v>
      </c>
      <c r="V10" s="31" t="str">
        <f t="shared" si="4"/>
        <v xml:space="preserve">["#4",  2.845, 6.350, 2.381, 1.191, 3.175, 7.938, 0.813], </v>
      </c>
      <c r="W10" t="str">
        <f t="shared" si="5"/>
        <v xml:space="preserve">4:#4, </v>
      </c>
    </row>
    <row r="11" spans="2:23" x14ac:dyDescent="0.25">
      <c r="B11" s="12" t="s">
        <v>11</v>
      </c>
      <c r="C11" s="12">
        <v>6</v>
      </c>
      <c r="D11" s="23">
        <v>0.13800000000000001</v>
      </c>
      <c r="E11" s="20" t="str">
        <f t="shared" si="0"/>
        <v>#6</v>
      </c>
      <c r="F11" s="20">
        <f>5/16</f>
        <v>0.3125</v>
      </c>
      <c r="G11" s="20">
        <f>7/64</f>
        <v>0.109375</v>
      </c>
      <c r="H11" s="21">
        <f t="shared" si="1"/>
        <v>5.46875E-2</v>
      </c>
      <c r="I11" s="20">
        <f>5/32</f>
        <v>0.15625</v>
      </c>
      <c r="J11" s="22">
        <f>3/8</f>
        <v>0.375</v>
      </c>
      <c r="K11" s="22">
        <v>4.9000000000000002E-2</v>
      </c>
      <c r="L11" s="30">
        <v>5</v>
      </c>
      <c r="M11" s="29" t="str">
        <f t="shared" si="2"/>
        <v>#6</v>
      </c>
      <c r="N11">
        <f>D11*25.4</f>
        <v>3.5052000000000003</v>
      </c>
      <c r="O11" s="12">
        <f>F11*25.4</f>
        <v>7.9375</v>
      </c>
      <c r="P11" s="12">
        <f>G11*25.4</f>
        <v>2.7781249999999997</v>
      </c>
      <c r="Q11" s="14">
        <f>H11*25.4</f>
        <v>1.3890624999999999</v>
      </c>
      <c r="R11" s="12">
        <f>I11*25.4</f>
        <v>3.96875</v>
      </c>
      <c r="S11">
        <f>J11*25.4</f>
        <v>9.5249999999999986</v>
      </c>
      <c r="T11">
        <f>K11*25.4</f>
        <v>1.2445999999999999</v>
      </c>
      <c r="U11" s="31" t="str">
        <f t="shared" si="3"/>
        <v>#6</v>
      </c>
      <c r="V11" s="31" t="str">
        <f t="shared" si="4"/>
        <v xml:space="preserve">["#6",  3.505, 7.938, 2.778, 1.389, 3.969, 9.525, 1.245], </v>
      </c>
      <c r="W11" t="str">
        <f t="shared" si="5"/>
        <v xml:space="preserve">5:#6, </v>
      </c>
    </row>
    <row r="12" spans="2:23" x14ac:dyDescent="0.25">
      <c r="B12" s="12" t="s">
        <v>11</v>
      </c>
      <c r="C12" s="12">
        <v>8</v>
      </c>
      <c r="D12" s="23">
        <v>0.16400000000000001</v>
      </c>
      <c r="E12" s="20" t="str">
        <f t="shared" si="0"/>
        <v>#8</v>
      </c>
      <c r="F12" s="20">
        <f>11/32</f>
        <v>0.34375</v>
      </c>
      <c r="G12" s="20">
        <f>1/8</f>
        <v>0.125</v>
      </c>
      <c r="H12" s="21">
        <f t="shared" si="1"/>
        <v>6.25E-2</v>
      </c>
      <c r="I12" s="20">
        <f>3/16</f>
        <v>0.1875</v>
      </c>
      <c r="J12" s="22">
        <f>7/16</f>
        <v>0.4375</v>
      </c>
      <c r="K12" s="22">
        <v>4.9000000000000002E-2</v>
      </c>
      <c r="L12" s="30">
        <v>6</v>
      </c>
      <c r="M12" s="29" t="str">
        <f t="shared" si="2"/>
        <v>#8</v>
      </c>
      <c r="N12">
        <f>D12*25.4</f>
        <v>4.1655999999999995</v>
      </c>
      <c r="O12" s="12">
        <f>F12*25.4</f>
        <v>8.7312499999999993</v>
      </c>
      <c r="P12" s="12">
        <f>G12*25.4</f>
        <v>3.1749999999999998</v>
      </c>
      <c r="Q12" s="14">
        <f>H12*25.4</f>
        <v>1.5874999999999999</v>
      </c>
      <c r="R12" s="12">
        <f>I12*25.4</f>
        <v>4.7624999999999993</v>
      </c>
      <c r="S12">
        <f>J12*25.4</f>
        <v>11.112499999999999</v>
      </c>
      <c r="T12">
        <f>K12*25.4</f>
        <v>1.2445999999999999</v>
      </c>
      <c r="U12" s="31" t="str">
        <f t="shared" si="3"/>
        <v>#8</v>
      </c>
      <c r="V12" s="31" t="str">
        <f t="shared" si="4"/>
        <v xml:space="preserve">["#8",  4.166, 8.731, 3.175, 1.588, 4.763, 11.113, 1.245], </v>
      </c>
      <c r="W12" t="str">
        <f t="shared" si="5"/>
        <v xml:space="preserve">6:#8, </v>
      </c>
    </row>
    <row r="13" spans="2:23" x14ac:dyDescent="0.25">
      <c r="B13" s="12" t="s">
        <v>11</v>
      </c>
      <c r="C13" s="12">
        <v>10</v>
      </c>
      <c r="D13" s="23">
        <v>0.19</v>
      </c>
      <c r="E13" s="20" t="str">
        <f t="shared" si="0"/>
        <v>#10</v>
      </c>
      <c r="F13" s="20">
        <f>3/8</f>
        <v>0.375</v>
      </c>
      <c r="G13" s="20">
        <f>1/8</f>
        <v>0.125</v>
      </c>
      <c r="H13" s="21">
        <f t="shared" si="1"/>
        <v>6.25E-2</v>
      </c>
      <c r="I13" s="20">
        <f>7/32</f>
        <v>0.21875</v>
      </c>
      <c r="J13" s="22">
        <f>1/2</f>
        <v>0.5</v>
      </c>
      <c r="K13" s="22">
        <v>4.9000000000000002E-2</v>
      </c>
      <c r="L13" s="30">
        <v>7</v>
      </c>
      <c r="M13" s="29" t="str">
        <f t="shared" si="2"/>
        <v>#10</v>
      </c>
      <c r="N13">
        <f>D13*25.4</f>
        <v>4.8259999999999996</v>
      </c>
      <c r="O13" s="12">
        <f>F13*25.4</f>
        <v>9.5249999999999986</v>
      </c>
      <c r="P13" s="12">
        <f>G13*25.4</f>
        <v>3.1749999999999998</v>
      </c>
      <c r="Q13" s="14">
        <f>H13*25.4</f>
        <v>1.5874999999999999</v>
      </c>
      <c r="R13" s="12">
        <f>I13*25.4</f>
        <v>5.5562499999999995</v>
      </c>
      <c r="S13">
        <f>J13*25.4</f>
        <v>12.7</v>
      </c>
      <c r="T13">
        <f>K13*25.4</f>
        <v>1.2445999999999999</v>
      </c>
      <c r="U13" s="31" t="str">
        <f t="shared" si="3"/>
        <v>#10</v>
      </c>
      <c r="V13" s="31" t="str">
        <f t="shared" si="4"/>
        <v xml:space="preserve">["#10",  4.826, 9.525, 3.175, 1.588, 5.556, 12.700, 1.245], </v>
      </c>
      <c r="W13" t="str">
        <f t="shared" si="5"/>
        <v xml:space="preserve">7:#10, </v>
      </c>
    </row>
    <row r="14" spans="2:23" x14ac:dyDescent="0.25">
      <c r="B14" s="12" t="s">
        <v>11</v>
      </c>
      <c r="C14" s="12">
        <v>12</v>
      </c>
      <c r="D14" s="23">
        <v>0.216</v>
      </c>
      <c r="E14" s="20" t="str">
        <f t="shared" si="0"/>
        <v>#12</v>
      </c>
      <c r="F14" s="20">
        <f>7/16</f>
        <v>0.4375</v>
      </c>
      <c r="G14" s="20">
        <f>5/32</f>
        <v>0.15625</v>
      </c>
      <c r="H14" s="21">
        <f t="shared" si="1"/>
        <v>7.8125E-2</v>
      </c>
      <c r="I14" s="20">
        <f>1/4</f>
        <v>0.25</v>
      </c>
      <c r="J14" s="22">
        <f>9/16</f>
        <v>0.5625</v>
      </c>
      <c r="K14" s="22">
        <v>6.5000000000000002E-2</v>
      </c>
      <c r="L14" s="30">
        <v>8</v>
      </c>
      <c r="M14" s="29" t="str">
        <f t="shared" si="2"/>
        <v>#12</v>
      </c>
      <c r="N14">
        <f>D14*25.4</f>
        <v>5.4863999999999997</v>
      </c>
      <c r="O14" s="12">
        <f>F14*25.4</f>
        <v>11.112499999999999</v>
      </c>
      <c r="P14" s="12">
        <f>G14*25.4</f>
        <v>3.96875</v>
      </c>
      <c r="Q14" s="14">
        <f>H14*25.4</f>
        <v>1.984375</v>
      </c>
      <c r="R14" s="12">
        <f>I14*25.4</f>
        <v>6.35</v>
      </c>
      <c r="S14">
        <f>J14*25.4</f>
        <v>14.2875</v>
      </c>
      <c r="T14">
        <f>K14*25.4</f>
        <v>1.651</v>
      </c>
      <c r="U14" s="31" t="str">
        <f t="shared" si="3"/>
        <v>#12</v>
      </c>
      <c r="V14" s="31" t="str">
        <f t="shared" si="4"/>
        <v xml:space="preserve">["#12",  5.486, 11.113, 3.969, 1.984, 6.350, 14.288, 1.651], </v>
      </c>
      <c r="W14" t="str">
        <f t="shared" si="5"/>
        <v xml:space="preserve">8:#12, </v>
      </c>
    </row>
    <row r="15" spans="2:23" x14ac:dyDescent="0.25">
      <c r="B15" s="20" t="s">
        <v>12</v>
      </c>
      <c r="C15" s="20">
        <f>1/4</f>
        <v>0.25</v>
      </c>
      <c r="D15" s="20">
        <f>C15</f>
        <v>0.25</v>
      </c>
      <c r="E15" s="20" t="s">
        <v>56</v>
      </c>
      <c r="F15" s="20">
        <f>7/16</f>
        <v>0.4375</v>
      </c>
      <c r="G15" s="20">
        <f>7/32</f>
        <v>0.21875</v>
      </c>
      <c r="H15" s="20">
        <f>5/32</f>
        <v>0.15625</v>
      </c>
      <c r="I15" s="20">
        <f>5/16</f>
        <v>0.3125</v>
      </c>
      <c r="J15" s="22">
        <v>0.73399999999999999</v>
      </c>
      <c r="K15" s="22">
        <v>6.5000000000000002E-2</v>
      </c>
      <c r="L15" s="30">
        <v>9</v>
      </c>
      <c r="M15" s="29" t="str">
        <f t="shared" si="2"/>
        <v>1/4"</v>
      </c>
      <c r="N15">
        <f>D15*25.4</f>
        <v>6.35</v>
      </c>
      <c r="O15" s="12">
        <f>F15*25.4</f>
        <v>11.112499999999999</v>
      </c>
      <c r="P15" s="12">
        <f>G15*25.4</f>
        <v>5.5562499999999995</v>
      </c>
      <c r="Q15" s="12">
        <f>H15*25.4</f>
        <v>3.96875</v>
      </c>
      <c r="R15" s="12">
        <f>I15*25.4</f>
        <v>7.9375</v>
      </c>
      <c r="S15">
        <f>J15*25.4</f>
        <v>18.643599999999999</v>
      </c>
      <c r="T15">
        <f>K15*25.4</f>
        <v>1.651</v>
      </c>
      <c r="U15" s="31" t="str">
        <f t="shared" si="3"/>
        <v>1/4\"</v>
      </c>
      <c r="V15" s="31" t="str">
        <f t="shared" si="4"/>
        <v xml:space="preserve">["1/4\"",  6.350, 11.113, 5.556, 3.969, 7.938, 18.644, 1.651], </v>
      </c>
      <c r="W15" t="str">
        <f t="shared" si="5"/>
        <v xml:space="preserve">9:1/4", </v>
      </c>
    </row>
    <row r="16" spans="2:23" x14ac:dyDescent="0.25">
      <c r="B16" s="20" t="s">
        <v>12</v>
      </c>
      <c r="C16" s="20">
        <f>5/16</f>
        <v>0.3125</v>
      </c>
      <c r="D16" s="20">
        <f t="shared" ref="D16:D23" si="6">C16</f>
        <v>0.3125</v>
      </c>
      <c r="E16" s="20" t="s">
        <v>57</v>
      </c>
      <c r="F16" s="20">
        <f>1/2</f>
        <v>0.5</v>
      </c>
      <c r="G16" s="20">
        <f>17/64</f>
        <v>0.265625</v>
      </c>
      <c r="H16" s="20">
        <f>3/16</f>
        <v>0.1875</v>
      </c>
      <c r="I16" s="20">
        <f>3/8</f>
        <v>0.375</v>
      </c>
      <c r="J16" s="22">
        <f>7/8</f>
        <v>0.875</v>
      </c>
      <c r="K16" s="22">
        <v>8.3000000000000004E-2</v>
      </c>
      <c r="L16" s="30">
        <v>10</v>
      </c>
      <c r="M16" s="29" t="str">
        <f t="shared" si="2"/>
        <v>5/16"</v>
      </c>
      <c r="N16">
        <f>D16*25.4</f>
        <v>7.9375</v>
      </c>
      <c r="O16" s="12">
        <f>F16*25.4</f>
        <v>12.7</v>
      </c>
      <c r="P16" s="12">
        <f>G16*25.4</f>
        <v>6.7468749999999993</v>
      </c>
      <c r="Q16" s="12">
        <f>H16*25.4</f>
        <v>4.7624999999999993</v>
      </c>
      <c r="R16" s="12">
        <f>I16*25.4</f>
        <v>9.5249999999999986</v>
      </c>
      <c r="S16">
        <f>J16*25.4</f>
        <v>22.224999999999998</v>
      </c>
      <c r="T16">
        <f>K16*25.4</f>
        <v>2.1082000000000001</v>
      </c>
      <c r="U16" s="31" t="str">
        <f t="shared" si="3"/>
        <v>5/16\"</v>
      </c>
      <c r="V16" s="31" t="str">
        <f t="shared" si="4"/>
        <v xml:space="preserve">["5/16\"",  7.938, 12.700, 6.747, 4.763, 9.525, 22.225, 2.108], </v>
      </c>
      <c r="W16" t="str">
        <f t="shared" si="5"/>
        <v xml:space="preserve">10:5/16", </v>
      </c>
    </row>
    <row r="17" spans="2:23" x14ac:dyDescent="0.25">
      <c r="B17" s="20" t="s">
        <v>12</v>
      </c>
      <c r="C17" s="20">
        <f>3/8</f>
        <v>0.375</v>
      </c>
      <c r="D17" s="20">
        <f t="shared" si="6"/>
        <v>0.375</v>
      </c>
      <c r="E17" s="20" t="s">
        <v>58</v>
      </c>
      <c r="F17" s="20">
        <f>9/16</f>
        <v>0.5625</v>
      </c>
      <c r="G17" s="20">
        <f>21/64</f>
        <v>0.328125</v>
      </c>
      <c r="H17" s="20">
        <f>7/32</f>
        <v>0.21875</v>
      </c>
      <c r="I17" s="20">
        <f>7/16</f>
        <v>0.4375</v>
      </c>
      <c r="J17" s="22">
        <v>1</v>
      </c>
      <c r="K17" s="22">
        <v>8.3000000000000004E-2</v>
      </c>
      <c r="L17" s="30">
        <v>11</v>
      </c>
      <c r="M17" s="29" t="str">
        <f t="shared" si="2"/>
        <v>3/8"</v>
      </c>
      <c r="N17">
        <f>D17*25.4</f>
        <v>9.5249999999999986</v>
      </c>
      <c r="O17" s="12">
        <f>F17*25.4</f>
        <v>14.2875</v>
      </c>
      <c r="P17" s="12">
        <f>G17*25.4</f>
        <v>8.3343749999999996</v>
      </c>
      <c r="Q17" s="12">
        <f>H17*25.4</f>
        <v>5.5562499999999995</v>
      </c>
      <c r="R17" s="12">
        <f>I17*25.4</f>
        <v>11.112499999999999</v>
      </c>
      <c r="S17">
        <f>J17*25.4</f>
        <v>25.4</v>
      </c>
      <c r="T17">
        <f>K17*25.4</f>
        <v>2.1082000000000001</v>
      </c>
      <c r="U17" s="31" t="str">
        <f t="shared" si="3"/>
        <v>3/8\"</v>
      </c>
      <c r="V17" s="31" t="str">
        <f t="shared" si="4"/>
        <v xml:space="preserve">["3/8\"",  9.525, 14.288, 8.334, 5.556, 11.113, 25.400, 2.108], </v>
      </c>
      <c r="W17" t="str">
        <f t="shared" si="5"/>
        <v xml:space="preserve">11:3/8", </v>
      </c>
    </row>
    <row r="18" spans="2:23" x14ac:dyDescent="0.25">
      <c r="B18" s="20" t="s">
        <v>12</v>
      </c>
      <c r="C18" s="20">
        <f>7/16</f>
        <v>0.4375</v>
      </c>
      <c r="D18" s="20">
        <f t="shared" si="6"/>
        <v>0.4375</v>
      </c>
      <c r="E18" s="20" t="s">
        <v>59</v>
      </c>
      <c r="F18" s="20">
        <f>11/16</f>
        <v>0.6875</v>
      </c>
      <c r="G18" s="20">
        <f>3/8</f>
        <v>0.375</v>
      </c>
      <c r="H18" s="20">
        <f>1/4</f>
        <v>0.25</v>
      </c>
      <c r="I18" s="20">
        <f>1/2</f>
        <v>0.5</v>
      </c>
      <c r="J18" s="22">
        <f>1+1/4</f>
        <v>1.25</v>
      </c>
      <c r="K18" s="22">
        <v>8.3000000000000004E-2</v>
      </c>
      <c r="L18" s="30">
        <v>12</v>
      </c>
      <c r="M18" s="29" t="str">
        <f t="shared" si="2"/>
        <v>7/16"</v>
      </c>
      <c r="N18">
        <f>D18*25.4</f>
        <v>11.112499999999999</v>
      </c>
      <c r="O18" s="12">
        <f>F18*25.4</f>
        <v>17.462499999999999</v>
      </c>
      <c r="P18" s="12">
        <f>G18*25.4</f>
        <v>9.5249999999999986</v>
      </c>
      <c r="Q18" s="12">
        <f>H18*25.4</f>
        <v>6.35</v>
      </c>
      <c r="R18" s="12">
        <f>I18*25.4</f>
        <v>12.7</v>
      </c>
      <c r="S18">
        <f>J18*25.4</f>
        <v>31.75</v>
      </c>
      <c r="T18">
        <f>K18*25.4</f>
        <v>2.1082000000000001</v>
      </c>
      <c r="U18" s="31" t="str">
        <f t="shared" si="3"/>
        <v>7/16\"</v>
      </c>
      <c r="V18" s="31" t="str">
        <f t="shared" si="4"/>
        <v xml:space="preserve">["7/16\"",  11.113, 17.463, 9.525, 6.350, 12.700, 31.750, 2.108], </v>
      </c>
      <c r="W18" t="str">
        <f t="shared" si="5"/>
        <v xml:space="preserve">12:7/16", </v>
      </c>
    </row>
    <row r="19" spans="2:23" x14ac:dyDescent="0.25">
      <c r="B19" s="20" t="s">
        <v>12</v>
      </c>
      <c r="C19" s="20">
        <f>1/2</f>
        <v>0.5</v>
      </c>
      <c r="D19" s="20">
        <f t="shared" si="6"/>
        <v>0.5</v>
      </c>
      <c r="E19" s="20" t="s">
        <v>60</v>
      </c>
      <c r="F19" s="20">
        <f>3/4</f>
        <v>0.75</v>
      </c>
      <c r="G19" s="20">
        <f>7/16</f>
        <v>0.4375</v>
      </c>
      <c r="H19" s="20">
        <f>5/16</f>
        <v>0.3125</v>
      </c>
      <c r="I19" s="20">
        <f>9/16</f>
        <v>0.5625</v>
      </c>
      <c r="J19" s="22">
        <f>1+3/8</f>
        <v>1.375</v>
      </c>
      <c r="K19" s="22">
        <v>0.109</v>
      </c>
      <c r="L19" s="30">
        <v>13</v>
      </c>
      <c r="M19" s="29" t="str">
        <f t="shared" si="2"/>
        <v>1/2"</v>
      </c>
      <c r="N19">
        <f>D19*25.4</f>
        <v>12.7</v>
      </c>
      <c r="O19" s="12">
        <f>F19*25.4</f>
        <v>19.049999999999997</v>
      </c>
      <c r="P19" s="12">
        <f>G19*25.4</f>
        <v>11.112499999999999</v>
      </c>
      <c r="Q19" s="12">
        <f>H19*25.4</f>
        <v>7.9375</v>
      </c>
      <c r="R19" s="12">
        <f>I19*25.4</f>
        <v>14.2875</v>
      </c>
      <c r="S19">
        <f>J19*25.4</f>
        <v>34.924999999999997</v>
      </c>
      <c r="T19">
        <f>K19*25.4</f>
        <v>2.7685999999999997</v>
      </c>
      <c r="U19" s="31" t="str">
        <f t="shared" si="3"/>
        <v>1/2\"</v>
      </c>
      <c r="V19" s="31" t="str">
        <f t="shared" si="4"/>
        <v xml:space="preserve">["1/2\"",  12.700, 19.050, 11.113, 7.938, 14.288, 34.925, 2.769], </v>
      </c>
      <c r="W19" t="str">
        <f t="shared" si="5"/>
        <v xml:space="preserve">13:1/2", </v>
      </c>
    </row>
    <row r="20" spans="2:23" x14ac:dyDescent="0.25">
      <c r="B20" s="20" t="s">
        <v>12</v>
      </c>
      <c r="C20" s="20">
        <f>9/16</f>
        <v>0.5625</v>
      </c>
      <c r="D20" s="20">
        <f t="shared" si="6"/>
        <v>0.5625</v>
      </c>
      <c r="E20" s="20" t="s">
        <v>61</v>
      </c>
      <c r="F20" s="20">
        <f>7/8</f>
        <v>0.875</v>
      </c>
      <c r="G20" s="20">
        <f>31/64</f>
        <v>0.484375</v>
      </c>
      <c r="H20" s="20">
        <f>5/16</f>
        <v>0.3125</v>
      </c>
      <c r="I20" s="20">
        <f>5/8</f>
        <v>0.625</v>
      </c>
      <c r="J20" s="22">
        <f>1+15/32</f>
        <v>1.46875</v>
      </c>
      <c r="K20" s="22">
        <v>0.109</v>
      </c>
      <c r="L20" s="30">
        <v>14</v>
      </c>
      <c r="M20" s="29" t="str">
        <f t="shared" si="2"/>
        <v>9/16"</v>
      </c>
      <c r="N20">
        <f>D20*25.4</f>
        <v>14.2875</v>
      </c>
      <c r="O20" s="12">
        <f>F20*25.4</f>
        <v>22.224999999999998</v>
      </c>
      <c r="P20" s="12">
        <f>G20*25.4</f>
        <v>12.303125</v>
      </c>
      <c r="Q20" s="12">
        <f>H20*25.4</f>
        <v>7.9375</v>
      </c>
      <c r="R20" s="12">
        <f>I20*25.4</f>
        <v>15.875</v>
      </c>
      <c r="S20">
        <f>J20*25.4</f>
        <v>37.306249999999999</v>
      </c>
      <c r="T20">
        <f>K20*25.4</f>
        <v>2.7685999999999997</v>
      </c>
      <c r="U20" s="31" t="str">
        <f t="shared" si="3"/>
        <v>9/16\"</v>
      </c>
      <c r="V20" s="31" t="str">
        <f t="shared" si="4"/>
        <v xml:space="preserve">["9/16\"",  14.288, 22.225, 12.303, 7.938, 15.875, 37.306, 2.769], </v>
      </c>
      <c r="W20" t="str">
        <f t="shared" si="5"/>
        <v xml:space="preserve">14:9/16", </v>
      </c>
    </row>
    <row r="21" spans="2:23" x14ac:dyDescent="0.25">
      <c r="B21" s="20" t="s">
        <v>12</v>
      </c>
      <c r="C21" s="20">
        <f>5/8</f>
        <v>0.625</v>
      </c>
      <c r="D21" s="20">
        <f t="shared" si="6"/>
        <v>0.625</v>
      </c>
      <c r="E21" s="20" t="s">
        <v>62</v>
      </c>
      <c r="F21" s="20">
        <f>15/16</f>
        <v>0.9375</v>
      </c>
      <c r="G21" s="20">
        <f>35/64</f>
        <v>0.546875</v>
      </c>
      <c r="H21" s="20">
        <f>3/8</f>
        <v>0.375</v>
      </c>
      <c r="I21" s="20">
        <f>11/16</f>
        <v>0.6875</v>
      </c>
      <c r="J21" s="22">
        <f>1+3/4</f>
        <v>1.75</v>
      </c>
      <c r="K21" s="22">
        <v>0.13400000000000001</v>
      </c>
      <c r="L21" s="30">
        <v>15</v>
      </c>
      <c r="M21" s="29" t="str">
        <f t="shared" si="2"/>
        <v>5/8"</v>
      </c>
      <c r="N21">
        <f>D21*25.4</f>
        <v>15.875</v>
      </c>
      <c r="O21" s="12">
        <f>F21*25.4</f>
        <v>23.8125</v>
      </c>
      <c r="P21" s="12">
        <f>G21*25.4</f>
        <v>13.890625</v>
      </c>
      <c r="Q21" s="12">
        <f>H21*25.4</f>
        <v>9.5249999999999986</v>
      </c>
      <c r="R21" s="12">
        <f>I21*25.4</f>
        <v>17.462499999999999</v>
      </c>
      <c r="S21">
        <f>J21*25.4</f>
        <v>44.449999999999996</v>
      </c>
      <c r="T21">
        <f>K21*25.4</f>
        <v>3.4036</v>
      </c>
      <c r="U21" s="31" t="str">
        <f t="shared" si="3"/>
        <v>5/8\"</v>
      </c>
      <c r="V21" s="31" t="str">
        <f t="shared" si="4"/>
        <v xml:space="preserve">["5/8\"",  15.875, 23.813, 13.891, 9.525, 17.463, 44.450, 3.404], </v>
      </c>
      <c r="W21" t="str">
        <f t="shared" si="5"/>
        <v xml:space="preserve">15:5/8", </v>
      </c>
    </row>
    <row r="22" spans="2:23" x14ac:dyDescent="0.25">
      <c r="B22" s="20" t="s">
        <v>12</v>
      </c>
      <c r="C22" s="20">
        <f>3/4</f>
        <v>0.75</v>
      </c>
      <c r="D22" s="20">
        <f t="shared" si="6"/>
        <v>0.75</v>
      </c>
      <c r="E22" s="20" t="s">
        <v>63</v>
      </c>
      <c r="F22" s="20">
        <f>1+1/8</f>
        <v>1.125</v>
      </c>
      <c r="G22" s="20">
        <f>41/64</f>
        <v>0.640625</v>
      </c>
      <c r="H22" s="20">
        <f>27/64</f>
        <v>0.421875</v>
      </c>
      <c r="I22" s="20">
        <f>13/16</f>
        <v>0.8125</v>
      </c>
      <c r="J22" s="22">
        <v>2</v>
      </c>
      <c r="K22" s="22">
        <v>0.14799999999999999</v>
      </c>
      <c r="L22" s="30">
        <v>16</v>
      </c>
      <c r="M22" s="29" t="str">
        <f t="shared" si="2"/>
        <v>3/4"</v>
      </c>
      <c r="N22">
        <f>D22*25.4</f>
        <v>19.049999999999997</v>
      </c>
      <c r="O22" s="12">
        <f>F22*25.4</f>
        <v>28.574999999999999</v>
      </c>
      <c r="P22" s="12">
        <f>G22*25.4</f>
        <v>16.271874999999998</v>
      </c>
      <c r="Q22" s="12">
        <f>H22*25.4</f>
        <v>10.715624999999999</v>
      </c>
      <c r="R22" s="12">
        <f>I22*25.4</f>
        <v>20.637499999999999</v>
      </c>
      <c r="S22">
        <f>J22*25.4</f>
        <v>50.8</v>
      </c>
      <c r="T22">
        <f>K22*25.4</f>
        <v>3.7591999999999994</v>
      </c>
      <c r="U22" s="31" t="str">
        <f t="shared" si="3"/>
        <v>3/4\"</v>
      </c>
      <c r="V22" s="31" t="str">
        <f t="shared" si="4"/>
        <v xml:space="preserve">["3/4\"",  19.050, 28.575, 16.272, 10.716, 20.638, 50.800, 3.759], </v>
      </c>
      <c r="W22" t="str">
        <f t="shared" si="5"/>
        <v xml:space="preserve">16:3/4", </v>
      </c>
    </row>
    <row r="23" spans="2:23" x14ac:dyDescent="0.25">
      <c r="B23" s="20" t="s">
        <v>12</v>
      </c>
      <c r="C23" s="20">
        <f>7/8</f>
        <v>0.875</v>
      </c>
      <c r="D23" s="20">
        <f t="shared" si="6"/>
        <v>0.875</v>
      </c>
      <c r="E23" s="20" t="s">
        <v>64</v>
      </c>
      <c r="F23" s="20">
        <f>1+5/16</f>
        <v>1.3125</v>
      </c>
      <c r="G23" s="20">
        <f>3/4</f>
        <v>0.75</v>
      </c>
      <c r="H23" s="20">
        <f>31/64</f>
        <v>0.484375</v>
      </c>
      <c r="I23" s="20">
        <f>15/16</f>
        <v>0.9375</v>
      </c>
      <c r="J23" s="22">
        <f>2+1/4</f>
        <v>2.25</v>
      </c>
      <c r="K23" s="22">
        <v>0.16500000000000001</v>
      </c>
      <c r="L23" s="30">
        <v>17</v>
      </c>
      <c r="M23" s="29" t="str">
        <f t="shared" si="2"/>
        <v>7/8"</v>
      </c>
      <c r="N23">
        <f>D23*25.4</f>
        <v>22.224999999999998</v>
      </c>
      <c r="O23" s="12">
        <f>F23*25.4</f>
        <v>33.337499999999999</v>
      </c>
      <c r="P23" s="12">
        <f>G23*25.4</f>
        <v>19.049999999999997</v>
      </c>
      <c r="Q23" s="12">
        <f>H23*25.4</f>
        <v>12.303125</v>
      </c>
      <c r="R23" s="12">
        <f>I23*25.4</f>
        <v>23.8125</v>
      </c>
      <c r="S23">
        <f>J23*25.4</f>
        <v>57.15</v>
      </c>
      <c r="T23">
        <f>K23*25.4</f>
        <v>4.1909999999999998</v>
      </c>
      <c r="U23" s="31" t="str">
        <f t="shared" si="3"/>
        <v>7/8\"</v>
      </c>
      <c r="V23" s="31" t="str">
        <f t="shared" si="4"/>
        <v xml:space="preserve">["7/8\"",  22.225, 33.338, 19.050, 12.303, 23.813, 57.150, 4.191], </v>
      </c>
      <c r="W23" t="str">
        <f t="shared" si="5"/>
        <v xml:space="preserve">17:7/8", </v>
      </c>
    </row>
    <row r="24" spans="2:23" x14ac:dyDescent="0.25">
      <c r="B24" s="20" t="s">
        <v>12</v>
      </c>
      <c r="C24" s="20">
        <v>1</v>
      </c>
      <c r="D24" s="20">
        <f>C24</f>
        <v>1</v>
      </c>
      <c r="E24" s="20" t="s">
        <v>65</v>
      </c>
      <c r="F24" s="20">
        <f>1+1/2</f>
        <v>1.5</v>
      </c>
      <c r="G24" s="20">
        <f>55/64</f>
        <v>0.859375</v>
      </c>
      <c r="H24" s="20">
        <f>35/64</f>
        <v>0.546875</v>
      </c>
      <c r="I24" s="20">
        <f>1+1/16</f>
        <v>1.0625</v>
      </c>
      <c r="J24" s="22">
        <f>2+1/2</f>
        <v>2.5</v>
      </c>
      <c r="K24" s="22">
        <v>0.16500000000000001</v>
      </c>
      <c r="L24" s="30">
        <v>18</v>
      </c>
      <c r="M24" s="29" t="str">
        <f t="shared" si="2"/>
        <v>1"</v>
      </c>
      <c r="N24">
        <f>D24*25.4</f>
        <v>25.4</v>
      </c>
      <c r="O24" s="12">
        <f>F24*25.4</f>
        <v>38.099999999999994</v>
      </c>
      <c r="P24" s="12">
        <f>G24*25.4</f>
        <v>21.828125</v>
      </c>
      <c r="Q24" s="12">
        <f>H24*25.4</f>
        <v>13.890625</v>
      </c>
      <c r="R24" s="12">
        <f>I24*25.4</f>
        <v>26.987499999999997</v>
      </c>
      <c r="S24">
        <f>J24*25.4</f>
        <v>63.5</v>
      </c>
      <c r="T24">
        <f>K24*25.4</f>
        <v>4.1909999999999998</v>
      </c>
      <c r="U24" s="31" t="str">
        <f t="shared" si="3"/>
        <v>1\"</v>
      </c>
      <c r="V24" s="31" t="str">
        <f t="shared" si="4"/>
        <v xml:space="preserve">["1\"",  25.400, 38.100, 21.828, 13.891, 26.988, 63.500, 4.191], </v>
      </c>
      <c r="W24" t="str">
        <f t="shared" si="5"/>
        <v xml:space="preserve">18:1", </v>
      </c>
    </row>
    <row r="25" spans="2:23" x14ac:dyDescent="0.25">
      <c r="B25" s="17" t="s">
        <v>13</v>
      </c>
      <c r="C25" s="17">
        <v>2</v>
      </c>
      <c r="D25" s="12">
        <f>C25/25.4</f>
        <v>7.874015748031496E-2</v>
      </c>
      <c r="E25" s="12" t="str">
        <f>C25&amp;B25</f>
        <v>2mm</v>
      </c>
      <c r="F25" s="17">
        <v>4</v>
      </c>
      <c r="G25" s="17">
        <v>1.6</v>
      </c>
      <c r="H25" s="17">
        <v>1.2</v>
      </c>
      <c r="I25" s="18">
        <v>2.27</v>
      </c>
      <c r="J25" s="18">
        <v>4.8499999999999996</v>
      </c>
      <c r="K25" s="18">
        <v>0.3</v>
      </c>
      <c r="L25" s="30">
        <v>19</v>
      </c>
      <c r="M25" s="29" t="str">
        <f t="shared" si="2"/>
        <v>2mm</v>
      </c>
      <c r="N25">
        <f>D25*25.4</f>
        <v>1.9999999999999998</v>
      </c>
      <c r="O25" s="12">
        <f>F25</f>
        <v>4</v>
      </c>
      <c r="P25" s="12">
        <f t="shared" ref="P25:P38" si="7">G25</f>
        <v>1.6</v>
      </c>
      <c r="Q25" s="12">
        <f t="shared" ref="Q25:Q38" si="8">H25</f>
        <v>1.2</v>
      </c>
      <c r="R25">
        <f t="shared" ref="R25:R38" si="9">I25</f>
        <v>2.27</v>
      </c>
      <c r="S25">
        <f t="shared" ref="S25:S38" si="10">J25</f>
        <v>4.8499999999999996</v>
      </c>
      <c r="T25">
        <f t="shared" ref="T25:T38" si="11">K25</f>
        <v>0.3</v>
      </c>
      <c r="U25" s="31" t="str">
        <f t="shared" si="3"/>
        <v>2mm</v>
      </c>
      <c r="V25" s="31" t="str">
        <f t="shared" si="4"/>
        <v xml:space="preserve">["2mm",  2.000, 4.000, 1.600, 1.200, 2.270, 4.850, 0.300], </v>
      </c>
      <c r="W25" t="str">
        <f t="shared" si="5"/>
        <v xml:space="preserve">19:2mm, </v>
      </c>
    </row>
    <row r="26" spans="2:23" x14ac:dyDescent="0.25">
      <c r="B26" s="17" t="s">
        <v>13</v>
      </c>
      <c r="C26" s="17">
        <v>2.5</v>
      </c>
      <c r="D26" s="12">
        <f t="shared" ref="D26:D38" si="12">C26/25.4</f>
        <v>9.8425196850393706E-2</v>
      </c>
      <c r="E26" s="12" t="str">
        <f t="shared" ref="E26:E38" si="13">C26&amp;B26</f>
        <v>2.5mm</v>
      </c>
      <c r="F26" s="17">
        <v>5</v>
      </c>
      <c r="G26" s="17">
        <v>2</v>
      </c>
      <c r="H26" s="17">
        <v>1.6</v>
      </c>
      <c r="I26" s="18">
        <v>2.77</v>
      </c>
      <c r="J26" s="18">
        <v>5.85</v>
      </c>
      <c r="K26" s="18">
        <v>0.5</v>
      </c>
      <c r="L26" s="30">
        <v>20</v>
      </c>
      <c r="M26" s="29" t="str">
        <f t="shared" si="2"/>
        <v>2.5mm</v>
      </c>
      <c r="N26">
        <f>D26*25.4</f>
        <v>2.5</v>
      </c>
      <c r="O26" s="12">
        <f t="shared" ref="O26:O38" si="14">F26</f>
        <v>5</v>
      </c>
      <c r="P26" s="12">
        <f t="shared" si="7"/>
        <v>2</v>
      </c>
      <c r="Q26" s="12">
        <f t="shared" si="8"/>
        <v>1.6</v>
      </c>
      <c r="R26">
        <f t="shared" si="9"/>
        <v>2.77</v>
      </c>
      <c r="S26">
        <f t="shared" si="10"/>
        <v>5.85</v>
      </c>
      <c r="T26">
        <f t="shared" si="11"/>
        <v>0.5</v>
      </c>
      <c r="U26" s="31" t="str">
        <f t="shared" si="3"/>
        <v>2.5mm</v>
      </c>
      <c r="V26" s="31" t="str">
        <f t="shared" si="4"/>
        <v xml:space="preserve">["2.5mm",  2.500, 5.000, 2.000, 1.600, 2.770, 5.850, 0.500], </v>
      </c>
      <c r="W26" t="str">
        <f t="shared" si="5"/>
        <v xml:space="preserve">20:2.5mm, </v>
      </c>
    </row>
    <row r="27" spans="2:23" x14ac:dyDescent="0.25">
      <c r="B27" s="17" t="s">
        <v>13</v>
      </c>
      <c r="C27" s="17">
        <v>3</v>
      </c>
      <c r="D27" s="12">
        <f t="shared" si="12"/>
        <v>0.11811023622047245</v>
      </c>
      <c r="E27" s="12" t="str">
        <f t="shared" si="13"/>
        <v>3mm</v>
      </c>
      <c r="F27" s="17">
        <v>5.5</v>
      </c>
      <c r="G27" s="17">
        <v>2.4</v>
      </c>
      <c r="H27" s="17">
        <v>1.8</v>
      </c>
      <c r="I27" s="17">
        <v>3.29</v>
      </c>
      <c r="J27" s="18">
        <v>6.82</v>
      </c>
      <c r="K27" s="18">
        <v>0.5</v>
      </c>
      <c r="L27" s="30">
        <v>21</v>
      </c>
      <c r="M27" s="29" t="str">
        <f t="shared" si="2"/>
        <v>3mm</v>
      </c>
      <c r="N27">
        <f>D27*25.4</f>
        <v>3</v>
      </c>
      <c r="O27" s="12">
        <f t="shared" si="14"/>
        <v>5.5</v>
      </c>
      <c r="P27" s="12">
        <f t="shared" si="7"/>
        <v>2.4</v>
      </c>
      <c r="Q27" s="12">
        <f t="shared" si="8"/>
        <v>1.8</v>
      </c>
      <c r="R27" s="12">
        <f t="shared" si="9"/>
        <v>3.29</v>
      </c>
      <c r="S27">
        <f t="shared" si="10"/>
        <v>6.82</v>
      </c>
      <c r="T27">
        <f t="shared" si="11"/>
        <v>0.5</v>
      </c>
      <c r="U27" s="31" t="str">
        <f t="shared" si="3"/>
        <v>3mm</v>
      </c>
      <c r="V27" s="31" t="str">
        <f t="shared" si="4"/>
        <v xml:space="preserve">["3mm",  3.000, 5.500, 2.400, 1.800, 3.290, 6.820, 0.500], </v>
      </c>
      <c r="W27" t="str">
        <f t="shared" si="5"/>
        <v xml:space="preserve">21:3mm, </v>
      </c>
    </row>
    <row r="28" spans="2:23" x14ac:dyDescent="0.25">
      <c r="B28" s="17" t="s">
        <v>13</v>
      </c>
      <c r="C28" s="17">
        <v>4</v>
      </c>
      <c r="D28" s="12">
        <f t="shared" si="12"/>
        <v>0.15748031496062992</v>
      </c>
      <c r="E28" s="12" t="str">
        <f t="shared" si="13"/>
        <v>4mm</v>
      </c>
      <c r="F28" s="17">
        <v>7</v>
      </c>
      <c r="G28" s="17">
        <v>3.2</v>
      </c>
      <c r="H28" s="17">
        <v>2.2000000000000002</v>
      </c>
      <c r="I28" s="17">
        <v>4.3900000000000006</v>
      </c>
      <c r="J28" s="18">
        <v>8.82</v>
      </c>
      <c r="K28" s="18">
        <v>0.8</v>
      </c>
      <c r="L28" s="30">
        <v>22</v>
      </c>
      <c r="M28" s="29" t="str">
        <f t="shared" si="2"/>
        <v>4mm</v>
      </c>
      <c r="N28">
        <f>D28*25.4</f>
        <v>3.9999999999999996</v>
      </c>
      <c r="O28" s="12">
        <f t="shared" si="14"/>
        <v>7</v>
      </c>
      <c r="P28" s="12">
        <f t="shared" si="7"/>
        <v>3.2</v>
      </c>
      <c r="Q28" s="12">
        <f t="shared" si="8"/>
        <v>2.2000000000000002</v>
      </c>
      <c r="R28" s="12">
        <f t="shared" si="9"/>
        <v>4.3900000000000006</v>
      </c>
      <c r="S28">
        <f t="shared" si="10"/>
        <v>8.82</v>
      </c>
      <c r="T28">
        <f t="shared" si="11"/>
        <v>0.8</v>
      </c>
      <c r="U28" s="31" t="str">
        <f t="shared" si="3"/>
        <v>4mm</v>
      </c>
      <c r="V28" s="31" t="str">
        <f t="shared" si="4"/>
        <v xml:space="preserve">["4mm",  4.000, 7.000, 3.200, 2.200, 4.390, 8.820, 0.800], </v>
      </c>
      <c r="W28" t="str">
        <f t="shared" si="5"/>
        <v xml:space="preserve">22:4mm, </v>
      </c>
    </row>
    <row r="29" spans="2:23" x14ac:dyDescent="0.25">
      <c r="B29" s="17" t="s">
        <v>13</v>
      </c>
      <c r="C29" s="17">
        <v>5</v>
      </c>
      <c r="D29" s="12">
        <f t="shared" si="12"/>
        <v>0.19685039370078741</v>
      </c>
      <c r="E29" s="12" t="str">
        <f t="shared" si="13"/>
        <v>5mm</v>
      </c>
      <c r="F29" s="17">
        <v>8</v>
      </c>
      <c r="G29" s="17">
        <v>4</v>
      </c>
      <c r="H29" s="17">
        <v>2.7</v>
      </c>
      <c r="I29" s="17">
        <v>5.3900000000000006</v>
      </c>
      <c r="J29" s="18">
        <v>9.82</v>
      </c>
      <c r="K29" s="18">
        <v>1</v>
      </c>
      <c r="L29" s="30">
        <v>23</v>
      </c>
      <c r="M29" s="29" t="str">
        <f t="shared" si="2"/>
        <v>5mm</v>
      </c>
      <c r="N29">
        <f>D29*25.4</f>
        <v>5</v>
      </c>
      <c r="O29" s="12">
        <f t="shared" si="14"/>
        <v>8</v>
      </c>
      <c r="P29" s="12">
        <f t="shared" si="7"/>
        <v>4</v>
      </c>
      <c r="Q29" s="12">
        <f t="shared" si="8"/>
        <v>2.7</v>
      </c>
      <c r="R29" s="12">
        <f t="shared" si="9"/>
        <v>5.3900000000000006</v>
      </c>
      <c r="S29">
        <f t="shared" si="10"/>
        <v>9.82</v>
      </c>
      <c r="T29">
        <f t="shared" si="11"/>
        <v>1</v>
      </c>
      <c r="U29" s="31" t="str">
        <f t="shared" si="3"/>
        <v>5mm</v>
      </c>
      <c r="V29" s="31" t="str">
        <f t="shared" si="4"/>
        <v xml:space="preserve">["5mm",  5.000, 8.000, 4.000, 2.700, 5.390, 9.820, 1.000], </v>
      </c>
      <c r="W29" t="str">
        <f t="shared" si="5"/>
        <v xml:space="preserve">23:5mm, </v>
      </c>
    </row>
    <row r="30" spans="2:23" x14ac:dyDescent="0.25">
      <c r="B30" s="17" t="s">
        <v>13</v>
      </c>
      <c r="C30" s="17">
        <v>6</v>
      </c>
      <c r="D30" s="12">
        <f t="shared" si="12"/>
        <v>0.23622047244094491</v>
      </c>
      <c r="E30" s="12" t="str">
        <f t="shared" si="13"/>
        <v>6mm</v>
      </c>
      <c r="F30" s="17">
        <v>10</v>
      </c>
      <c r="G30" s="17">
        <v>5</v>
      </c>
      <c r="H30" s="17">
        <v>3.2</v>
      </c>
      <c r="I30" s="17">
        <v>6.51</v>
      </c>
      <c r="J30" s="18">
        <v>11.785</v>
      </c>
      <c r="K30" s="18">
        <v>1.6</v>
      </c>
      <c r="L30" s="30">
        <v>24</v>
      </c>
      <c r="M30" s="29" t="str">
        <f t="shared" si="2"/>
        <v>6mm</v>
      </c>
      <c r="N30">
        <f>D30*25.4</f>
        <v>6</v>
      </c>
      <c r="O30" s="12">
        <f t="shared" si="14"/>
        <v>10</v>
      </c>
      <c r="P30" s="12">
        <f t="shared" si="7"/>
        <v>5</v>
      </c>
      <c r="Q30" s="12">
        <f t="shared" si="8"/>
        <v>3.2</v>
      </c>
      <c r="R30" s="12">
        <f t="shared" si="9"/>
        <v>6.51</v>
      </c>
      <c r="S30">
        <f t="shared" si="10"/>
        <v>11.785</v>
      </c>
      <c r="T30">
        <f t="shared" si="11"/>
        <v>1.6</v>
      </c>
      <c r="U30" s="31" t="str">
        <f t="shared" si="3"/>
        <v>6mm</v>
      </c>
      <c r="V30" s="31" t="str">
        <f t="shared" si="4"/>
        <v xml:space="preserve">["6mm",  6.000, 10.000, 5.000, 3.200, 6.510, 11.785, 1.600], </v>
      </c>
      <c r="W30" t="str">
        <f t="shared" si="5"/>
        <v xml:space="preserve">24:6mm, </v>
      </c>
    </row>
    <row r="31" spans="2:23" x14ac:dyDescent="0.25">
      <c r="B31" s="17" t="s">
        <v>13</v>
      </c>
      <c r="C31" s="17">
        <v>7</v>
      </c>
      <c r="D31" s="12">
        <f t="shared" si="12"/>
        <v>0.27559055118110237</v>
      </c>
      <c r="E31" s="12" t="str">
        <f t="shared" si="13"/>
        <v>7mm</v>
      </c>
      <c r="F31" s="17">
        <v>11</v>
      </c>
      <c r="G31" s="17">
        <v>5.5</v>
      </c>
      <c r="H31" s="17">
        <v>3.5</v>
      </c>
      <c r="I31" s="19">
        <f>AVERAGE(I30,I32)</f>
        <v>7.51</v>
      </c>
      <c r="J31" s="19">
        <f t="shared" ref="J31" si="15">AVERAGE(J30,J32)</f>
        <v>13.785</v>
      </c>
      <c r="K31" s="19">
        <f t="shared" ref="K31" si="16">AVERAGE(K30,K32)</f>
        <v>1.6</v>
      </c>
      <c r="L31" s="30">
        <v>25</v>
      </c>
      <c r="M31" s="29" t="str">
        <f t="shared" si="2"/>
        <v>7mm</v>
      </c>
      <c r="N31">
        <f>D31*25.4</f>
        <v>7</v>
      </c>
      <c r="O31" s="12">
        <f t="shared" si="14"/>
        <v>11</v>
      </c>
      <c r="P31" s="12">
        <f t="shared" si="7"/>
        <v>5.5</v>
      </c>
      <c r="Q31" s="12">
        <f t="shared" si="8"/>
        <v>3.5</v>
      </c>
      <c r="R31" s="14">
        <f t="shared" si="9"/>
        <v>7.51</v>
      </c>
      <c r="S31" s="14">
        <f t="shared" si="10"/>
        <v>13.785</v>
      </c>
      <c r="T31" s="14">
        <f t="shared" si="11"/>
        <v>1.6</v>
      </c>
      <c r="U31" s="31" t="str">
        <f t="shared" si="3"/>
        <v>7mm</v>
      </c>
      <c r="V31" s="31" t="str">
        <f t="shared" si="4"/>
        <v xml:space="preserve">["7mm",  7.000, 11.000, 5.500, 3.500, 7.510, 13.785, 1.600], </v>
      </c>
      <c r="W31" t="str">
        <f t="shared" si="5"/>
        <v xml:space="preserve">25:7mm, </v>
      </c>
    </row>
    <row r="32" spans="2:23" x14ac:dyDescent="0.25">
      <c r="B32" s="17" t="s">
        <v>13</v>
      </c>
      <c r="C32" s="17">
        <v>8</v>
      </c>
      <c r="D32" s="12">
        <f t="shared" si="12"/>
        <v>0.31496062992125984</v>
      </c>
      <c r="E32" s="12" t="str">
        <f t="shared" si="13"/>
        <v>8mm</v>
      </c>
      <c r="F32" s="17">
        <v>13</v>
      </c>
      <c r="G32" s="17">
        <v>6.5</v>
      </c>
      <c r="H32" s="17">
        <v>4</v>
      </c>
      <c r="I32" s="17">
        <v>8.51</v>
      </c>
      <c r="J32" s="18">
        <v>15.785</v>
      </c>
      <c r="K32" s="18">
        <v>1.6</v>
      </c>
      <c r="L32" s="30">
        <v>26</v>
      </c>
      <c r="M32" s="29" t="str">
        <f t="shared" si="2"/>
        <v>8mm</v>
      </c>
      <c r="N32">
        <f>D32*25.4</f>
        <v>7.9999999999999991</v>
      </c>
      <c r="O32" s="12">
        <f t="shared" si="14"/>
        <v>13</v>
      </c>
      <c r="P32" s="12">
        <f t="shared" si="7"/>
        <v>6.5</v>
      </c>
      <c r="Q32" s="12">
        <f t="shared" si="8"/>
        <v>4</v>
      </c>
      <c r="R32" s="12">
        <f t="shared" si="9"/>
        <v>8.51</v>
      </c>
      <c r="S32">
        <f t="shared" si="10"/>
        <v>15.785</v>
      </c>
      <c r="T32">
        <f t="shared" si="11"/>
        <v>1.6</v>
      </c>
      <c r="U32" s="31" t="str">
        <f t="shared" si="3"/>
        <v>8mm</v>
      </c>
      <c r="V32" s="31" t="str">
        <f t="shared" si="4"/>
        <v xml:space="preserve">["8mm",  8.000, 13.000, 6.500, 4.000, 8.510, 15.785, 1.600], </v>
      </c>
      <c r="W32" t="str">
        <f t="shared" si="5"/>
        <v xml:space="preserve">26:8mm, </v>
      </c>
    </row>
    <row r="33" spans="2:23" x14ac:dyDescent="0.25">
      <c r="B33" s="17" t="s">
        <v>13</v>
      </c>
      <c r="C33" s="17">
        <v>10</v>
      </c>
      <c r="D33" s="12">
        <f t="shared" si="12"/>
        <v>0.39370078740157483</v>
      </c>
      <c r="E33" s="12" t="str">
        <f t="shared" si="13"/>
        <v>10mm</v>
      </c>
      <c r="F33" s="17">
        <v>17</v>
      </c>
      <c r="G33" s="17">
        <v>8</v>
      </c>
      <c r="H33" s="17">
        <v>5</v>
      </c>
      <c r="I33" s="17">
        <v>10.635</v>
      </c>
      <c r="J33" s="18">
        <v>19.740000000000002</v>
      </c>
      <c r="K33" s="18">
        <v>2</v>
      </c>
      <c r="L33" s="30">
        <v>27</v>
      </c>
      <c r="M33" s="29" t="str">
        <f t="shared" si="2"/>
        <v>10mm</v>
      </c>
      <c r="N33">
        <f>D33*25.4</f>
        <v>10</v>
      </c>
      <c r="O33" s="12">
        <f t="shared" si="14"/>
        <v>17</v>
      </c>
      <c r="P33" s="12">
        <f t="shared" si="7"/>
        <v>8</v>
      </c>
      <c r="Q33" s="12">
        <f t="shared" si="8"/>
        <v>5</v>
      </c>
      <c r="R33" s="12">
        <f t="shared" si="9"/>
        <v>10.635</v>
      </c>
      <c r="S33">
        <f t="shared" si="10"/>
        <v>19.740000000000002</v>
      </c>
      <c r="T33">
        <f t="shared" si="11"/>
        <v>2</v>
      </c>
      <c r="U33" s="31" t="str">
        <f t="shared" si="3"/>
        <v>10mm</v>
      </c>
      <c r="V33" s="31" t="str">
        <f t="shared" si="4"/>
        <v xml:space="preserve">["10mm",  10.000, 17.000, 8.000, 5.000, 10.635, 19.740, 2.000], </v>
      </c>
      <c r="W33" t="str">
        <f t="shared" si="5"/>
        <v xml:space="preserve">27:10mm, </v>
      </c>
    </row>
    <row r="34" spans="2:23" x14ac:dyDescent="0.25">
      <c r="B34" s="17" t="s">
        <v>13</v>
      </c>
      <c r="C34" s="17">
        <v>12</v>
      </c>
      <c r="D34" s="12">
        <f t="shared" si="12"/>
        <v>0.47244094488188981</v>
      </c>
      <c r="E34" s="12" t="str">
        <f t="shared" si="13"/>
        <v>12mm</v>
      </c>
      <c r="F34" s="17">
        <v>19</v>
      </c>
      <c r="G34" s="17">
        <v>10</v>
      </c>
      <c r="H34" s="17">
        <v>6</v>
      </c>
      <c r="I34" s="17">
        <v>13.135</v>
      </c>
      <c r="J34" s="18">
        <v>23.740000000000002</v>
      </c>
      <c r="K34" s="18">
        <v>2.5</v>
      </c>
      <c r="L34" s="30">
        <v>28</v>
      </c>
      <c r="M34" s="29" t="str">
        <f t="shared" si="2"/>
        <v>12mm</v>
      </c>
      <c r="N34">
        <f>D34*25.4</f>
        <v>12</v>
      </c>
      <c r="O34" s="12">
        <f t="shared" si="14"/>
        <v>19</v>
      </c>
      <c r="P34" s="12">
        <f t="shared" si="7"/>
        <v>10</v>
      </c>
      <c r="Q34" s="12">
        <f t="shared" si="8"/>
        <v>6</v>
      </c>
      <c r="R34" s="12">
        <f t="shared" si="9"/>
        <v>13.135</v>
      </c>
      <c r="S34">
        <f t="shared" si="10"/>
        <v>23.740000000000002</v>
      </c>
      <c r="T34">
        <f t="shared" si="11"/>
        <v>2.5</v>
      </c>
      <c r="U34" s="31" t="str">
        <f t="shared" si="3"/>
        <v>12mm</v>
      </c>
      <c r="V34" s="31" t="str">
        <f t="shared" si="4"/>
        <v xml:space="preserve">["12mm",  12.000, 19.000, 10.000, 6.000, 13.135, 23.740, 2.500], </v>
      </c>
      <c r="W34" t="str">
        <f t="shared" si="5"/>
        <v xml:space="preserve">28:12mm, </v>
      </c>
    </row>
    <row r="35" spans="2:23" x14ac:dyDescent="0.25">
      <c r="B35" s="17" t="s">
        <v>13</v>
      </c>
      <c r="C35" s="17">
        <v>14</v>
      </c>
      <c r="D35" s="12">
        <f t="shared" si="12"/>
        <v>0.55118110236220474</v>
      </c>
      <c r="E35" s="12" t="str">
        <f t="shared" si="13"/>
        <v>14mm</v>
      </c>
      <c r="F35" s="17">
        <v>22</v>
      </c>
      <c r="G35" s="17">
        <v>11</v>
      </c>
      <c r="H35" s="17">
        <v>7</v>
      </c>
      <c r="I35" s="17">
        <v>15.135</v>
      </c>
      <c r="J35" s="18">
        <v>27.740000000000002</v>
      </c>
      <c r="K35" s="18">
        <v>2.5</v>
      </c>
      <c r="L35" s="30">
        <v>29</v>
      </c>
      <c r="M35" s="29" t="str">
        <f t="shared" si="2"/>
        <v>14mm</v>
      </c>
      <c r="N35">
        <f>D35*25.4</f>
        <v>14</v>
      </c>
      <c r="O35" s="12">
        <f t="shared" si="14"/>
        <v>22</v>
      </c>
      <c r="P35" s="12">
        <f t="shared" si="7"/>
        <v>11</v>
      </c>
      <c r="Q35" s="12">
        <f t="shared" si="8"/>
        <v>7</v>
      </c>
      <c r="R35" s="12">
        <f t="shared" si="9"/>
        <v>15.135</v>
      </c>
      <c r="S35">
        <f t="shared" si="10"/>
        <v>27.740000000000002</v>
      </c>
      <c r="T35">
        <f t="shared" si="11"/>
        <v>2.5</v>
      </c>
      <c r="U35" s="31" t="str">
        <f t="shared" si="3"/>
        <v>14mm</v>
      </c>
      <c r="V35" s="31" t="str">
        <f t="shared" si="4"/>
        <v xml:space="preserve">["14mm",  14.000, 22.000, 11.000, 7.000, 15.135, 27.740, 2.500], </v>
      </c>
      <c r="W35" t="str">
        <f t="shared" si="5"/>
        <v xml:space="preserve">29:14mm, </v>
      </c>
    </row>
    <row r="36" spans="2:23" x14ac:dyDescent="0.25">
      <c r="B36" s="17" t="s">
        <v>13</v>
      </c>
      <c r="C36" s="17">
        <v>16</v>
      </c>
      <c r="D36" s="12">
        <f t="shared" si="12"/>
        <v>0.62992125984251968</v>
      </c>
      <c r="E36" s="12" t="str">
        <f t="shared" si="13"/>
        <v>16mm</v>
      </c>
      <c r="F36" s="17">
        <v>24</v>
      </c>
      <c r="G36" s="17">
        <v>13</v>
      </c>
      <c r="H36" s="17">
        <v>8</v>
      </c>
      <c r="I36" s="17">
        <v>17.134999999999998</v>
      </c>
      <c r="J36" s="18">
        <v>29.740000000000002</v>
      </c>
      <c r="K36" s="18">
        <v>3</v>
      </c>
      <c r="L36" s="30">
        <v>30</v>
      </c>
      <c r="M36" s="29" t="str">
        <f t="shared" si="2"/>
        <v>16mm</v>
      </c>
      <c r="N36">
        <f>D36*25.4</f>
        <v>15.999999999999998</v>
      </c>
      <c r="O36" s="12">
        <f t="shared" si="14"/>
        <v>24</v>
      </c>
      <c r="P36" s="12">
        <f t="shared" si="7"/>
        <v>13</v>
      </c>
      <c r="Q36" s="12">
        <f t="shared" si="8"/>
        <v>8</v>
      </c>
      <c r="R36" s="12">
        <f t="shared" si="9"/>
        <v>17.134999999999998</v>
      </c>
      <c r="S36">
        <f t="shared" si="10"/>
        <v>29.740000000000002</v>
      </c>
      <c r="T36">
        <f t="shared" si="11"/>
        <v>3</v>
      </c>
      <c r="U36" s="31" t="str">
        <f t="shared" si="3"/>
        <v>16mm</v>
      </c>
      <c r="V36" s="31" t="str">
        <f t="shared" si="4"/>
        <v xml:space="preserve">["16mm",  16.000, 24.000, 13.000, 8.000, 17.135, 29.740, 3.000], </v>
      </c>
      <c r="W36" t="str">
        <f t="shared" si="5"/>
        <v xml:space="preserve">30:16mm, </v>
      </c>
    </row>
    <row r="37" spans="2:23" x14ac:dyDescent="0.25">
      <c r="B37" s="17" t="s">
        <v>13</v>
      </c>
      <c r="C37" s="17">
        <v>18</v>
      </c>
      <c r="D37" s="12">
        <f t="shared" si="12"/>
        <v>0.70866141732283472</v>
      </c>
      <c r="E37" s="12" t="str">
        <f t="shared" si="13"/>
        <v>18mm</v>
      </c>
      <c r="F37" s="17">
        <v>27</v>
      </c>
      <c r="G37" s="17">
        <v>15</v>
      </c>
      <c r="H37" s="17">
        <v>9</v>
      </c>
      <c r="I37" s="19">
        <f>AVERAGE(I36,I38)</f>
        <v>19.149999999999999</v>
      </c>
      <c r="J37" s="19">
        <f t="shared" ref="J37:K37" si="17">AVERAGE(J36,J38)</f>
        <v>33.215000000000003</v>
      </c>
      <c r="K37" s="19">
        <f t="shared" si="17"/>
        <v>3</v>
      </c>
      <c r="L37" s="30">
        <v>31</v>
      </c>
      <c r="M37" s="29" t="str">
        <f t="shared" si="2"/>
        <v>18mm</v>
      </c>
      <c r="N37">
        <f>D37*25.4</f>
        <v>18</v>
      </c>
      <c r="O37" s="12">
        <f t="shared" si="14"/>
        <v>27</v>
      </c>
      <c r="P37" s="12">
        <f t="shared" si="7"/>
        <v>15</v>
      </c>
      <c r="Q37" s="12">
        <f t="shared" si="8"/>
        <v>9</v>
      </c>
      <c r="R37" s="14">
        <f t="shared" si="9"/>
        <v>19.149999999999999</v>
      </c>
      <c r="S37" s="14">
        <f t="shared" si="10"/>
        <v>33.215000000000003</v>
      </c>
      <c r="T37" s="14">
        <f t="shared" si="11"/>
        <v>3</v>
      </c>
      <c r="U37" s="31" t="str">
        <f t="shared" si="3"/>
        <v>18mm</v>
      </c>
      <c r="V37" s="31" t="str">
        <f t="shared" si="4"/>
        <v xml:space="preserve">["18mm",  18.000, 27.000, 15.000, 9.000, 19.150, 33.215, 3.000], </v>
      </c>
      <c r="W37" t="str">
        <f t="shared" si="5"/>
        <v xml:space="preserve">31:18mm, </v>
      </c>
    </row>
    <row r="38" spans="2:23" x14ac:dyDescent="0.25">
      <c r="B38" s="17" t="s">
        <v>13</v>
      </c>
      <c r="C38" s="17">
        <v>20</v>
      </c>
      <c r="D38" s="12">
        <f t="shared" si="12"/>
        <v>0.78740157480314965</v>
      </c>
      <c r="E38" s="12" t="str">
        <f t="shared" si="13"/>
        <v>20mm</v>
      </c>
      <c r="F38" s="17">
        <v>30</v>
      </c>
      <c r="G38" s="17">
        <v>16</v>
      </c>
      <c r="H38" s="17">
        <v>10</v>
      </c>
      <c r="I38" s="17">
        <v>21.164999999999999</v>
      </c>
      <c r="J38" s="18">
        <v>36.69</v>
      </c>
      <c r="K38" s="18">
        <v>3</v>
      </c>
      <c r="L38" s="30">
        <v>32</v>
      </c>
      <c r="M38" s="29" t="str">
        <f t="shared" si="2"/>
        <v>20mm</v>
      </c>
      <c r="N38">
        <f>D38*25.4</f>
        <v>20</v>
      </c>
      <c r="O38" s="12">
        <f t="shared" si="14"/>
        <v>30</v>
      </c>
      <c r="P38" s="12">
        <f t="shared" si="7"/>
        <v>16</v>
      </c>
      <c r="Q38" s="12">
        <f t="shared" si="8"/>
        <v>10</v>
      </c>
      <c r="R38" s="12">
        <f t="shared" si="9"/>
        <v>21.164999999999999</v>
      </c>
      <c r="S38">
        <f t="shared" si="10"/>
        <v>36.69</v>
      </c>
      <c r="T38">
        <f t="shared" si="11"/>
        <v>3</v>
      </c>
      <c r="U38" s="31" t="str">
        <f t="shared" si="3"/>
        <v>20mm</v>
      </c>
      <c r="V38" s="31" t="str">
        <f t="shared" si="4"/>
        <v xml:space="preserve">["20mm",  20.000, 30.000, 16.000, 10.000, 21.165, 36.690, 3.000], </v>
      </c>
      <c r="W38" t="str">
        <f t="shared" si="5"/>
        <v xml:space="preserve">32:20mm, </v>
      </c>
    </row>
  </sheetData>
  <mergeCells count="4">
    <mergeCell ref="F4:H4"/>
    <mergeCell ref="I4:K4"/>
    <mergeCell ref="O4:Q4"/>
    <mergeCell ref="R4:T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3:X94"/>
  <sheetViews>
    <sheetView topLeftCell="A64" workbookViewId="0">
      <selection activeCell="F85" sqref="F85:F94"/>
    </sheetView>
  </sheetViews>
  <sheetFormatPr defaultRowHeight="15" x14ac:dyDescent="0.25"/>
  <cols>
    <col min="16" max="21" width="12.28515625" customWidth="1"/>
  </cols>
  <sheetData>
    <row r="3" spans="2:24" x14ac:dyDescent="0.25">
      <c r="B3" t="s">
        <v>37</v>
      </c>
      <c r="O3" t="s">
        <v>53</v>
      </c>
      <c r="X3" t="s">
        <v>46</v>
      </c>
    </row>
    <row r="4" spans="2:24" ht="15.75" thickBot="1" x14ac:dyDescent="0.3">
      <c r="B4" t="s">
        <v>47</v>
      </c>
      <c r="O4" t="s">
        <v>49</v>
      </c>
    </row>
    <row r="5" spans="2:24" ht="15.75" thickBot="1" x14ac:dyDescent="0.3">
      <c r="O5" s="5" t="s">
        <v>7</v>
      </c>
      <c r="P5" s="7" t="s">
        <v>22</v>
      </c>
      <c r="Q5" s="8"/>
      <c r="R5" s="9"/>
      <c r="S5" s="7" t="s">
        <v>23</v>
      </c>
      <c r="T5" s="8"/>
      <c r="U5" s="9"/>
    </row>
    <row r="6" spans="2:24" ht="45" x14ac:dyDescent="0.25">
      <c r="C6" t="s">
        <v>39</v>
      </c>
      <c r="E6" t="s">
        <v>42</v>
      </c>
      <c r="G6" t="s">
        <v>43</v>
      </c>
      <c r="I6" t="s">
        <v>39</v>
      </c>
      <c r="J6" t="s">
        <v>42</v>
      </c>
      <c r="K6" t="s">
        <v>43</v>
      </c>
      <c r="O6" s="16"/>
      <c r="P6" s="1" t="s">
        <v>24</v>
      </c>
      <c r="Q6" s="1" t="s">
        <v>26</v>
      </c>
      <c r="R6" s="1" t="s">
        <v>28</v>
      </c>
      <c r="S6" s="1" t="s">
        <v>24</v>
      </c>
      <c r="T6" s="1" t="s">
        <v>26</v>
      </c>
      <c r="U6" s="1" t="s">
        <v>28</v>
      </c>
    </row>
    <row r="7" spans="2:24" ht="15.75" thickBot="1" x14ac:dyDescent="0.3">
      <c r="B7" t="s">
        <v>38</v>
      </c>
      <c r="C7" t="s">
        <v>40</v>
      </c>
      <c r="D7" t="s">
        <v>41</v>
      </c>
      <c r="E7" t="s">
        <v>40</v>
      </c>
      <c r="F7" t="s">
        <v>41</v>
      </c>
      <c r="G7" t="s">
        <v>40</v>
      </c>
      <c r="H7" t="s">
        <v>41</v>
      </c>
      <c r="I7" t="s">
        <v>44</v>
      </c>
      <c r="J7" t="s">
        <v>44</v>
      </c>
      <c r="K7" t="s">
        <v>44</v>
      </c>
      <c r="O7" s="6"/>
      <c r="P7" s="15" t="s">
        <v>25</v>
      </c>
      <c r="Q7" s="15" t="s">
        <v>27</v>
      </c>
      <c r="R7" s="15" t="s">
        <v>29</v>
      </c>
      <c r="S7" s="15" t="s">
        <v>25</v>
      </c>
      <c r="T7" s="15" t="s">
        <v>27</v>
      </c>
      <c r="U7" s="15" t="s">
        <v>29</v>
      </c>
    </row>
    <row r="8" spans="2:24" x14ac:dyDescent="0.25">
      <c r="B8">
        <v>1.6</v>
      </c>
      <c r="C8">
        <v>1.84</v>
      </c>
      <c r="D8">
        <v>1.7</v>
      </c>
      <c r="E8">
        <v>4</v>
      </c>
      <c r="F8">
        <v>3.7</v>
      </c>
      <c r="G8">
        <v>0.35</v>
      </c>
      <c r="H8">
        <v>0.25</v>
      </c>
      <c r="I8">
        <f>AVERAGE(C8:D8)</f>
        <v>1.77</v>
      </c>
      <c r="J8">
        <f>AVERAGE(E8:F8)</f>
        <v>3.85</v>
      </c>
      <c r="K8">
        <f>AVERAGE(G8:H8)</f>
        <v>0.3</v>
      </c>
      <c r="O8" t="s">
        <v>16</v>
      </c>
      <c r="P8" t="s">
        <v>6</v>
      </c>
      <c r="Q8" t="s">
        <v>6</v>
      </c>
      <c r="R8" t="s">
        <v>6</v>
      </c>
      <c r="S8">
        <f>3/32</f>
        <v>9.375E-2</v>
      </c>
      <c r="T8">
        <f>1/4</f>
        <v>0.25</v>
      </c>
      <c r="U8">
        <v>0.02</v>
      </c>
    </row>
    <row r="9" spans="2:24" x14ac:dyDescent="0.25">
      <c r="B9">
        <v>2</v>
      </c>
      <c r="C9">
        <v>2.34</v>
      </c>
      <c r="D9">
        <v>2.2000000000000002</v>
      </c>
      <c r="E9">
        <v>5</v>
      </c>
      <c r="F9">
        <v>4.7</v>
      </c>
      <c r="G9">
        <v>0.35</v>
      </c>
      <c r="H9">
        <v>0.25</v>
      </c>
      <c r="I9">
        <f>AVERAGE(C9:D9)</f>
        <v>2.27</v>
      </c>
      <c r="J9">
        <f>AVERAGE(E9:F9)</f>
        <v>4.8499999999999996</v>
      </c>
      <c r="K9">
        <f>AVERAGE(G9:H9)</f>
        <v>0.3</v>
      </c>
      <c r="O9" t="s">
        <v>17</v>
      </c>
      <c r="P9" t="s">
        <v>6</v>
      </c>
      <c r="Q9" t="s">
        <v>6</v>
      </c>
      <c r="R9" t="s">
        <v>6</v>
      </c>
      <c r="S9">
        <f>1/8</f>
        <v>0.125</v>
      </c>
      <c r="T9">
        <f>5/16</f>
        <v>0.3125</v>
      </c>
      <c r="U9">
        <v>3.2000000000000001E-2</v>
      </c>
    </row>
    <row r="10" spans="2:24" x14ac:dyDescent="0.25">
      <c r="B10">
        <v>2.5</v>
      </c>
      <c r="C10">
        <v>2.84</v>
      </c>
      <c r="D10">
        <v>2.7</v>
      </c>
      <c r="E10">
        <v>6</v>
      </c>
      <c r="F10">
        <v>5.7</v>
      </c>
      <c r="G10">
        <v>0.55000000000000004</v>
      </c>
      <c r="H10">
        <v>0.45</v>
      </c>
      <c r="I10">
        <f>AVERAGE(C10:D10)</f>
        <v>2.77</v>
      </c>
      <c r="J10">
        <f>AVERAGE(E10:F10)</f>
        <v>5.85</v>
      </c>
      <c r="K10">
        <f>AVERAGE(G10:H10)</f>
        <v>0.5</v>
      </c>
      <c r="O10" t="s">
        <v>18</v>
      </c>
      <c r="P10" t="s">
        <v>6</v>
      </c>
      <c r="Q10" t="s">
        <v>6</v>
      </c>
      <c r="R10" t="s">
        <v>6</v>
      </c>
      <c r="S10">
        <f>5/32</f>
        <v>0.15625</v>
      </c>
      <c r="T10">
        <f>3/8</f>
        <v>0.375</v>
      </c>
      <c r="U10">
        <v>4.9000000000000002E-2</v>
      </c>
    </row>
    <row r="11" spans="2:24" x14ac:dyDescent="0.25">
      <c r="B11">
        <v>3</v>
      </c>
      <c r="C11">
        <v>3.38</v>
      </c>
      <c r="D11">
        <v>3.2</v>
      </c>
      <c r="E11">
        <v>7</v>
      </c>
      <c r="F11">
        <v>6.64</v>
      </c>
      <c r="G11">
        <v>0.55000000000000004</v>
      </c>
      <c r="H11">
        <v>0.45</v>
      </c>
      <c r="I11">
        <f>AVERAGE(C11:D11)</f>
        <v>3.29</v>
      </c>
      <c r="J11">
        <f>AVERAGE(E11:F11)</f>
        <v>6.82</v>
      </c>
      <c r="K11">
        <f>AVERAGE(G11:H11)</f>
        <v>0.5</v>
      </c>
      <c r="O11" t="s">
        <v>19</v>
      </c>
      <c r="P11" t="s">
        <v>6</v>
      </c>
      <c r="Q11" t="s">
        <v>6</v>
      </c>
      <c r="R11" t="s">
        <v>6</v>
      </c>
      <c r="S11">
        <f>3/16</f>
        <v>0.1875</v>
      </c>
      <c r="T11">
        <f>7/16</f>
        <v>0.4375</v>
      </c>
      <c r="U11">
        <v>4.9000000000000002E-2</v>
      </c>
    </row>
    <row r="12" spans="2:24" x14ac:dyDescent="0.25">
      <c r="B12">
        <v>3.5</v>
      </c>
      <c r="C12">
        <v>3.88</v>
      </c>
      <c r="D12">
        <v>3.7</v>
      </c>
      <c r="E12">
        <v>8</v>
      </c>
      <c r="F12">
        <v>7.64</v>
      </c>
      <c r="G12">
        <v>0.55000000000000004</v>
      </c>
      <c r="H12">
        <v>0.45</v>
      </c>
      <c r="I12">
        <f>AVERAGE(C12:D12)</f>
        <v>3.79</v>
      </c>
      <c r="J12">
        <f>AVERAGE(E12:F12)</f>
        <v>7.82</v>
      </c>
      <c r="K12">
        <f>AVERAGE(G12:H12)</f>
        <v>0.5</v>
      </c>
      <c r="O12" t="s">
        <v>20</v>
      </c>
      <c r="P12" t="s">
        <v>6</v>
      </c>
      <c r="Q12" t="s">
        <v>6</v>
      </c>
      <c r="R12" t="s">
        <v>6</v>
      </c>
      <c r="S12">
        <f>7/32</f>
        <v>0.21875</v>
      </c>
      <c r="T12">
        <f>1/2</f>
        <v>0.5</v>
      </c>
      <c r="U12">
        <v>4.9000000000000002E-2</v>
      </c>
    </row>
    <row r="13" spans="2:24" x14ac:dyDescent="0.25">
      <c r="B13">
        <v>4</v>
      </c>
      <c r="C13">
        <v>4.4800000000000004</v>
      </c>
      <c r="D13">
        <v>4.3</v>
      </c>
      <c r="E13">
        <v>9</v>
      </c>
      <c r="F13">
        <v>8.64</v>
      </c>
      <c r="G13">
        <v>0.9</v>
      </c>
      <c r="H13">
        <v>0.7</v>
      </c>
      <c r="I13">
        <f>AVERAGE(C13:D13)</f>
        <v>4.3900000000000006</v>
      </c>
      <c r="J13">
        <f>AVERAGE(E13:F13)</f>
        <v>8.82</v>
      </c>
      <c r="K13">
        <f>AVERAGE(G13:H13)</f>
        <v>0.8</v>
      </c>
      <c r="O13" t="s">
        <v>21</v>
      </c>
      <c r="P13" t="s">
        <v>6</v>
      </c>
      <c r="Q13" t="s">
        <v>6</v>
      </c>
      <c r="R13" t="s">
        <v>6</v>
      </c>
      <c r="S13">
        <f>1/4</f>
        <v>0.25</v>
      </c>
      <c r="T13">
        <f>9/16</f>
        <v>0.5625</v>
      </c>
      <c r="U13">
        <v>6.5000000000000002E-2</v>
      </c>
    </row>
    <row r="14" spans="2:24" x14ac:dyDescent="0.25">
      <c r="B14">
        <v>5</v>
      </c>
      <c r="C14">
        <v>5.48</v>
      </c>
      <c r="D14">
        <v>5.3</v>
      </c>
      <c r="E14">
        <v>10</v>
      </c>
      <c r="F14">
        <v>9.64</v>
      </c>
      <c r="G14">
        <v>1.1000000000000001</v>
      </c>
      <c r="H14">
        <v>0.9</v>
      </c>
      <c r="I14">
        <f>AVERAGE(C14:D14)</f>
        <v>5.3900000000000006</v>
      </c>
      <c r="J14">
        <f>AVERAGE(E14:F14)</f>
        <v>9.82</v>
      </c>
      <c r="K14">
        <f>AVERAGE(G14:H14)</f>
        <v>1</v>
      </c>
      <c r="O14">
        <f>1/4</f>
        <v>0.25</v>
      </c>
      <c r="P14">
        <f>5/16</f>
        <v>0.3125</v>
      </c>
      <c r="Q14">
        <v>0.73399999999999999</v>
      </c>
      <c r="R14">
        <v>6.5000000000000002E-2</v>
      </c>
      <c r="S14">
        <f>9/32</f>
        <v>0.28125</v>
      </c>
      <c r="T14">
        <f>5/8</f>
        <v>0.625</v>
      </c>
      <c r="U14">
        <v>6.5000000000000002E-2</v>
      </c>
    </row>
    <row r="15" spans="2:24" x14ac:dyDescent="0.25">
      <c r="B15">
        <v>6</v>
      </c>
      <c r="C15">
        <v>6.62</v>
      </c>
      <c r="D15">
        <v>6.4</v>
      </c>
      <c r="E15">
        <v>12</v>
      </c>
      <c r="F15">
        <v>11.57</v>
      </c>
      <c r="G15">
        <v>1.8</v>
      </c>
      <c r="H15">
        <v>1.4</v>
      </c>
      <c r="I15">
        <f>AVERAGE(C15:D15)</f>
        <v>6.51</v>
      </c>
      <c r="J15">
        <f>AVERAGE(E15:F15)</f>
        <v>11.785</v>
      </c>
      <c r="K15">
        <f>AVERAGE(G15:H15)</f>
        <v>1.6</v>
      </c>
      <c r="O15">
        <f>5/16</f>
        <v>0.3125</v>
      </c>
      <c r="P15">
        <f>3/8</f>
        <v>0.375</v>
      </c>
      <c r="Q15">
        <f>7/8</f>
        <v>0.875</v>
      </c>
      <c r="R15">
        <v>8.3000000000000004E-2</v>
      </c>
      <c r="S15">
        <f>11/32</f>
        <v>0.34375</v>
      </c>
      <c r="T15">
        <f>11/16</f>
        <v>0.6875</v>
      </c>
      <c r="U15">
        <v>6.5000000000000002E-2</v>
      </c>
    </row>
    <row r="16" spans="2:24" x14ac:dyDescent="0.25">
      <c r="B16">
        <v>8</v>
      </c>
      <c r="C16">
        <v>8.6199999999999992</v>
      </c>
      <c r="D16">
        <v>8.4</v>
      </c>
      <c r="E16">
        <v>16</v>
      </c>
      <c r="F16">
        <v>15.57</v>
      </c>
      <c r="G16">
        <v>1.8</v>
      </c>
      <c r="H16">
        <v>1.4</v>
      </c>
      <c r="I16">
        <f>AVERAGE(C16:D16)</f>
        <v>8.51</v>
      </c>
      <c r="J16">
        <f>AVERAGE(E16:F16)</f>
        <v>15.785</v>
      </c>
      <c r="K16">
        <f>AVERAGE(G16:H16)</f>
        <v>1.6</v>
      </c>
      <c r="O16">
        <f>3/8</f>
        <v>0.375</v>
      </c>
      <c r="P16">
        <f>7/16</f>
        <v>0.4375</v>
      </c>
      <c r="Q16">
        <v>1</v>
      </c>
      <c r="R16">
        <v>8.3000000000000004E-2</v>
      </c>
      <c r="S16">
        <f>13/32</f>
        <v>0.40625</v>
      </c>
      <c r="T16">
        <f>13/16</f>
        <v>0.8125</v>
      </c>
      <c r="U16">
        <v>6.5000000000000002E-2</v>
      </c>
    </row>
    <row r="17" spans="2:21" x14ac:dyDescent="0.25">
      <c r="B17">
        <v>10</v>
      </c>
      <c r="C17">
        <v>10.77</v>
      </c>
      <c r="D17">
        <v>10.5</v>
      </c>
      <c r="E17">
        <v>20</v>
      </c>
      <c r="F17">
        <v>19.48</v>
      </c>
      <c r="G17">
        <v>2.2000000000000002</v>
      </c>
      <c r="H17">
        <v>1.8</v>
      </c>
      <c r="I17">
        <f>AVERAGE(C17:D17)</f>
        <v>10.635</v>
      </c>
      <c r="J17">
        <f>AVERAGE(E17:F17)</f>
        <v>19.740000000000002</v>
      </c>
      <c r="K17">
        <f>AVERAGE(G17:H17)</f>
        <v>2</v>
      </c>
      <c r="O17">
        <f>7/16</f>
        <v>0.4375</v>
      </c>
      <c r="P17">
        <f>1/2</f>
        <v>0.5</v>
      </c>
      <c r="Q17">
        <f>1+1/4</f>
        <v>1.25</v>
      </c>
      <c r="R17">
        <v>8.3000000000000004E-2</v>
      </c>
      <c r="S17">
        <f>15/32</f>
        <v>0.46875</v>
      </c>
      <c r="T17">
        <f>15/16</f>
        <v>0.9375</v>
      </c>
      <c r="U17">
        <v>6.5000000000000002E-2</v>
      </c>
    </row>
    <row r="18" spans="2:21" x14ac:dyDescent="0.25">
      <c r="B18">
        <v>12</v>
      </c>
      <c r="C18">
        <v>13.27</v>
      </c>
      <c r="D18">
        <v>13</v>
      </c>
      <c r="E18">
        <v>24</v>
      </c>
      <c r="F18">
        <v>23.48</v>
      </c>
      <c r="G18">
        <v>2.7</v>
      </c>
      <c r="H18">
        <v>2.2999999999999998</v>
      </c>
      <c r="I18">
        <f>AVERAGE(C18:D18)</f>
        <v>13.135</v>
      </c>
      <c r="J18">
        <f>AVERAGE(E18:F18)</f>
        <v>23.740000000000002</v>
      </c>
      <c r="K18">
        <f>AVERAGE(G18:H18)</f>
        <v>2.5</v>
      </c>
      <c r="O18">
        <f>1/2</f>
        <v>0.5</v>
      </c>
      <c r="P18">
        <f>9/16</f>
        <v>0.5625</v>
      </c>
      <c r="Q18">
        <f>1+3/8</f>
        <v>1.375</v>
      </c>
      <c r="R18">
        <v>0.109</v>
      </c>
      <c r="S18">
        <f>17/32</f>
        <v>0.53125</v>
      </c>
      <c r="T18">
        <f>1+1/16</f>
        <v>1.0625</v>
      </c>
      <c r="U18">
        <v>9.5000000000000001E-2</v>
      </c>
    </row>
    <row r="19" spans="2:21" x14ac:dyDescent="0.25">
      <c r="B19">
        <v>14</v>
      </c>
      <c r="C19">
        <v>15.27</v>
      </c>
      <c r="D19">
        <v>15</v>
      </c>
      <c r="E19">
        <v>28</v>
      </c>
      <c r="F19">
        <v>27.48</v>
      </c>
      <c r="G19">
        <v>2.7</v>
      </c>
      <c r="H19">
        <v>2.2999999999999998</v>
      </c>
      <c r="I19">
        <f>AVERAGE(C19:D19)</f>
        <v>15.135</v>
      </c>
      <c r="J19">
        <f>AVERAGE(E19:F19)</f>
        <v>27.740000000000002</v>
      </c>
      <c r="K19">
        <f>AVERAGE(G19:H19)</f>
        <v>2.5</v>
      </c>
      <c r="O19">
        <f>9/16</f>
        <v>0.5625</v>
      </c>
      <c r="P19">
        <f>5/8</f>
        <v>0.625</v>
      </c>
      <c r="Q19">
        <f>1+15/32</f>
        <v>1.46875</v>
      </c>
      <c r="R19">
        <v>0.109</v>
      </c>
      <c r="S19">
        <f>19/32</f>
        <v>0.59375</v>
      </c>
      <c r="T19">
        <f>1+5/32</f>
        <v>1.15625</v>
      </c>
      <c r="U19">
        <v>9.5000000000000001E-2</v>
      </c>
    </row>
    <row r="20" spans="2:21" x14ac:dyDescent="0.25">
      <c r="B20">
        <v>16</v>
      </c>
      <c r="C20">
        <v>17.27</v>
      </c>
      <c r="D20">
        <v>17</v>
      </c>
      <c r="E20">
        <v>30</v>
      </c>
      <c r="F20">
        <v>29.48</v>
      </c>
      <c r="G20">
        <v>3.3</v>
      </c>
      <c r="H20">
        <v>2.7</v>
      </c>
      <c r="I20">
        <f>AVERAGE(C20:D20)</f>
        <v>17.134999999999998</v>
      </c>
      <c r="J20">
        <f>AVERAGE(E20:F20)</f>
        <v>29.740000000000002</v>
      </c>
      <c r="K20">
        <f>AVERAGE(G20:H20)</f>
        <v>3</v>
      </c>
      <c r="O20">
        <f>5/8</f>
        <v>0.625</v>
      </c>
      <c r="P20">
        <f>11/16</f>
        <v>0.6875</v>
      </c>
      <c r="Q20">
        <f>1+3/4</f>
        <v>1.75</v>
      </c>
      <c r="R20">
        <v>0.13400000000000001</v>
      </c>
      <c r="S20">
        <f>21/32</f>
        <v>0.65625</v>
      </c>
      <c r="T20">
        <f>1+5/16</f>
        <v>1.3125</v>
      </c>
      <c r="U20">
        <v>9.5000000000000001E-2</v>
      </c>
    </row>
    <row r="21" spans="2:21" x14ac:dyDescent="0.25">
      <c r="B21">
        <v>20</v>
      </c>
      <c r="C21">
        <v>21.33</v>
      </c>
      <c r="D21">
        <v>21</v>
      </c>
      <c r="E21">
        <v>37</v>
      </c>
      <c r="F21">
        <v>36.380000000000003</v>
      </c>
      <c r="G21">
        <v>3.3</v>
      </c>
      <c r="H21">
        <v>2.7</v>
      </c>
      <c r="I21">
        <f>AVERAGE(C21:D21)</f>
        <v>21.164999999999999</v>
      </c>
      <c r="J21">
        <f>AVERAGE(E21:F21)</f>
        <v>36.69</v>
      </c>
      <c r="K21">
        <f>AVERAGE(G21:H21)</f>
        <v>3</v>
      </c>
      <c r="O21">
        <f>3/4</f>
        <v>0.75</v>
      </c>
      <c r="P21">
        <f>13/16</f>
        <v>0.8125</v>
      </c>
      <c r="Q21">
        <v>2</v>
      </c>
      <c r="R21">
        <v>0.14799999999999999</v>
      </c>
      <c r="S21">
        <f>13/16</f>
        <v>0.8125</v>
      </c>
      <c r="T21">
        <f>1+15/32</f>
        <v>1.46875</v>
      </c>
      <c r="U21">
        <v>0.13400000000000001</v>
      </c>
    </row>
    <row r="22" spans="2:21" x14ac:dyDescent="0.25">
      <c r="B22">
        <v>24</v>
      </c>
      <c r="C22">
        <v>25.33</v>
      </c>
      <c r="D22">
        <v>25</v>
      </c>
      <c r="E22">
        <v>44</v>
      </c>
      <c r="F22">
        <v>43.38</v>
      </c>
      <c r="G22">
        <v>4.3</v>
      </c>
      <c r="H22">
        <v>3.7</v>
      </c>
      <c r="I22">
        <f>AVERAGE(C22:D22)</f>
        <v>25.164999999999999</v>
      </c>
      <c r="J22">
        <f>AVERAGE(E22:F22)</f>
        <v>43.69</v>
      </c>
      <c r="K22">
        <f>AVERAGE(G22:H22)</f>
        <v>4</v>
      </c>
      <c r="O22">
        <f>7/8</f>
        <v>0.875</v>
      </c>
      <c r="P22">
        <f>15/16</f>
        <v>0.9375</v>
      </c>
      <c r="Q22">
        <f>2+1/4</f>
        <v>2.25</v>
      </c>
      <c r="R22">
        <v>0.16500000000000001</v>
      </c>
      <c r="S22">
        <f>15/16</f>
        <v>0.9375</v>
      </c>
      <c r="T22">
        <f>1+3/4</f>
        <v>1.75</v>
      </c>
      <c r="U22">
        <v>0.13400000000000001</v>
      </c>
    </row>
    <row r="23" spans="2:21" x14ac:dyDescent="0.25">
      <c r="B23">
        <v>30</v>
      </c>
      <c r="C23">
        <v>31.39</v>
      </c>
      <c r="D23">
        <v>31</v>
      </c>
      <c r="E23">
        <v>56</v>
      </c>
      <c r="F23">
        <v>55.26</v>
      </c>
      <c r="G23">
        <v>4.3</v>
      </c>
      <c r="H23">
        <v>3.7</v>
      </c>
      <c r="I23">
        <f>AVERAGE(C23:D23)</f>
        <v>31.195</v>
      </c>
      <c r="J23">
        <f>AVERAGE(E23:F23)</f>
        <v>55.629999999999995</v>
      </c>
      <c r="K23">
        <f>AVERAGE(G23:H23)</f>
        <v>4</v>
      </c>
      <c r="O23">
        <v>1</v>
      </c>
      <c r="P23">
        <f>1+1/16</f>
        <v>1.0625</v>
      </c>
      <c r="Q23">
        <f>2+1/2</f>
        <v>2.5</v>
      </c>
      <c r="R23">
        <v>0.16500000000000001</v>
      </c>
      <c r="S23">
        <f>1+1/16</f>
        <v>1.0625</v>
      </c>
      <c r="T23">
        <v>2</v>
      </c>
      <c r="U23">
        <v>0.13400000000000001</v>
      </c>
    </row>
    <row r="24" spans="2:21" x14ac:dyDescent="0.25">
      <c r="B24">
        <v>36</v>
      </c>
      <c r="C24">
        <v>37.619999999999997</v>
      </c>
      <c r="D24">
        <v>37</v>
      </c>
      <c r="E24">
        <v>66</v>
      </c>
      <c r="F24">
        <v>64.8</v>
      </c>
      <c r="G24">
        <v>5.6</v>
      </c>
      <c r="H24">
        <v>4.4000000000000004</v>
      </c>
      <c r="I24">
        <f>AVERAGE(C24:D24)</f>
        <v>37.31</v>
      </c>
      <c r="J24">
        <f>AVERAGE(E24:F24)</f>
        <v>65.400000000000006</v>
      </c>
      <c r="K24">
        <f>AVERAGE(G24:H24)</f>
        <v>5</v>
      </c>
      <c r="O24">
        <f>1+1/8</f>
        <v>1.125</v>
      </c>
      <c r="P24">
        <f>1+1/4</f>
        <v>1.25</v>
      </c>
      <c r="Q24">
        <f>2+3/4</f>
        <v>2.75</v>
      </c>
      <c r="R24">
        <v>0.16500000000000001</v>
      </c>
      <c r="S24" t="s">
        <v>6</v>
      </c>
      <c r="T24" t="s">
        <v>6</v>
      </c>
      <c r="U24" t="s">
        <v>6</v>
      </c>
    </row>
    <row r="25" spans="2:21" x14ac:dyDescent="0.25">
      <c r="O25">
        <f>1+1/4</f>
        <v>1.25</v>
      </c>
      <c r="P25">
        <f>1+3/8</f>
        <v>1.375</v>
      </c>
      <c r="Q25">
        <v>3</v>
      </c>
      <c r="R25">
        <v>0.16500000000000001</v>
      </c>
      <c r="S25" t="s">
        <v>6</v>
      </c>
      <c r="T25" t="s">
        <v>6</v>
      </c>
      <c r="U25" t="s">
        <v>6</v>
      </c>
    </row>
    <row r="26" spans="2:21" x14ac:dyDescent="0.25">
      <c r="O26">
        <f>1+3/8</f>
        <v>1.375</v>
      </c>
      <c r="P26">
        <f>1+1/2</f>
        <v>1.5</v>
      </c>
      <c r="Q26">
        <f>3+1/4</f>
        <v>3.25</v>
      </c>
      <c r="R26">
        <v>0.18</v>
      </c>
      <c r="S26" t="s">
        <v>6</v>
      </c>
      <c r="T26" t="s">
        <v>6</v>
      </c>
      <c r="U26" t="s">
        <v>6</v>
      </c>
    </row>
    <row r="27" spans="2:21" x14ac:dyDescent="0.25">
      <c r="O27">
        <f>1+1/2</f>
        <v>1.5</v>
      </c>
      <c r="P27">
        <f>1+5/8</f>
        <v>1.625</v>
      </c>
      <c r="Q27">
        <f>3+1/2</f>
        <v>3.5</v>
      </c>
      <c r="R27">
        <v>0.18</v>
      </c>
      <c r="S27" t="s">
        <v>6</v>
      </c>
      <c r="T27" t="s">
        <v>6</v>
      </c>
      <c r="U27" t="s">
        <v>6</v>
      </c>
    </row>
    <row r="28" spans="2:21" x14ac:dyDescent="0.25">
      <c r="O28">
        <f>1+5/8</f>
        <v>1.625</v>
      </c>
      <c r="P28">
        <f>1+3/4</f>
        <v>1.75</v>
      </c>
      <c r="Q28">
        <f>3+3/4</f>
        <v>3.75</v>
      </c>
      <c r="R28">
        <v>0.18</v>
      </c>
      <c r="S28" t="s">
        <v>6</v>
      </c>
      <c r="T28" t="s">
        <v>6</v>
      </c>
      <c r="U28" t="s">
        <v>6</v>
      </c>
    </row>
    <row r="29" spans="2:21" x14ac:dyDescent="0.25">
      <c r="O29">
        <f>1+3/4</f>
        <v>1.75</v>
      </c>
      <c r="P29">
        <f>1+7/8</f>
        <v>1.875</v>
      </c>
      <c r="Q29">
        <v>4</v>
      </c>
      <c r="R29">
        <v>0.18</v>
      </c>
      <c r="S29" t="s">
        <v>6</v>
      </c>
      <c r="T29" t="s">
        <v>6</v>
      </c>
      <c r="U29" t="s">
        <v>6</v>
      </c>
    </row>
    <row r="30" spans="2:21" x14ac:dyDescent="0.25">
      <c r="O30">
        <v>2</v>
      </c>
      <c r="P30">
        <f>2+1/8</f>
        <v>2.125</v>
      </c>
      <c r="Q30">
        <f>4+1/2</f>
        <v>4.5</v>
      </c>
      <c r="R30">
        <v>0.21299999999999999</v>
      </c>
      <c r="S30" t="s">
        <v>6</v>
      </c>
      <c r="T30" t="s">
        <v>6</v>
      </c>
      <c r="U30" t="s">
        <v>6</v>
      </c>
    </row>
    <row r="33" spans="3:21" x14ac:dyDescent="0.25">
      <c r="O33" t="s">
        <v>51</v>
      </c>
    </row>
    <row r="34" spans="3:21" ht="15.75" thickBot="1" x14ac:dyDescent="0.3">
      <c r="C34" t="s">
        <v>52</v>
      </c>
      <c r="O34" t="s">
        <v>50</v>
      </c>
    </row>
    <row r="35" spans="3:21" ht="15.75" thickBot="1" x14ac:dyDescent="0.3">
      <c r="C35" t="s">
        <v>48</v>
      </c>
      <c r="O35" s="5" t="s">
        <v>7</v>
      </c>
      <c r="P35" s="7" t="s">
        <v>8</v>
      </c>
      <c r="Q35" s="9"/>
      <c r="R35" s="7" t="s">
        <v>2</v>
      </c>
      <c r="S35" s="8"/>
      <c r="T35" s="8"/>
      <c r="U35" s="9"/>
    </row>
    <row r="36" spans="3:21" ht="36.75" thickBot="1" x14ac:dyDescent="0.3">
      <c r="C36" s="5" t="s">
        <v>0</v>
      </c>
      <c r="D36" s="5" t="s">
        <v>1</v>
      </c>
      <c r="E36" s="7" t="s">
        <v>2</v>
      </c>
      <c r="F36" s="8"/>
      <c r="G36" s="9"/>
      <c r="O36" s="6"/>
      <c r="P36" s="2" t="s">
        <v>3</v>
      </c>
      <c r="Q36" s="2" t="s">
        <v>9</v>
      </c>
      <c r="R36" s="2" t="s">
        <v>3</v>
      </c>
      <c r="S36" s="2" t="s">
        <v>4</v>
      </c>
      <c r="T36" s="2" t="s">
        <v>5</v>
      </c>
      <c r="U36" s="2" t="s">
        <v>9</v>
      </c>
    </row>
    <row r="37" spans="3:21" ht="24.75" thickBot="1" x14ac:dyDescent="0.3">
      <c r="C37" s="6"/>
      <c r="D37" s="6"/>
      <c r="E37" s="2" t="s">
        <v>3</v>
      </c>
      <c r="F37" s="2" t="s">
        <v>4</v>
      </c>
      <c r="G37" s="2" t="s">
        <v>5</v>
      </c>
      <c r="O37">
        <v>0</v>
      </c>
      <c r="P37" t="s">
        <v>6</v>
      </c>
      <c r="Q37">
        <f>5/32</f>
        <v>0.15625</v>
      </c>
      <c r="R37" t="s">
        <v>6</v>
      </c>
      <c r="S37" t="s">
        <v>6</v>
      </c>
      <c r="T37" t="s">
        <v>6</v>
      </c>
      <c r="U37">
        <f>3/64</f>
        <v>4.6875E-2</v>
      </c>
    </row>
    <row r="38" spans="3:21" ht="15.75" thickBot="1" x14ac:dyDescent="0.3">
      <c r="C38" s="3">
        <v>2</v>
      </c>
      <c r="D38" s="4">
        <v>4</v>
      </c>
      <c r="E38" s="4">
        <v>1.6</v>
      </c>
      <c r="F38" s="4">
        <v>1.2</v>
      </c>
      <c r="G38" s="4" t="s">
        <v>6</v>
      </c>
      <c r="O38">
        <v>1</v>
      </c>
      <c r="P38" t="s">
        <v>6</v>
      </c>
      <c r="Q38">
        <f>5/32</f>
        <v>0.15625</v>
      </c>
      <c r="R38" t="s">
        <v>6</v>
      </c>
      <c r="S38" t="s">
        <v>6</v>
      </c>
      <c r="T38" t="s">
        <v>6</v>
      </c>
      <c r="U38">
        <f>3/64</f>
        <v>4.6875E-2</v>
      </c>
    </row>
    <row r="39" spans="3:21" ht="15.75" thickBot="1" x14ac:dyDescent="0.3">
      <c r="C39" s="3">
        <v>2.5</v>
      </c>
      <c r="D39" s="4">
        <v>5</v>
      </c>
      <c r="E39" s="4">
        <v>2</v>
      </c>
      <c r="F39" s="4">
        <v>1.6</v>
      </c>
      <c r="G39" s="4" t="s">
        <v>6</v>
      </c>
      <c r="O39">
        <v>2</v>
      </c>
      <c r="P39" t="s">
        <v>6</v>
      </c>
      <c r="Q39">
        <f>3/16</f>
        <v>0.1875</v>
      </c>
      <c r="R39" t="s">
        <v>6</v>
      </c>
      <c r="S39" t="s">
        <v>6</v>
      </c>
      <c r="T39">
        <f>9/64</f>
        <v>0.140625</v>
      </c>
      <c r="U39">
        <f>1/16</f>
        <v>6.25E-2</v>
      </c>
    </row>
    <row r="40" spans="3:21" ht="15.75" thickBot="1" x14ac:dyDescent="0.3">
      <c r="C40" s="3">
        <v>3</v>
      </c>
      <c r="D40" s="4">
        <v>5.5</v>
      </c>
      <c r="E40" s="4">
        <v>2.4</v>
      </c>
      <c r="F40" s="4">
        <v>1.8</v>
      </c>
      <c r="G40" s="4">
        <v>4</v>
      </c>
      <c r="O40">
        <v>3</v>
      </c>
      <c r="P40" t="s">
        <v>6</v>
      </c>
      <c r="Q40">
        <f>3/16</f>
        <v>0.1875</v>
      </c>
      <c r="R40" t="s">
        <v>6</v>
      </c>
      <c r="S40" t="s">
        <v>6</v>
      </c>
      <c r="T40">
        <f>9/64</f>
        <v>0.140625</v>
      </c>
      <c r="U40">
        <f>1/16</f>
        <v>6.25E-2</v>
      </c>
    </row>
    <row r="41" spans="3:21" ht="15.75" thickBot="1" x14ac:dyDescent="0.3">
      <c r="C41" s="3">
        <v>4</v>
      </c>
      <c r="D41" s="4">
        <v>7</v>
      </c>
      <c r="E41" s="4">
        <v>3.2</v>
      </c>
      <c r="F41" s="4">
        <v>2.2000000000000002</v>
      </c>
      <c r="G41" s="4">
        <v>5</v>
      </c>
      <c r="O41">
        <v>4</v>
      </c>
      <c r="P41" t="s">
        <v>6</v>
      </c>
      <c r="Q41">
        <f>1/4</f>
        <v>0.25</v>
      </c>
      <c r="R41" t="s">
        <v>6</v>
      </c>
      <c r="S41" t="s">
        <v>6</v>
      </c>
      <c r="T41">
        <f>9/64</f>
        <v>0.140625</v>
      </c>
      <c r="U41">
        <f>3/32</f>
        <v>9.375E-2</v>
      </c>
    </row>
    <row r="42" spans="3:21" ht="15.75" thickBot="1" x14ac:dyDescent="0.3">
      <c r="C42" s="3">
        <v>5</v>
      </c>
      <c r="D42" s="4">
        <v>8</v>
      </c>
      <c r="E42" s="4">
        <v>4</v>
      </c>
      <c r="F42" s="4">
        <v>2.7</v>
      </c>
      <c r="G42" s="4">
        <v>5</v>
      </c>
      <c r="O42">
        <v>6</v>
      </c>
      <c r="P42" t="s">
        <v>6</v>
      </c>
      <c r="Q42">
        <f>5/16</f>
        <v>0.3125</v>
      </c>
      <c r="R42" t="s">
        <v>6</v>
      </c>
      <c r="S42" t="s">
        <v>6</v>
      </c>
      <c r="T42">
        <f>11/64</f>
        <v>0.171875</v>
      </c>
      <c r="U42">
        <f>7/64</f>
        <v>0.109375</v>
      </c>
    </row>
    <row r="43" spans="3:21" ht="15.75" thickBot="1" x14ac:dyDescent="0.3">
      <c r="C43" s="3">
        <v>6</v>
      </c>
      <c r="D43" s="4">
        <v>10</v>
      </c>
      <c r="E43" s="4">
        <v>5</v>
      </c>
      <c r="F43" s="4">
        <v>3.2</v>
      </c>
      <c r="G43" s="4">
        <v>6</v>
      </c>
      <c r="O43">
        <v>8</v>
      </c>
      <c r="P43" t="s">
        <v>6</v>
      </c>
      <c r="Q43">
        <f>11/32</f>
        <v>0.34375</v>
      </c>
      <c r="R43" t="s">
        <v>6</v>
      </c>
      <c r="S43" t="s">
        <v>6</v>
      </c>
      <c r="T43">
        <f>15/64</f>
        <v>0.234375</v>
      </c>
      <c r="U43">
        <f>1/8</f>
        <v>0.125</v>
      </c>
    </row>
    <row r="44" spans="3:21" ht="15.75" thickBot="1" x14ac:dyDescent="0.3">
      <c r="C44" s="3">
        <v>7</v>
      </c>
      <c r="D44" s="4">
        <v>11</v>
      </c>
      <c r="E44" s="4">
        <v>5.5</v>
      </c>
      <c r="F44" s="4">
        <v>3.5</v>
      </c>
      <c r="G44" s="4" t="s">
        <v>6</v>
      </c>
      <c r="O44">
        <v>10</v>
      </c>
      <c r="P44" t="s">
        <v>6</v>
      </c>
      <c r="Q44">
        <f>3/8</f>
        <v>0.375</v>
      </c>
      <c r="R44" t="s">
        <v>6</v>
      </c>
      <c r="S44" t="s">
        <v>6</v>
      </c>
      <c r="T44">
        <f>15/64</f>
        <v>0.234375</v>
      </c>
      <c r="U44">
        <f>1/8</f>
        <v>0.125</v>
      </c>
    </row>
    <row r="45" spans="3:21" ht="15.75" thickBot="1" x14ac:dyDescent="0.3">
      <c r="C45" s="3">
        <v>8</v>
      </c>
      <c r="D45" s="4">
        <v>13</v>
      </c>
      <c r="E45" s="4">
        <v>6.5</v>
      </c>
      <c r="F45" s="4">
        <v>4</v>
      </c>
      <c r="G45" s="4">
        <v>8</v>
      </c>
      <c r="O45">
        <v>12</v>
      </c>
      <c r="P45" t="s">
        <v>6</v>
      </c>
      <c r="Q45">
        <f>7/16</f>
        <v>0.4375</v>
      </c>
      <c r="R45" t="s">
        <v>6</v>
      </c>
      <c r="S45" t="s">
        <v>6</v>
      </c>
      <c r="T45">
        <f>5/16</f>
        <v>0.3125</v>
      </c>
      <c r="U45">
        <f>5/32</f>
        <v>0.15625</v>
      </c>
    </row>
    <row r="46" spans="3:21" ht="15.75" thickBot="1" x14ac:dyDescent="0.3">
      <c r="C46" s="3">
        <v>10</v>
      </c>
      <c r="D46" s="4">
        <v>17</v>
      </c>
      <c r="E46" s="4">
        <v>8</v>
      </c>
      <c r="F46" s="4">
        <v>5</v>
      </c>
      <c r="G46" s="4">
        <v>10</v>
      </c>
      <c r="O46">
        <f>1/4</f>
        <v>0.25</v>
      </c>
      <c r="P46">
        <f>7/16</f>
        <v>0.4375</v>
      </c>
      <c r="Q46">
        <f>7/16</f>
        <v>0.4375</v>
      </c>
      <c r="R46">
        <f>7/32</f>
        <v>0.21875</v>
      </c>
      <c r="S46">
        <f>5/32</f>
        <v>0.15625</v>
      </c>
      <c r="T46">
        <f>5/16</f>
        <v>0.3125</v>
      </c>
      <c r="U46">
        <f>3/16</f>
        <v>0.1875</v>
      </c>
    </row>
    <row r="47" spans="3:21" ht="15.75" thickBot="1" x14ac:dyDescent="0.3">
      <c r="C47" s="3">
        <v>12</v>
      </c>
      <c r="D47" s="4">
        <v>19</v>
      </c>
      <c r="E47" s="4">
        <v>10</v>
      </c>
      <c r="F47" s="4">
        <v>6</v>
      </c>
      <c r="G47" s="4">
        <v>12</v>
      </c>
      <c r="O47">
        <f>5/16</f>
        <v>0.3125</v>
      </c>
      <c r="P47">
        <f>1/2</f>
        <v>0.5</v>
      </c>
      <c r="Q47">
        <f>9/16</f>
        <v>0.5625</v>
      </c>
      <c r="R47">
        <f>17/64</f>
        <v>0.265625</v>
      </c>
      <c r="S47">
        <f>3/16</f>
        <v>0.1875</v>
      </c>
      <c r="T47">
        <f>11/32</f>
        <v>0.34375</v>
      </c>
      <c r="U47">
        <f>7/32</f>
        <v>0.21875</v>
      </c>
    </row>
    <row r="48" spans="3:21" ht="15.75" thickBot="1" x14ac:dyDescent="0.3">
      <c r="C48" s="3">
        <v>14</v>
      </c>
      <c r="D48" s="4">
        <v>22</v>
      </c>
      <c r="E48" s="4">
        <v>11</v>
      </c>
      <c r="F48" s="4">
        <v>7</v>
      </c>
      <c r="G48" s="4">
        <v>14</v>
      </c>
      <c r="O48">
        <f>3/8</f>
        <v>0.375</v>
      </c>
      <c r="P48">
        <f>9/16</f>
        <v>0.5625</v>
      </c>
      <c r="Q48">
        <f>5/8</f>
        <v>0.625</v>
      </c>
      <c r="R48">
        <f>21/64</f>
        <v>0.328125</v>
      </c>
      <c r="S48">
        <f>7/32</f>
        <v>0.21875</v>
      </c>
      <c r="T48">
        <f>29/64</f>
        <v>0.453125</v>
      </c>
      <c r="U48">
        <f>1/4</f>
        <v>0.25</v>
      </c>
    </row>
    <row r="49" spans="3:21" ht="15.75" thickBot="1" x14ac:dyDescent="0.3">
      <c r="C49" s="3">
        <v>16</v>
      </c>
      <c r="D49" s="4">
        <v>24</v>
      </c>
      <c r="E49" s="4">
        <v>13</v>
      </c>
      <c r="F49" s="4">
        <v>8</v>
      </c>
      <c r="G49" s="4">
        <v>16</v>
      </c>
      <c r="O49">
        <f>7/16</f>
        <v>0.4375</v>
      </c>
      <c r="P49">
        <f>11/16</f>
        <v>0.6875</v>
      </c>
      <c r="Q49" t="s">
        <v>6</v>
      </c>
      <c r="R49">
        <f>3/8</f>
        <v>0.375</v>
      </c>
      <c r="S49">
        <f>1/4</f>
        <v>0.25</v>
      </c>
      <c r="T49">
        <f>29/64</f>
        <v>0.453125</v>
      </c>
      <c r="U49" t="s">
        <v>6</v>
      </c>
    </row>
    <row r="50" spans="3:21" ht="15.75" thickBot="1" x14ac:dyDescent="0.3">
      <c r="C50" s="3">
        <v>18</v>
      </c>
      <c r="D50" s="4">
        <v>27</v>
      </c>
      <c r="E50" s="4">
        <v>15</v>
      </c>
      <c r="F50" s="4">
        <v>9</v>
      </c>
      <c r="G50" s="4">
        <v>18.5</v>
      </c>
      <c r="O50">
        <f>1/2</f>
        <v>0.5</v>
      </c>
      <c r="P50">
        <f>3/4</f>
        <v>0.75</v>
      </c>
      <c r="Q50" t="s">
        <v>6</v>
      </c>
      <c r="R50">
        <f>7/16</f>
        <v>0.4375</v>
      </c>
      <c r="S50">
        <f>5/16</f>
        <v>0.3125</v>
      </c>
      <c r="T50">
        <f>19/32</f>
        <v>0.59375</v>
      </c>
      <c r="U50" t="s">
        <v>6</v>
      </c>
    </row>
    <row r="51" spans="3:21" ht="15.75" thickBot="1" x14ac:dyDescent="0.3">
      <c r="C51" s="3">
        <v>20</v>
      </c>
      <c r="D51" s="4">
        <v>30</v>
      </c>
      <c r="E51" s="4">
        <v>16</v>
      </c>
      <c r="F51" s="4">
        <v>10</v>
      </c>
      <c r="G51" s="4">
        <v>20</v>
      </c>
      <c r="O51">
        <f>9/16</f>
        <v>0.5625</v>
      </c>
      <c r="P51">
        <f>7/8</f>
        <v>0.875</v>
      </c>
      <c r="Q51" t="s">
        <v>6</v>
      </c>
      <c r="R51">
        <f>31/64</f>
        <v>0.484375</v>
      </c>
      <c r="S51">
        <f>5/16</f>
        <v>0.3125</v>
      </c>
      <c r="T51">
        <f>41/64</f>
        <v>0.640625</v>
      </c>
      <c r="U51" t="s">
        <v>6</v>
      </c>
    </row>
    <row r="52" spans="3:21" x14ac:dyDescent="0.25">
      <c r="O52">
        <f>5/8</f>
        <v>0.625</v>
      </c>
      <c r="P52">
        <f>15/16</f>
        <v>0.9375</v>
      </c>
      <c r="Q52" t="s">
        <v>6</v>
      </c>
      <c r="R52">
        <f>35/64</f>
        <v>0.546875</v>
      </c>
      <c r="S52">
        <f>3/8</f>
        <v>0.375</v>
      </c>
      <c r="T52">
        <f>3/4</f>
        <v>0.75</v>
      </c>
      <c r="U52" t="s">
        <v>6</v>
      </c>
    </row>
    <row r="53" spans="3:21" x14ac:dyDescent="0.25">
      <c r="O53">
        <f>3/4</f>
        <v>0.75</v>
      </c>
      <c r="P53">
        <f>1+1/8</f>
        <v>1.125</v>
      </c>
      <c r="Q53" t="s">
        <v>6</v>
      </c>
      <c r="R53">
        <f>41/64</f>
        <v>0.640625</v>
      </c>
      <c r="S53">
        <f>27/64</f>
        <v>0.421875</v>
      </c>
      <c r="T53">
        <f>7/8</f>
        <v>0.875</v>
      </c>
      <c r="U53" t="s">
        <v>6</v>
      </c>
    </row>
    <row r="54" spans="3:21" x14ac:dyDescent="0.25">
      <c r="O54">
        <f>7/8</f>
        <v>0.875</v>
      </c>
      <c r="P54">
        <f>1+5/16</f>
        <v>1.3125</v>
      </c>
      <c r="Q54" t="s">
        <v>6</v>
      </c>
      <c r="R54">
        <f>3/4</f>
        <v>0.75</v>
      </c>
      <c r="S54">
        <f>31/64</f>
        <v>0.484375</v>
      </c>
      <c r="T54">
        <f>63/64</f>
        <v>0.984375</v>
      </c>
      <c r="U54" t="s">
        <v>6</v>
      </c>
    </row>
    <row r="55" spans="3:21" x14ac:dyDescent="0.25">
      <c r="O55">
        <v>1</v>
      </c>
      <c r="P55">
        <f>1+1/2</f>
        <v>1.5</v>
      </c>
      <c r="Q55" t="s">
        <v>6</v>
      </c>
      <c r="R55">
        <f>55/64</f>
        <v>0.859375</v>
      </c>
      <c r="S55">
        <f>35/64</f>
        <v>0.546875</v>
      </c>
      <c r="T55">
        <f>1+3/64</f>
        <v>1.046875</v>
      </c>
      <c r="U55" t="s">
        <v>6</v>
      </c>
    </row>
    <row r="74" spans="6:12" x14ac:dyDescent="0.25">
      <c r="F74" t="s">
        <v>7</v>
      </c>
      <c r="G74" t="s">
        <v>8</v>
      </c>
      <c r="H74" t="s">
        <v>2</v>
      </c>
    </row>
    <row r="75" spans="6:12" x14ac:dyDescent="0.25">
      <c r="F75" t="s">
        <v>3</v>
      </c>
      <c r="G75" t="s">
        <v>9</v>
      </c>
      <c r="H75" t="s">
        <v>3</v>
      </c>
      <c r="I75" t="s">
        <v>4</v>
      </c>
      <c r="J75" t="s">
        <v>5</v>
      </c>
      <c r="K75" t="s">
        <v>9</v>
      </c>
    </row>
    <row r="76" spans="6:12" x14ac:dyDescent="0.25">
      <c r="F76">
        <v>0</v>
      </c>
      <c r="G76" t="s">
        <v>6</v>
      </c>
      <c r="H76" t="str">
        <f>"5/32"</f>
        <v>5/32</v>
      </c>
      <c r="I76" t="s">
        <v>6</v>
      </c>
      <c r="J76" t="s">
        <v>6</v>
      </c>
      <c r="K76" t="s">
        <v>6</v>
      </c>
      <c r="L76" t="str">
        <f>"3/64"</f>
        <v>3/64</v>
      </c>
    </row>
    <row r="77" spans="6:12" x14ac:dyDescent="0.25">
      <c r="F77">
        <v>1</v>
      </c>
      <c r="G77" t="s">
        <v>6</v>
      </c>
      <c r="H77" t="str">
        <f>"5/32"</f>
        <v>5/32</v>
      </c>
      <c r="I77" t="s">
        <v>6</v>
      </c>
      <c r="J77" t="s">
        <v>6</v>
      </c>
      <c r="K77" t="s">
        <v>6</v>
      </c>
      <c r="L77" t="str">
        <f>"3/64"</f>
        <v>3/64</v>
      </c>
    </row>
    <row r="78" spans="6:12" x14ac:dyDescent="0.25">
      <c r="F78">
        <v>2</v>
      </c>
      <c r="G78" t="s">
        <v>6</v>
      </c>
      <c r="H78" t="str">
        <f>"3/16"</f>
        <v>3/16</v>
      </c>
      <c r="I78" t="s">
        <v>6</v>
      </c>
      <c r="J78" t="s">
        <v>6</v>
      </c>
      <c r="K78" t="str">
        <f>"9/64"</f>
        <v>9/64</v>
      </c>
      <c r="L78" t="str">
        <f>"1/16"</f>
        <v>1/16</v>
      </c>
    </row>
    <row r="79" spans="6:12" x14ac:dyDescent="0.25">
      <c r="F79">
        <v>3</v>
      </c>
      <c r="G79" t="s">
        <v>6</v>
      </c>
      <c r="H79" t="str">
        <f>"3/16"</f>
        <v>3/16</v>
      </c>
      <c r="I79" t="s">
        <v>6</v>
      </c>
      <c r="J79" t="s">
        <v>6</v>
      </c>
      <c r="K79" t="str">
        <f>"9/64"</f>
        <v>9/64</v>
      </c>
      <c r="L79" t="str">
        <f>"1/16"</f>
        <v>1/16</v>
      </c>
    </row>
    <row r="80" spans="6:12" x14ac:dyDescent="0.25">
      <c r="F80">
        <v>4</v>
      </c>
      <c r="G80" t="s">
        <v>6</v>
      </c>
      <c r="H80" t="str">
        <f>"1/4"</f>
        <v>1/4</v>
      </c>
      <c r="I80" t="s">
        <v>6</v>
      </c>
      <c r="J80" t="s">
        <v>6</v>
      </c>
      <c r="K80" t="str">
        <f>"9/64"</f>
        <v>9/64</v>
      </c>
      <c r="L80" t="str">
        <f>"3/32"</f>
        <v>3/32</v>
      </c>
    </row>
    <row r="81" spans="6:12" x14ac:dyDescent="0.25">
      <c r="F81">
        <v>6</v>
      </c>
      <c r="G81" t="s">
        <v>6</v>
      </c>
      <c r="H81" t="str">
        <f>"5/16"</f>
        <v>5/16</v>
      </c>
      <c r="I81" t="s">
        <v>6</v>
      </c>
      <c r="J81" t="s">
        <v>6</v>
      </c>
      <c r="K81" t="str">
        <f>"11/64"</f>
        <v>11/64</v>
      </c>
      <c r="L81" t="str">
        <f>"7/64"</f>
        <v>7/64</v>
      </c>
    </row>
    <row r="82" spans="6:12" x14ac:dyDescent="0.25">
      <c r="F82">
        <v>8</v>
      </c>
      <c r="G82" t="s">
        <v>6</v>
      </c>
      <c r="H82" t="str">
        <f>"11/32"</f>
        <v>11/32</v>
      </c>
      <c r="I82" t="s">
        <v>6</v>
      </c>
      <c r="J82" t="s">
        <v>6</v>
      </c>
      <c r="K82" t="str">
        <f>"15/64"</f>
        <v>15/64</v>
      </c>
      <c r="L82" t="str">
        <f>"1/8"</f>
        <v>1/8</v>
      </c>
    </row>
    <row r="83" spans="6:12" x14ac:dyDescent="0.25">
      <c r="F83">
        <v>10</v>
      </c>
      <c r="G83" t="s">
        <v>6</v>
      </c>
      <c r="H83" t="str">
        <f>"3/8"</f>
        <v>3/8</v>
      </c>
      <c r="I83" t="s">
        <v>6</v>
      </c>
      <c r="J83" t="s">
        <v>6</v>
      </c>
      <c r="K83" t="str">
        <f>"15/64"</f>
        <v>15/64</v>
      </c>
      <c r="L83" t="str">
        <f>"1/8"</f>
        <v>1/8</v>
      </c>
    </row>
    <row r="84" spans="6:12" x14ac:dyDescent="0.25">
      <c r="F84">
        <v>12</v>
      </c>
      <c r="G84" t="s">
        <v>6</v>
      </c>
      <c r="H84" t="str">
        <f>"7/16"</f>
        <v>7/16</v>
      </c>
      <c r="I84" t="s">
        <v>6</v>
      </c>
      <c r="J84" t="s">
        <v>6</v>
      </c>
      <c r="K84" t="str">
        <f>"5/16"</f>
        <v>5/16</v>
      </c>
      <c r="L84" t="str">
        <f>"5/32"</f>
        <v>5/32</v>
      </c>
    </row>
    <row r="85" spans="6:12" x14ac:dyDescent="0.25">
      <c r="F85" t="str">
        <f>"1/4"</f>
        <v>1/4</v>
      </c>
      <c r="G85" t="str">
        <f>"7/16"</f>
        <v>7/16</v>
      </c>
      <c r="H85" t="str">
        <f>"7/16"</f>
        <v>7/16</v>
      </c>
      <c r="I85" t="str">
        <f>"7/32"</f>
        <v>7/32</v>
      </c>
      <c r="J85" t="str">
        <f>"5/32"</f>
        <v>5/32</v>
      </c>
      <c r="K85" t="str">
        <f>"5/16"</f>
        <v>5/16</v>
      </c>
      <c r="L85" t="str">
        <f>"3/16"</f>
        <v>3/16</v>
      </c>
    </row>
    <row r="86" spans="6:12" x14ac:dyDescent="0.25">
      <c r="F86" t="str">
        <f>"5/16"</f>
        <v>5/16</v>
      </c>
      <c r="G86" t="str">
        <f>"1/2"</f>
        <v>1/2</v>
      </c>
      <c r="H86" t="str">
        <f>"9/16"</f>
        <v>9/16</v>
      </c>
      <c r="I86" t="str">
        <f>"17/64"</f>
        <v>17/64</v>
      </c>
      <c r="J86" t="str">
        <f>"3/16"</f>
        <v>3/16</v>
      </c>
      <c r="K86" t="str">
        <f>"11/32"</f>
        <v>11/32</v>
      </c>
      <c r="L86" t="str">
        <f>"7/32"</f>
        <v>7/32</v>
      </c>
    </row>
    <row r="87" spans="6:12" x14ac:dyDescent="0.25">
      <c r="F87" t="str">
        <f>"3/8"</f>
        <v>3/8</v>
      </c>
      <c r="G87" t="str">
        <f>"9/16"</f>
        <v>9/16</v>
      </c>
      <c r="H87" t="str">
        <f>"5/8"</f>
        <v>5/8</v>
      </c>
      <c r="I87" t="str">
        <f>"21/64"</f>
        <v>21/64</v>
      </c>
      <c r="J87" t="str">
        <f>"7/32"</f>
        <v>7/32</v>
      </c>
      <c r="K87" t="str">
        <f>"29/64"</f>
        <v>29/64</v>
      </c>
      <c r="L87" t="str">
        <f>"1/4"</f>
        <v>1/4</v>
      </c>
    </row>
    <row r="88" spans="6:12" x14ac:dyDescent="0.25">
      <c r="F88" t="str">
        <f>"7/16"</f>
        <v>7/16</v>
      </c>
      <c r="G88" t="str">
        <f>"11/16"</f>
        <v>11/16</v>
      </c>
      <c r="H88" t="s">
        <v>6</v>
      </c>
      <c r="I88" t="str">
        <f>"3/8"</f>
        <v>3/8</v>
      </c>
      <c r="J88" t="str">
        <f>"1/4"</f>
        <v>1/4</v>
      </c>
      <c r="K88" t="str">
        <f>"29/64"</f>
        <v>29/64</v>
      </c>
      <c r="L88" t="s">
        <v>6</v>
      </c>
    </row>
    <row r="89" spans="6:12" x14ac:dyDescent="0.25">
      <c r="F89" t="str">
        <f>"1/2"</f>
        <v>1/2</v>
      </c>
      <c r="G89" t="str">
        <f>"3/4"</f>
        <v>3/4</v>
      </c>
      <c r="H89" t="s">
        <v>6</v>
      </c>
      <c r="I89" t="str">
        <f>"7/16"</f>
        <v>7/16</v>
      </c>
      <c r="J89" t="str">
        <f>"5/16"</f>
        <v>5/16</v>
      </c>
      <c r="K89" t="str">
        <f>"19/32"</f>
        <v>19/32</v>
      </c>
      <c r="L89" t="s">
        <v>6</v>
      </c>
    </row>
    <row r="90" spans="6:12" x14ac:dyDescent="0.25">
      <c r="F90" t="str">
        <f>"9/16"</f>
        <v>9/16</v>
      </c>
      <c r="G90" t="str">
        <f>"7/8"</f>
        <v>7/8</v>
      </c>
      <c r="H90" t="s">
        <v>6</v>
      </c>
      <c r="I90" t="str">
        <f>"31/64"</f>
        <v>31/64</v>
      </c>
      <c r="J90" t="str">
        <f>"5/16"</f>
        <v>5/16</v>
      </c>
      <c r="K90" t="str">
        <f>"41/64"</f>
        <v>41/64</v>
      </c>
      <c r="L90" t="s">
        <v>6</v>
      </c>
    </row>
    <row r="91" spans="6:12" x14ac:dyDescent="0.25">
      <c r="F91" t="str">
        <f>"5/8"</f>
        <v>5/8</v>
      </c>
      <c r="G91" t="str">
        <f>"15/16"</f>
        <v>15/16</v>
      </c>
      <c r="H91" t="s">
        <v>6</v>
      </c>
      <c r="I91" t="str">
        <f>"35/64"</f>
        <v>35/64</v>
      </c>
      <c r="J91" t="str">
        <f>"3/8"</f>
        <v>3/8</v>
      </c>
      <c r="K91" t="str">
        <f>"3/4"</f>
        <v>3/4</v>
      </c>
      <c r="L91" t="s">
        <v>6</v>
      </c>
    </row>
    <row r="92" spans="6:12" x14ac:dyDescent="0.25">
      <c r="F92" t="str">
        <f>"3/4"</f>
        <v>3/4</v>
      </c>
      <c r="G92" t="str">
        <f>"1-1/8"</f>
        <v>1-1/8</v>
      </c>
      <c r="H92" t="s">
        <v>6</v>
      </c>
      <c r="I92" t="str">
        <f>"41/64"</f>
        <v>41/64</v>
      </c>
      <c r="J92" t="str">
        <f>"27/64"</f>
        <v>27/64</v>
      </c>
      <c r="K92" t="str">
        <f>"7/8"</f>
        <v>7/8</v>
      </c>
      <c r="L92" t="s">
        <v>6</v>
      </c>
    </row>
    <row r="93" spans="6:12" x14ac:dyDescent="0.25">
      <c r="F93" t="str">
        <f>"7/8"</f>
        <v>7/8</v>
      </c>
      <c r="G93" t="str">
        <f>"1-5/16"</f>
        <v>1-5/16</v>
      </c>
      <c r="H93" t="s">
        <v>6</v>
      </c>
      <c r="I93" t="str">
        <f>"3/4"</f>
        <v>3/4</v>
      </c>
      <c r="J93" t="str">
        <f>"31/64"</f>
        <v>31/64</v>
      </c>
      <c r="K93" t="str">
        <f>"63/64"</f>
        <v>63/64</v>
      </c>
      <c r="L93" t="s">
        <v>6</v>
      </c>
    </row>
    <row r="94" spans="6:12" x14ac:dyDescent="0.25">
      <c r="F94">
        <v>1</v>
      </c>
      <c r="G94" t="str">
        <f>"1-1/2"</f>
        <v>1-1/2</v>
      </c>
      <c r="H94" t="s">
        <v>6</v>
      </c>
      <c r="I94" t="str">
        <f>"55/64"</f>
        <v>55/64</v>
      </c>
      <c r="J94" t="str">
        <f>"35/64"</f>
        <v>35/64</v>
      </c>
      <c r="K94" t="str">
        <f>"1-3/64"</f>
        <v>1-3/64</v>
      </c>
      <c r="L94" t="s">
        <v>6</v>
      </c>
    </row>
  </sheetData>
  <mergeCells count="9">
    <mergeCell ref="O5:O7"/>
    <mergeCell ref="P5:R5"/>
    <mergeCell ref="S5:U5"/>
    <mergeCell ref="C36:C37"/>
    <mergeCell ref="D36:D37"/>
    <mergeCell ref="E36:G36"/>
    <mergeCell ref="O35:O36"/>
    <mergeCell ref="P35:Q35"/>
    <mergeCell ref="R35:U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table</vt:lpstr>
      <vt:lpstr>Source tables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Bletsch</dc:creator>
  <cp:lastModifiedBy>Tyler Bletsch</cp:lastModifiedBy>
  <dcterms:created xsi:type="dcterms:W3CDTF">2015-05-13T22:43:45Z</dcterms:created>
  <dcterms:modified xsi:type="dcterms:W3CDTF">2015-05-14T01:09:37Z</dcterms:modified>
</cp:coreProperties>
</file>