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01B1DD50-F884-5442-A12C-2A3D62DB7FF5}" xr6:coauthVersionLast="47" xr6:coauthVersionMax="47" xr10:uidLastSave="{00000000-0000-0000-0000-000000000000}"/>
  <bookViews>
    <workbookView xWindow="20260" yWindow="500" windowWidth="15580" windowHeight="21120" activeTab="4" xr2:uid="{0D0644B8-F9A6-4A61-A91E-2BD3522A7E9F}"/>
  </bookViews>
  <sheets>
    <sheet name="Pointing Eff Acc" sheetId="6" r:id="rId1"/>
    <sheet name="Laser Count Analysis" sheetId="4" r:id="rId2"/>
    <sheet name="Spacecraft Sizing" sheetId="5" r:id="rId3"/>
    <sheet name="Fleet cost analysis" sheetId="2" r:id="rId4"/>
    <sheet name="Laser Summary" sheetId="7" r:id="rId5"/>
    <sheet name="SE analysis" sheetId="1" r:id="rId6"/>
    <sheet name="math" sheetId="3" r:id="rId7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7" l="1"/>
  <c r="B45" i="7"/>
  <c r="C28" i="2"/>
  <c r="C29" i="2" s="1"/>
  <c r="C30" i="2" s="1"/>
  <c r="B42" i="6"/>
  <c r="B41" i="6"/>
  <c r="P20" i="7"/>
  <c r="T20" i="7"/>
  <c r="R20" i="7"/>
  <c r="AA70" i="7"/>
  <c r="AA71" i="7" s="1"/>
  <c r="Y70" i="7"/>
  <c r="Y71" i="7" s="1"/>
  <c r="W70" i="7"/>
  <c r="W71" i="7" s="1"/>
  <c r="AA68" i="7"/>
  <c r="AA69" i="7" s="1"/>
  <c r="AA74" i="7" s="1"/>
  <c r="Y68" i="7"/>
  <c r="Y69" i="7" s="1"/>
  <c r="W68" i="7"/>
  <c r="W69" i="7" s="1"/>
  <c r="AA53" i="7"/>
  <c r="Y53" i="7"/>
  <c r="W53" i="7"/>
  <c r="AA25" i="7"/>
  <c r="AA27" i="7" s="1"/>
  <c r="AA35" i="7" s="1"/>
  <c r="Y25" i="7"/>
  <c r="Y27" i="7" s="1"/>
  <c r="Y35" i="7" s="1"/>
  <c r="W25" i="7"/>
  <c r="W27" i="7" s="1"/>
  <c r="W35" i="7" s="1"/>
  <c r="AA22" i="7"/>
  <c r="Y22" i="7"/>
  <c r="W22" i="7"/>
  <c r="AA20" i="7"/>
  <c r="Y20" i="7"/>
  <c r="W20" i="7"/>
  <c r="AA15" i="7"/>
  <c r="AA16" i="7" s="1"/>
  <c r="Y15" i="7"/>
  <c r="Y16" i="7" s="1"/>
  <c r="W15" i="7"/>
  <c r="W16" i="7" s="1"/>
  <c r="AA8" i="7"/>
  <c r="AA7" i="7" s="1"/>
  <c r="Y8" i="7"/>
  <c r="Y7" i="7" s="1"/>
  <c r="W8" i="7"/>
  <c r="W7" i="7" s="1"/>
  <c r="AA6" i="7"/>
  <c r="AA23" i="7" s="1"/>
  <c r="Y6" i="7"/>
  <c r="Y23" i="7" s="1"/>
  <c r="W6" i="7"/>
  <c r="W10" i="7" s="1"/>
  <c r="W9" i="7" s="1"/>
  <c r="W12" i="7" s="1"/>
  <c r="T70" i="7"/>
  <c r="T71" i="7" s="1"/>
  <c r="R70" i="7"/>
  <c r="R71" i="7" s="1"/>
  <c r="P70" i="7"/>
  <c r="P71" i="7" s="1"/>
  <c r="T68" i="7"/>
  <c r="T69" i="7" s="1"/>
  <c r="T74" i="7" s="1"/>
  <c r="R68" i="7"/>
  <c r="R69" i="7" s="1"/>
  <c r="R74" i="7" s="1"/>
  <c r="P68" i="7"/>
  <c r="P69" i="7" s="1"/>
  <c r="P74" i="7" s="1"/>
  <c r="T53" i="7"/>
  <c r="R53" i="7"/>
  <c r="P53" i="7"/>
  <c r="T22" i="7"/>
  <c r="R22" i="7"/>
  <c r="P22" i="7"/>
  <c r="T15" i="7"/>
  <c r="T16" i="7" s="1"/>
  <c r="R15" i="7"/>
  <c r="R16" i="7" s="1"/>
  <c r="P15" i="7"/>
  <c r="P16" i="7" s="1"/>
  <c r="T8" i="7"/>
  <c r="T7" i="7" s="1"/>
  <c r="R8" i="7"/>
  <c r="R7" i="7" s="1"/>
  <c r="P8" i="7"/>
  <c r="P7" i="7" s="1"/>
  <c r="T6" i="7"/>
  <c r="R6" i="7"/>
  <c r="R23" i="7" s="1"/>
  <c r="P6" i="7"/>
  <c r="M70" i="7"/>
  <c r="M71" i="7" s="1"/>
  <c r="K70" i="7"/>
  <c r="K71" i="7" s="1"/>
  <c r="I70" i="7"/>
  <c r="I71" i="7" s="1"/>
  <c r="M68" i="7"/>
  <c r="M69" i="7" s="1"/>
  <c r="M74" i="7" s="1"/>
  <c r="K68" i="7"/>
  <c r="K69" i="7" s="1"/>
  <c r="K74" i="7" s="1"/>
  <c r="I68" i="7"/>
  <c r="I69" i="7" s="1"/>
  <c r="I74" i="7" s="1"/>
  <c r="D68" i="7"/>
  <c r="D69" i="7" s="1"/>
  <c r="D74" i="7" s="1"/>
  <c r="F68" i="7"/>
  <c r="F69" i="7" s="1"/>
  <c r="F74" i="7" s="1"/>
  <c r="D70" i="7"/>
  <c r="D71" i="7" s="1"/>
  <c r="F70" i="7"/>
  <c r="F71" i="7" s="1"/>
  <c r="B70" i="7"/>
  <c r="B71" i="7" s="1"/>
  <c r="B68" i="7"/>
  <c r="B69" i="7" s="1"/>
  <c r="B74" i="7" s="1"/>
  <c r="M53" i="7"/>
  <c r="K53" i="7"/>
  <c r="I53" i="7"/>
  <c r="F53" i="7"/>
  <c r="D53" i="7"/>
  <c r="B53" i="7"/>
  <c r="M15" i="7"/>
  <c r="M16" i="7" s="1"/>
  <c r="K15" i="7"/>
  <c r="K16" i="7" s="1"/>
  <c r="I15" i="7"/>
  <c r="I16" i="7" s="1"/>
  <c r="F15" i="7"/>
  <c r="F16" i="7" s="1"/>
  <c r="D15" i="7"/>
  <c r="D16" i="7" s="1"/>
  <c r="B15" i="7"/>
  <c r="D24" i="6"/>
  <c r="D28" i="6"/>
  <c r="M22" i="7"/>
  <c r="K22" i="7"/>
  <c r="I22" i="7"/>
  <c r="M8" i="7"/>
  <c r="M7" i="7" s="1"/>
  <c r="K8" i="7"/>
  <c r="K7" i="7" s="1"/>
  <c r="I8" i="7"/>
  <c r="I7" i="7" s="1"/>
  <c r="M6" i="7"/>
  <c r="M23" i="7" s="1"/>
  <c r="K6" i="7"/>
  <c r="K23" i="7" s="1"/>
  <c r="I6" i="7"/>
  <c r="I23" i="7" s="1"/>
  <c r="F22" i="7"/>
  <c r="F8" i="7"/>
  <c r="F7" i="7" s="1"/>
  <c r="F6" i="7"/>
  <c r="F23" i="7" s="1"/>
  <c r="D22" i="7"/>
  <c r="D8" i="7"/>
  <c r="D7" i="7" s="1"/>
  <c r="D6" i="7"/>
  <c r="D23" i="7" s="1"/>
  <c r="B22" i="7"/>
  <c r="B8" i="7"/>
  <c r="B7" i="7" s="1"/>
  <c r="B6" i="7"/>
  <c r="B23" i="7" s="1"/>
  <c r="D54" i="4"/>
  <c r="E54" i="4"/>
  <c r="F54" i="4"/>
  <c r="G54" i="4"/>
  <c r="H54" i="4"/>
  <c r="H59" i="4" s="1"/>
  <c r="I54" i="4"/>
  <c r="I59" i="4" s="1"/>
  <c r="J54" i="4"/>
  <c r="J59" i="4" s="1"/>
  <c r="K54" i="4"/>
  <c r="K59" i="4" s="1"/>
  <c r="L54" i="4"/>
  <c r="L59" i="4" s="1"/>
  <c r="M54" i="4"/>
  <c r="M59" i="4" s="1"/>
  <c r="N54" i="4"/>
  <c r="N59" i="4" s="1"/>
  <c r="O54" i="4"/>
  <c r="O59" i="4" s="1"/>
  <c r="P54" i="4"/>
  <c r="Q54" i="4"/>
  <c r="R54" i="4"/>
  <c r="R59" i="4" s="1"/>
  <c r="S54" i="4"/>
  <c r="S59" i="4" s="1"/>
  <c r="T54" i="4"/>
  <c r="T59" i="4" s="1"/>
  <c r="U54" i="4"/>
  <c r="U59" i="4" s="1"/>
  <c r="V54" i="4"/>
  <c r="V59" i="4" s="1"/>
  <c r="W54" i="4"/>
  <c r="W59" i="4" s="1"/>
  <c r="X54" i="4"/>
  <c r="X59" i="4" s="1"/>
  <c r="Y54" i="4"/>
  <c r="Y59" i="4" s="1"/>
  <c r="Z54" i="4"/>
  <c r="Z59" i="4" s="1"/>
  <c r="AA54" i="4"/>
  <c r="AA59" i="4" s="1"/>
  <c r="AB54" i="4"/>
  <c r="AC54" i="4"/>
  <c r="AD54" i="4"/>
  <c r="AE54" i="4"/>
  <c r="AF54" i="4"/>
  <c r="AG54" i="4"/>
  <c r="AG59" i="4" s="1"/>
  <c r="D59" i="4"/>
  <c r="E59" i="4"/>
  <c r="F59" i="4"/>
  <c r="G59" i="4"/>
  <c r="P59" i="4"/>
  <c r="Q59" i="4"/>
  <c r="AB59" i="4"/>
  <c r="AC59" i="4"/>
  <c r="AD59" i="4"/>
  <c r="AE59" i="4"/>
  <c r="AF59" i="4"/>
  <c r="D61" i="4"/>
  <c r="E61" i="4"/>
  <c r="E63" i="4" s="1"/>
  <c r="F61" i="4"/>
  <c r="F63" i="4" s="1"/>
  <c r="G61" i="4"/>
  <c r="G63" i="4" s="1"/>
  <c r="H61" i="4"/>
  <c r="H63" i="4" s="1"/>
  <c r="I61" i="4"/>
  <c r="I63" i="4" s="1"/>
  <c r="J61" i="4"/>
  <c r="J63" i="4" s="1"/>
  <c r="K61" i="4"/>
  <c r="L61" i="4"/>
  <c r="L63" i="4" s="1"/>
  <c r="M61" i="4"/>
  <c r="M63" i="4" s="1"/>
  <c r="N61" i="4"/>
  <c r="N63" i="4" s="1"/>
  <c r="O61" i="4"/>
  <c r="O63" i="4" s="1"/>
  <c r="P61" i="4"/>
  <c r="P63" i="4" s="1"/>
  <c r="Q61" i="4"/>
  <c r="Q63" i="4" s="1"/>
  <c r="Q64" i="4" s="1"/>
  <c r="R61" i="4"/>
  <c r="R63" i="4" s="1"/>
  <c r="S61" i="4"/>
  <c r="S63" i="4" s="1"/>
  <c r="T61" i="4"/>
  <c r="T63" i="4" s="1"/>
  <c r="U61" i="4"/>
  <c r="U63" i="4" s="1"/>
  <c r="V61" i="4"/>
  <c r="V63" i="4" s="1"/>
  <c r="W61" i="4"/>
  <c r="W63" i="4" s="1"/>
  <c r="X61" i="4"/>
  <c r="X63" i="4" s="1"/>
  <c r="Y61" i="4"/>
  <c r="Y63" i="4" s="1"/>
  <c r="Z61" i="4"/>
  <c r="Z63" i="4" s="1"/>
  <c r="AA61" i="4"/>
  <c r="AA63" i="4" s="1"/>
  <c r="AB61" i="4"/>
  <c r="AB63" i="4" s="1"/>
  <c r="AC61" i="4"/>
  <c r="AC63" i="4" s="1"/>
  <c r="AD61" i="4"/>
  <c r="AD63" i="4" s="1"/>
  <c r="AE61" i="4"/>
  <c r="AE63" i="4" s="1"/>
  <c r="AF61" i="4"/>
  <c r="AF63" i="4" s="1"/>
  <c r="AG61" i="4"/>
  <c r="AG63" i="4" s="1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63" i="4"/>
  <c r="K63" i="4"/>
  <c r="D23" i="4"/>
  <c r="E23" i="4" s="1"/>
  <c r="F23" i="4" s="1"/>
  <c r="G23" i="4" s="1"/>
  <c r="H23" i="4" s="1"/>
  <c r="I23" i="4" s="1"/>
  <c r="J23" i="4" s="1"/>
  <c r="AB14" i="4"/>
  <c r="AB16" i="4" s="1"/>
  <c r="AB15" i="4"/>
  <c r="AA14" i="4"/>
  <c r="AA16" i="4" s="1"/>
  <c r="AA15" i="4"/>
  <c r="E10" i="4"/>
  <c r="F10" i="4" s="1"/>
  <c r="G10" i="4" s="1"/>
  <c r="E14" i="4"/>
  <c r="E16" i="4" s="1"/>
  <c r="F14" i="4"/>
  <c r="F16" i="4" s="1"/>
  <c r="G14" i="4"/>
  <c r="G16" i="4" s="1"/>
  <c r="H14" i="4"/>
  <c r="H16" i="4" s="1"/>
  <c r="I14" i="4"/>
  <c r="I16" i="4" s="1"/>
  <c r="J14" i="4"/>
  <c r="J16" i="4" s="1"/>
  <c r="K14" i="4"/>
  <c r="K16" i="4" s="1"/>
  <c r="L14" i="4"/>
  <c r="L16" i="4" s="1"/>
  <c r="M14" i="4"/>
  <c r="M16" i="4" s="1"/>
  <c r="N14" i="4"/>
  <c r="N16" i="4" s="1"/>
  <c r="O14" i="4"/>
  <c r="O16" i="4" s="1"/>
  <c r="P14" i="4"/>
  <c r="P16" i="4" s="1"/>
  <c r="Q14" i="4"/>
  <c r="Q16" i="4" s="1"/>
  <c r="R14" i="4"/>
  <c r="R16" i="4" s="1"/>
  <c r="S14" i="4"/>
  <c r="S16" i="4" s="1"/>
  <c r="T14" i="4"/>
  <c r="T16" i="4" s="1"/>
  <c r="U14" i="4"/>
  <c r="U16" i="4" s="1"/>
  <c r="V14" i="4"/>
  <c r="V16" i="4" s="1"/>
  <c r="W14" i="4"/>
  <c r="W16" i="4" s="1"/>
  <c r="X14" i="4"/>
  <c r="X16" i="4" s="1"/>
  <c r="Y14" i="4"/>
  <c r="Y16" i="4" s="1"/>
  <c r="Z14" i="4"/>
  <c r="Z16" i="4" s="1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D15" i="4"/>
  <c r="D14" i="4"/>
  <c r="D16" i="4" s="1"/>
  <c r="D12" i="4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G14" i="6"/>
  <c r="H14" i="6" s="1"/>
  <c r="I14" i="6" s="1"/>
  <c r="J14" i="6" s="1"/>
  <c r="G24" i="6"/>
  <c r="W31" i="7" l="1"/>
  <c r="Y30" i="7"/>
  <c r="Y31" i="7"/>
  <c r="AA30" i="7"/>
  <c r="AA31" i="7"/>
  <c r="W74" i="7"/>
  <c r="W76" i="7" s="1"/>
  <c r="T76" i="7"/>
  <c r="Y74" i="7"/>
  <c r="Y76" i="7" s="1"/>
  <c r="P10" i="7"/>
  <c r="P9" i="7" s="1"/>
  <c r="P12" i="7" s="1"/>
  <c r="P17" i="7" s="1"/>
  <c r="T10" i="7"/>
  <c r="T9" i="7" s="1"/>
  <c r="T12" i="7" s="1"/>
  <c r="T11" i="7" s="1"/>
  <c r="K76" i="7"/>
  <c r="AA76" i="7"/>
  <c r="M76" i="7"/>
  <c r="R76" i="7"/>
  <c r="P76" i="7"/>
  <c r="AA45" i="7"/>
  <c r="AA46" i="7" s="1"/>
  <c r="AA48" i="7" s="1"/>
  <c r="W45" i="7"/>
  <c r="W46" i="7" s="1"/>
  <c r="W48" i="7" s="1"/>
  <c r="Y45" i="7"/>
  <c r="Y46" i="7" s="1"/>
  <c r="Y48" i="7" s="1"/>
  <c r="W17" i="7"/>
  <c r="W19" i="7" s="1"/>
  <c r="W11" i="7"/>
  <c r="Y10" i="7"/>
  <c r="Y9" i="7" s="1"/>
  <c r="Y12" i="7" s="1"/>
  <c r="AA10" i="7"/>
  <c r="AA9" i="7" s="1"/>
  <c r="AA12" i="7" s="1"/>
  <c r="W23" i="7"/>
  <c r="W30" i="7" s="1"/>
  <c r="P23" i="7"/>
  <c r="R10" i="7"/>
  <c r="R9" i="7" s="1"/>
  <c r="R12" i="7" s="1"/>
  <c r="T23" i="7"/>
  <c r="I76" i="7"/>
  <c r="D76" i="7"/>
  <c r="F76" i="7"/>
  <c r="B76" i="7"/>
  <c r="B16" i="7"/>
  <c r="I28" i="2"/>
  <c r="F10" i="7"/>
  <c r="F9" i="7" s="1"/>
  <c r="F12" i="7" s="1"/>
  <c r="F17" i="7" s="1"/>
  <c r="F20" i="7" s="1"/>
  <c r="D10" i="7"/>
  <c r="D9" i="7" s="1"/>
  <c r="D12" i="7" s="1"/>
  <c r="D11" i="7" s="1"/>
  <c r="I10" i="7"/>
  <c r="I9" i="7" s="1"/>
  <c r="I12" i="7" s="1"/>
  <c r="K10" i="7"/>
  <c r="K9" i="7" s="1"/>
  <c r="K12" i="7" s="1"/>
  <c r="M10" i="7"/>
  <c r="M9" i="7" s="1"/>
  <c r="M12" i="7" s="1"/>
  <c r="R28" i="2"/>
  <c r="R29" i="2" s="1"/>
  <c r="E28" i="2"/>
  <c r="M28" i="2"/>
  <c r="M29" i="2" s="1"/>
  <c r="H28" i="2"/>
  <c r="H29" i="2" s="1"/>
  <c r="F28" i="2"/>
  <c r="D28" i="2"/>
  <c r="L28" i="2"/>
  <c r="Q28" i="2"/>
  <c r="P28" i="2"/>
  <c r="N28" i="2"/>
  <c r="K28" i="2"/>
  <c r="K29" i="2" s="1"/>
  <c r="G28" i="2"/>
  <c r="O28" i="2"/>
  <c r="J28" i="2"/>
  <c r="J29" i="2" s="1"/>
  <c r="B10" i="7"/>
  <c r="B9" i="7" s="1"/>
  <c r="B12" i="7" s="1"/>
  <c r="R17" i="4"/>
  <c r="AF64" i="4"/>
  <c r="Z64" i="4"/>
  <c r="N64" i="4"/>
  <c r="Y64" i="4"/>
  <c r="M64" i="4"/>
  <c r="M66" i="4" s="1"/>
  <c r="M68" i="4" s="1"/>
  <c r="H64" i="4"/>
  <c r="X64" i="4"/>
  <c r="G64" i="4"/>
  <c r="G66" i="4" s="1"/>
  <c r="G68" i="4" s="1"/>
  <c r="W64" i="4"/>
  <c r="L64" i="4"/>
  <c r="L66" i="4" s="1"/>
  <c r="L68" i="4" s="1"/>
  <c r="R64" i="4"/>
  <c r="R66" i="4" s="1"/>
  <c r="R68" i="4" s="1"/>
  <c r="K64" i="4"/>
  <c r="E64" i="4"/>
  <c r="E66" i="4" s="1"/>
  <c r="E68" i="4" s="1"/>
  <c r="P64" i="4"/>
  <c r="P66" i="4" s="1"/>
  <c r="P68" i="4" s="1"/>
  <c r="K23" i="4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G64" i="4"/>
  <c r="AG66" i="4" s="1"/>
  <c r="AG68" i="4" s="1"/>
  <c r="U64" i="4"/>
  <c r="I64" i="4"/>
  <c r="I66" i="4" s="1"/>
  <c r="I68" i="4" s="1"/>
  <c r="AA64" i="4"/>
  <c r="O64" i="4"/>
  <c r="O66" i="4" s="1"/>
  <c r="O68" i="4" s="1"/>
  <c r="AE64" i="4"/>
  <c r="AE66" i="4" s="1"/>
  <c r="AE68" i="4" s="1"/>
  <c r="AC64" i="4"/>
  <c r="AC66" i="4" s="1"/>
  <c r="AC68" i="4" s="1"/>
  <c r="J64" i="4"/>
  <c r="J66" i="4" s="1"/>
  <c r="J68" i="4" s="1"/>
  <c r="V64" i="4"/>
  <c r="V66" i="4" s="1"/>
  <c r="V68" i="4" s="1"/>
  <c r="AB64" i="4"/>
  <c r="AB66" i="4" s="1"/>
  <c r="AB68" i="4" s="1"/>
  <c r="D64" i="4"/>
  <c r="D66" i="4" s="1"/>
  <c r="D68" i="4" s="1"/>
  <c r="T64" i="4"/>
  <c r="T66" i="4" s="1"/>
  <c r="T68" i="4" s="1"/>
  <c r="AD64" i="4"/>
  <c r="S64" i="4"/>
  <c r="S66" i="4" s="1"/>
  <c r="S68" i="4" s="1"/>
  <c r="AF66" i="4"/>
  <c r="AF68" i="4" s="1"/>
  <c r="H66" i="4"/>
  <c r="H68" i="4" s="1"/>
  <c r="Z66" i="4"/>
  <c r="Z68" i="4" s="1"/>
  <c r="N66" i="4"/>
  <c r="N68" i="4" s="1"/>
  <c r="AA66" i="4"/>
  <c r="AA68" i="4" s="1"/>
  <c r="Y66" i="4"/>
  <c r="Y68" i="4" s="1"/>
  <c r="F64" i="4"/>
  <c r="F66" i="4" s="1"/>
  <c r="F68" i="4" s="1"/>
  <c r="AD66" i="4"/>
  <c r="AD68" i="4" s="1"/>
  <c r="U66" i="4"/>
  <c r="U68" i="4" s="1"/>
  <c r="Q66" i="4"/>
  <c r="Q68" i="4" s="1"/>
  <c r="K17" i="4"/>
  <c r="X66" i="4"/>
  <c r="X68" i="4" s="1"/>
  <c r="W66" i="4"/>
  <c r="W68" i="4" s="1"/>
  <c r="K66" i="4"/>
  <c r="K68" i="4" s="1"/>
  <c r="Z17" i="4"/>
  <c r="AB17" i="4"/>
  <c r="AA17" i="4"/>
  <c r="AB9" i="4"/>
  <c r="O17" i="4"/>
  <c r="Y17" i="4"/>
  <c r="V17" i="4"/>
  <c r="U17" i="4"/>
  <c r="J17" i="4"/>
  <c r="W17" i="4"/>
  <c r="T17" i="4"/>
  <c r="M17" i="4"/>
  <c r="H17" i="4"/>
  <c r="S17" i="4"/>
  <c r="X17" i="4"/>
  <c r="F17" i="4"/>
  <c r="Q17" i="4"/>
  <c r="L17" i="4"/>
  <c r="I17" i="4"/>
  <c r="G17" i="4"/>
  <c r="E17" i="4"/>
  <c r="P17" i="4"/>
  <c r="F12" i="4"/>
  <c r="E12" i="4"/>
  <c r="N17" i="4"/>
  <c r="H10" i="4"/>
  <c r="G12" i="4"/>
  <c r="D17" i="4"/>
  <c r="D19" i="4" s="1"/>
  <c r="D20" i="4" s="1"/>
  <c r="H24" i="6"/>
  <c r="I24" i="6" s="1"/>
  <c r="J24" i="6"/>
  <c r="G13" i="6"/>
  <c r="D25" i="6"/>
  <c r="D29" i="6"/>
  <c r="D30" i="6" s="1"/>
  <c r="I15" i="6"/>
  <c r="I16" i="6" s="1"/>
  <c r="H15" i="6"/>
  <c r="H16" i="6" s="1"/>
  <c r="F29" i="6"/>
  <c r="F30" i="6" s="1"/>
  <c r="G25" i="6"/>
  <c r="F25" i="6"/>
  <c r="G15" i="6"/>
  <c r="G16" i="6" s="1"/>
  <c r="F15" i="6"/>
  <c r="F16" i="6" s="1"/>
  <c r="F13" i="6"/>
  <c r="F26" i="6" s="1"/>
  <c r="K15" i="6"/>
  <c r="K16" i="6" s="1"/>
  <c r="D13" i="6"/>
  <c r="J15" i="6"/>
  <c r="J16" i="6" s="1"/>
  <c r="D15" i="6"/>
  <c r="D16" i="6" s="1"/>
  <c r="F24" i="2"/>
  <c r="G24" i="2"/>
  <c r="H2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5" i="2"/>
  <c r="F2" i="5"/>
  <c r="G10" i="5" s="1"/>
  <c r="F3" i="5"/>
  <c r="C6" i="5" s="1"/>
  <c r="F1" i="5"/>
  <c r="D17" i="5" s="1"/>
  <c r="D19" i="5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G13" i="2" s="1"/>
  <c r="G19" i="2" s="1"/>
  <c r="H12" i="2"/>
  <c r="H13" i="2" s="1"/>
  <c r="H19" i="2" s="1"/>
  <c r="I12" i="2"/>
  <c r="I13" i="2" s="1"/>
  <c r="I19" i="2" s="1"/>
  <c r="J12" i="2"/>
  <c r="J13" i="2" s="1"/>
  <c r="J19" i="2" s="1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R13" i="2" s="1"/>
  <c r="R19" i="2" s="1"/>
  <c r="D15" i="2"/>
  <c r="D16" i="2" s="1"/>
  <c r="E15" i="2"/>
  <c r="E16" i="2" s="1"/>
  <c r="F15" i="2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F16" i="2"/>
  <c r="D23" i="2"/>
  <c r="D24" i="2" s="1"/>
  <c r="E23" i="2"/>
  <c r="E24" i="2" s="1"/>
  <c r="F23" i="2"/>
  <c r="G23" i="2"/>
  <c r="H23" i="2"/>
  <c r="I23" i="2"/>
  <c r="I24" i="2" s="1"/>
  <c r="J23" i="2"/>
  <c r="J24" i="2" s="1"/>
  <c r="K23" i="2"/>
  <c r="K24" i="2" s="1"/>
  <c r="L23" i="2"/>
  <c r="L24" i="2" s="1"/>
  <c r="M23" i="2"/>
  <c r="M24" i="2" s="1"/>
  <c r="N23" i="2"/>
  <c r="N24" i="2" s="1"/>
  <c r="O23" i="2"/>
  <c r="O24" i="2" s="1"/>
  <c r="P23" i="2"/>
  <c r="P24" i="2" s="1"/>
  <c r="Q23" i="2"/>
  <c r="Q24" i="2" s="1"/>
  <c r="R23" i="2"/>
  <c r="R24" i="2" s="1"/>
  <c r="C23" i="2"/>
  <c r="C24" i="2" s="1"/>
  <c r="C15" i="2"/>
  <c r="C16" i="2" s="1"/>
  <c r="C12" i="2"/>
  <c r="C13" i="2" s="1"/>
  <c r="C19" i="2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E29" i="2" l="1"/>
  <c r="O29" i="2"/>
  <c r="G29" i="2"/>
  <c r="Q29" i="2"/>
  <c r="L29" i="2"/>
  <c r="I29" i="2"/>
  <c r="D29" i="2"/>
  <c r="N29" i="2"/>
  <c r="P29" i="2"/>
  <c r="F29" i="2"/>
  <c r="T17" i="7"/>
  <c r="T19" i="7" s="1"/>
  <c r="P11" i="7"/>
  <c r="AA32" i="7"/>
  <c r="Y32" i="7"/>
  <c r="W32" i="7"/>
  <c r="Y11" i="7"/>
  <c r="Y17" i="7"/>
  <c r="Y19" i="7" s="1"/>
  <c r="W56" i="7"/>
  <c r="W50" i="7"/>
  <c r="AA11" i="7"/>
  <c r="AA17" i="7"/>
  <c r="AA19" i="7" s="1"/>
  <c r="Y56" i="7"/>
  <c r="Y50" i="7"/>
  <c r="AA50" i="7"/>
  <c r="AA56" i="7"/>
  <c r="R11" i="7"/>
  <c r="R17" i="7"/>
  <c r="R19" i="7" s="1"/>
  <c r="D17" i="7"/>
  <c r="D20" i="7" s="1"/>
  <c r="D26" i="7" s="1"/>
  <c r="D25" i="7" s="1"/>
  <c r="D27" i="7" s="1"/>
  <c r="F11" i="7"/>
  <c r="F26" i="7"/>
  <c r="F25" i="7" s="1"/>
  <c r="F27" i="7" s="1"/>
  <c r="M17" i="7"/>
  <c r="M20" i="7" s="1"/>
  <c r="M11" i="7"/>
  <c r="K17" i="7"/>
  <c r="K20" i="7" s="1"/>
  <c r="K11" i="7"/>
  <c r="I17" i="7"/>
  <c r="I20" i="7" s="1"/>
  <c r="I11" i="7"/>
  <c r="N22" i="4"/>
  <c r="N24" i="4" s="1"/>
  <c r="Z22" i="4"/>
  <c r="Z24" i="4" s="1"/>
  <c r="D22" i="4"/>
  <c r="D24" i="4" s="1"/>
  <c r="Q22" i="4"/>
  <c r="Q24" i="4" s="1"/>
  <c r="F22" i="4"/>
  <c r="F24" i="4" s="1"/>
  <c r="H22" i="4"/>
  <c r="H24" i="4" s="1"/>
  <c r="U22" i="4"/>
  <c r="U24" i="4" s="1"/>
  <c r="J22" i="4"/>
  <c r="J24" i="4" s="1"/>
  <c r="X22" i="4"/>
  <c r="X24" i="4" s="1"/>
  <c r="Y22" i="4"/>
  <c r="Y24" i="4" s="1"/>
  <c r="O22" i="4"/>
  <c r="O24" i="4" s="1"/>
  <c r="R22" i="4"/>
  <c r="R24" i="4" s="1"/>
  <c r="G22" i="4"/>
  <c r="G24" i="4" s="1"/>
  <c r="V22" i="4"/>
  <c r="V24" i="4" s="1"/>
  <c r="W22" i="4"/>
  <c r="W24" i="4" s="1"/>
  <c r="AB22" i="4"/>
  <c r="AB24" i="4" s="1"/>
  <c r="AA22" i="4"/>
  <c r="AA24" i="4" s="1"/>
  <c r="P22" i="4"/>
  <c r="P24" i="4" s="1"/>
  <c r="E22" i="4"/>
  <c r="E24" i="4" s="1"/>
  <c r="S22" i="4"/>
  <c r="S24" i="4" s="1"/>
  <c r="T22" i="4"/>
  <c r="T24" i="4" s="1"/>
  <c r="I22" i="4"/>
  <c r="I24" i="4" s="1"/>
  <c r="K22" i="4"/>
  <c r="K24" i="4" s="1"/>
  <c r="L22" i="4"/>
  <c r="L24" i="4" s="1"/>
  <c r="M22" i="4"/>
  <c r="M24" i="4" s="1"/>
  <c r="B11" i="7"/>
  <c r="B17" i="7"/>
  <c r="B20" i="7" s="1"/>
  <c r="G21" i="2"/>
  <c r="E19" i="4"/>
  <c r="E20" i="4" s="1"/>
  <c r="F19" i="4"/>
  <c r="F20" i="4" s="1"/>
  <c r="G19" i="4"/>
  <c r="G20" i="4" s="1"/>
  <c r="H12" i="4"/>
  <c r="H19" i="4" s="1"/>
  <c r="H20" i="4" s="1"/>
  <c r="I10" i="4"/>
  <c r="E6" i="5"/>
  <c r="E9" i="5" s="1"/>
  <c r="G6" i="5"/>
  <c r="G9" i="5" s="1"/>
  <c r="G11" i="5" s="1"/>
  <c r="G13" i="5" s="1"/>
  <c r="H6" i="5"/>
  <c r="H9" i="5" s="1"/>
  <c r="J6" i="5"/>
  <c r="J9" i="5" s="1"/>
  <c r="L6" i="5"/>
  <c r="L9" i="5" s="1"/>
  <c r="N6" i="5"/>
  <c r="N9" i="5" s="1"/>
  <c r="F6" i="5"/>
  <c r="F9" i="5" s="1"/>
  <c r="I6" i="5"/>
  <c r="I9" i="5" s="1"/>
  <c r="M6" i="5"/>
  <c r="M9" i="5" s="1"/>
  <c r="D6" i="5"/>
  <c r="D9" i="5" s="1"/>
  <c r="K6" i="5"/>
  <c r="K9" i="5" s="1"/>
  <c r="C9" i="5"/>
  <c r="F36" i="6"/>
  <c r="F37" i="6" s="1"/>
  <c r="K24" i="6"/>
  <c r="E10" i="5"/>
  <c r="D10" i="5"/>
  <c r="H27" i="2"/>
  <c r="H30" i="2" s="1"/>
  <c r="D26" i="6"/>
  <c r="D36" i="6" s="1"/>
  <c r="D37" i="6" s="1"/>
  <c r="G29" i="6"/>
  <c r="G30" i="6" s="1"/>
  <c r="H29" i="6"/>
  <c r="H30" i="6" s="1"/>
  <c r="G26" i="6"/>
  <c r="H25" i="6"/>
  <c r="F32" i="6"/>
  <c r="F34" i="6" s="1"/>
  <c r="F17" i="6"/>
  <c r="F18" i="6" s="1"/>
  <c r="F19" i="6" s="1"/>
  <c r="G17" i="6"/>
  <c r="G18" i="6" s="1"/>
  <c r="G19" i="6" s="1"/>
  <c r="D32" i="6"/>
  <c r="D34" i="6" s="1"/>
  <c r="D17" i="6"/>
  <c r="D18" i="6" s="1"/>
  <c r="D19" i="6" s="1"/>
  <c r="C27" i="2"/>
  <c r="M10" i="5"/>
  <c r="Q27" i="2"/>
  <c r="Q30" i="2" s="1"/>
  <c r="E27" i="2"/>
  <c r="E30" i="2" s="1"/>
  <c r="L27" i="2"/>
  <c r="L30" i="2" s="1"/>
  <c r="G27" i="2"/>
  <c r="G30" i="2" s="1"/>
  <c r="G35" i="2" s="1"/>
  <c r="L10" i="5"/>
  <c r="P27" i="2"/>
  <c r="D27" i="2"/>
  <c r="F10" i="5"/>
  <c r="J27" i="2"/>
  <c r="J30" i="2" s="1"/>
  <c r="K27" i="2"/>
  <c r="K30" i="2" s="1"/>
  <c r="C10" i="5"/>
  <c r="N10" i="5"/>
  <c r="K10" i="5"/>
  <c r="J10" i="5"/>
  <c r="I10" i="5"/>
  <c r="H10" i="5"/>
  <c r="N27" i="2"/>
  <c r="N30" i="2" s="1"/>
  <c r="O27" i="2"/>
  <c r="M27" i="2"/>
  <c r="I27" i="2"/>
  <c r="R27" i="2"/>
  <c r="F27" i="2"/>
  <c r="N17" i="5"/>
  <c r="N19" i="5" s="1"/>
  <c r="K17" i="5"/>
  <c r="K19" i="5" s="1"/>
  <c r="L17" i="5"/>
  <c r="L19" i="5" s="1"/>
  <c r="J17" i="5"/>
  <c r="J19" i="5" s="1"/>
  <c r="I17" i="5"/>
  <c r="I19" i="5" s="1"/>
  <c r="H17" i="5"/>
  <c r="H19" i="5" s="1"/>
  <c r="M17" i="5"/>
  <c r="M19" i="5" s="1"/>
  <c r="G17" i="5"/>
  <c r="G19" i="5" s="1"/>
  <c r="F17" i="5"/>
  <c r="F19" i="5" s="1"/>
  <c r="C17" i="5"/>
  <c r="C19" i="5" s="1"/>
  <c r="E17" i="5"/>
  <c r="E19" i="5" s="1"/>
  <c r="J20" i="1"/>
  <c r="J21" i="1"/>
  <c r="J23" i="1" s="1"/>
  <c r="I21" i="1"/>
  <c r="I23" i="1" s="1"/>
  <c r="I20" i="1"/>
  <c r="R21" i="2"/>
  <c r="N21" i="2"/>
  <c r="F21" i="2"/>
  <c r="E21" i="2"/>
  <c r="D21" i="2"/>
  <c r="O21" i="2"/>
  <c r="C21" i="2"/>
  <c r="L21" i="2"/>
  <c r="K21" i="2"/>
  <c r="M21" i="2"/>
  <c r="I21" i="2"/>
  <c r="H21" i="2"/>
  <c r="J21" i="2"/>
  <c r="Q21" i="2"/>
  <c r="P21" i="2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W40" i="7" l="1"/>
  <c r="W38" i="7"/>
  <c r="W60" i="7" s="1"/>
  <c r="Y40" i="7"/>
  <c r="Y38" i="7"/>
  <c r="Y60" i="7" s="1"/>
  <c r="AA40" i="7"/>
  <c r="AA38" i="7"/>
  <c r="AA60" i="7" s="1"/>
  <c r="C33" i="2"/>
  <c r="P30" i="2"/>
  <c r="D30" i="2"/>
  <c r="D35" i="7"/>
  <c r="D36" i="7" s="1"/>
  <c r="D45" i="7" s="1"/>
  <c r="D31" i="7"/>
  <c r="D30" i="7"/>
  <c r="D32" i="7" s="1"/>
  <c r="F35" i="7"/>
  <c r="F36" i="7" s="1"/>
  <c r="F31" i="7"/>
  <c r="F30" i="7"/>
  <c r="F32" i="7" s="1"/>
  <c r="Y41" i="7"/>
  <c r="Y61" i="7"/>
  <c r="Y59" i="7"/>
  <c r="M26" i="7"/>
  <c r="M25" i="7" s="1"/>
  <c r="M27" i="7" s="1"/>
  <c r="I26" i="7"/>
  <c r="I25" i="7" s="1"/>
  <c r="I27" i="7" s="1"/>
  <c r="K26" i="7"/>
  <c r="K25" i="7" s="1"/>
  <c r="K27" i="7" s="1"/>
  <c r="B26" i="7"/>
  <c r="B25" i="7" s="1"/>
  <c r="N11" i="5"/>
  <c r="N13" i="5" s="1"/>
  <c r="N15" i="5" s="1"/>
  <c r="J11" i="5"/>
  <c r="J13" i="5" s="1"/>
  <c r="J15" i="5" s="1"/>
  <c r="I12" i="4"/>
  <c r="I19" i="4" s="1"/>
  <c r="I20" i="4" s="1"/>
  <c r="J10" i="4"/>
  <c r="H11" i="5"/>
  <c r="H13" i="5" s="1"/>
  <c r="H15" i="5" s="1"/>
  <c r="L11" i="5"/>
  <c r="L13" i="5" s="1"/>
  <c r="L15" i="5" s="1"/>
  <c r="E11" i="5"/>
  <c r="E13" i="5" s="1"/>
  <c r="E15" i="5" s="1"/>
  <c r="F11" i="5"/>
  <c r="F13" i="5" s="1"/>
  <c r="F15" i="5" s="1"/>
  <c r="K11" i="5"/>
  <c r="K13" i="5" s="1"/>
  <c r="K15" i="5" s="1"/>
  <c r="M11" i="5"/>
  <c r="M13" i="5" s="1"/>
  <c r="M15" i="5" s="1"/>
  <c r="C11" i="5"/>
  <c r="C13" i="5" s="1"/>
  <c r="C15" i="5" s="1"/>
  <c r="D11" i="5"/>
  <c r="D13" i="5" s="1"/>
  <c r="D15" i="5" s="1"/>
  <c r="I11" i="5"/>
  <c r="I13" i="5" s="1"/>
  <c r="I15" i="5" s="1"/>
  <c r="G32" i="6"/>
  <c r="G34" i="6" s="1"/>
  <c r="G36" i="6"/>
  <c r="G37" i="6" s="1"/>
  <c r="H13" i="6"/>
  <c r="H32" i="6"/>
  <c r="H34" i="6" s="1"/>
  <c r="I29" i="6"/>
  <c r="I25" i="6"/>
  <c r="G21" i="6"/>
  <c r="G20" i="6"/>
  <c r="F20" i="6"/>
  <c r="F21" i="6"/>
  <c r="D21" i="6"/>
  <c r="D20" i="6"/>
  <c r="E32" i="2"/>
  <c r="E34" i="2"/>
  <c r="I30" i="2"/>
  <c r="I34" i="2" s="1"/>
  <c r="F30" i="2"/>
  <c r="F33" i="2" s="1"/>
  <c r="R30" i="2"/>
  <c r="R35" i="2" s="1"/>
  <c r="O30" i="2"/>
  <c r="M30" i="2"/>
  <c r="M34" i="2" s="1"/>
  <c r="E33" i="2"/>
  <c r="C35" i="2"/>
  <c r="G15" i="5"/>
  <c r="G22" i="5"/>
  <c r="F13" i="1"/>
  <c r="F14" i="1" s="1"/>
  <c r="E13" i="1"/>
  <c r="E14" i="1" s="1"/>
  <c r="J25" i="1"/>
  <c r="J29" i="1"/>
  <c r="I29" i="1"/>
  <c r="I25" i="1"/>
  <c r="C32" i="2"/>
  <c r="C34" i="2"/>
  <c r="D35" i="2"/>
  <c r="D34" i="2"/>
  <c r="K33" i="2"/>
  <c r="D32" i="2"/>
  <c r="L33" i="2"/>
  <c r="E35" i="2"/>
  <c r="L35" i="2"/>
  <c r="L32" i="2"/>
  <c r="L34" i="2"/>
  <c r="H32" i="2"/>
  <c r="H34" i="2"/>
  <c r="N34" i="2"/>
  <c r="D33" i="2"/>
  <c r="H33" i="2"/>
  <c r="J35" i="2"/>
  <c r="N32" i="2"/>
  <c r="K35" i="2"/>
  <c r="G33" i="2"/>
  <c r="K34" i="2"/>
  <c r="K32" i="2"/>
  <c r="H35" i="2"/>
  <c r="J34" i="2"/>
  <c r="N33" i="2"/>
  <c r="G32" i="2"/>
  <c r="J33" i="2"/>
  <c r="N35" i="2"/>
  <c r="G34" i="2"/>
  <c r="J32" i="2"/>
  <c r="P33" i="2"/>
  <c r="P34" i="2"/>
  <c r="P32" i="2"/>
  <c r="P35" i="2"/>
  <c r="Q33" i="2"/>
  <c r="Q32" i="2"/>
  <c r="Q34" i="2"/>
  <c r="Q35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D38" i="7" l="1"/>
  <c r="F38" i="7"/>
  <c r="D46" i="7"/>
  <c r="D48" i="7" s="1"/>
  <c r="AA41" i="7"/>
  <c r="F45" i="7"/>
  <c r="F46" i="7" s="1"/>
  <c r="F48" i="7" s="1"/>
  <c r="F50" i="7" s="1"/>
  <c r="W41" i="7"/>
  <c r="I35" i="7"/>
  <c r="I31" i="7"/>
  <c r="I30" i="7"/>
  <c r="K35" i="7"/>
  <c r="K30" i="7"/>
  <c r="K31" i="7"/>
  <c r="M35" i="7"/>
  <c r="M31" i="7"/>
  <c r="M30" i="7"/>
  <c r="Y78" i="7"/>
  <c r="Y77" i="7"/>
  <c r="Y79" i="7"/>
  <c r="Y82" i="7"/>
  <c r="Y81" i="7"/>
  <c r="Y80" i="7"/>
  <c r="F40" i="7"/>
  <c r="D40" i="7"/>
  <c r="B27" i="7"/>
  <c r="J22" i="5"/>
  <c r="N22" i="5"/>
  <c r="J12" i="4"/>
  <c r="J19" i="4" s="1"/>
  <c r="J20" i="4" s="1"/>
  <c r="K10" i="4"/>
  <c r="H22" i="5"/>
  <c r="L22" i="5"/>
  <c r="E22" i="5"/>
  <c r="D22" i="5"/>
  <c r="K22" i="5"/>
  <c r="M22" i="5"/>
  <c r="F22" i="5"/>
  <c r="C22" i="5"/>
  <c r="I22" i="5"/>
  <c r="I35" i="2"/>
  <c r="H26" i="6"/>
  <c r="H36" i="6" s="1"/>
  <c r="H17" i="6"/>
  <c r="H18" i="6" s="1"/>
  <c r="H19" i="6" s="1"/>
  <c r="I13" i="6"/>
  <c r="J29" i="6"/>
  <c r="J30" i="6" s="1"/>
  <c r="I32" i="6"/>
  <c r="I34" i="6" s="1"/>
  <c r="I30" i="6"/>
  <c r="J25" i="6"/>
  <c r="R32" i="2"/>
  <c r="R34" i="2"/>
  <c r="R33" i="2"/>
  <c r="I32" i="2"/>
  <c r="I33" i="2"/>
  <c r="F32" i="2"/>
  <c r="F35" i="2"/>
  <c r="F34" i="2"/>
  <c r="M32" i="2"/>
  <c r="O34" i="2"/>
  <c r="O33" i="2"/>
  <c r="O35" i="2"/>
  <c r="O32" i="2"/>
  <c r="M33" i="2"/>
  <c r="M35" i="2"/>
  <c r="J38" i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F56" i="7" l="1"/>
  <c r="I45" i="7"/>
  <c r="I46" i="7" s="1"/>
  <c r="I48" i="7" s="1"/>
  <c r="AA61" i="7"/>
  <c r="AA59" i="7"/>
  <c r="F60" i="7"/>
  <c r="M45" i="7"/>
  <c r="M46" i="7" s="1"/>
  <c r="M48" i="7" s="1"/>
  <c r="K45" i="7"/>
  <c r="K46" i="7" s="1"/>
  <c r="K48" i="7" s="1"/>
  <c r="D60" i="7"/>
  <c r="W59" i="7"/>
  <c r="W61" i="7"/>
  <c r="D50" i="7"/>
  <c r="D56" i="7"/>
  <c r="B35" i="7"/>
  <c r="B36" i="7" s="1"/>
  <c r="B30" i="7"/>
  <c r="B31" i="7"/>
  <c r="F41" i="7"/>
  <c r="D41" i="7"/>
  <c r="I32" i="7"/>
  <c r="I40" i="7" s="1"/>
  <c r="M32" i="7"/>
  <c r="M40" i="7" s="1"/>
  <c r="K32" i="7"/>
  <c r="K40" i="7" s="1"/>
  <c r="K12" i="4"/>
  <c r="K19" i="4" s="1"/>
  <c r="K20" i="4" s="1"/>
  <c r="L10" i="4"/>
  <c r="J32" i="6"/>
  <c r="J34" i="6" s="1"/>
  <c r="H37" i="6"/>
  <c r="I17" i="6"/>
  <c r="I18" i="6" s="1"/>
  <c r="I19" i="6" s="1"/>
  <c r="I26" i="6"/>
  <c r="I36" i="6" s="1"/>
  <c r="I37" i="6" s="1"/>
  <c r="J13" i="6"/>
  <c r="H21" i="6"/>
  <c r="H20" i="6"/>
  <c r="K29" i="6"/>
  <c r="K30" i="6" s="1"/>
  <c r="K25" i="6"/>
  <c r="J41" i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B32" i="7" l="1"/>
  <c r="B46" i="7"/>
  <c r="B48" i="7" s="1"/>
  <c r="B56" i="7" s="1"/>
  <c r="K38" i="7"/>
  <c r="K60" i="7" s="1"/>
  <c r="K56" i="7"/>
  <c r="K50" i="7"/>
  <c r="M50" i="7"/>
  <c r="M56" i="7"/>
  <c r="I38" i="7"/>
  <c r="I60" i="7" s="1"/>
  <c r="W80" i="7"/>
  <c r="W77" i="7"/>
  <c r="W82" i="7"/>
  <c r="W78" i="7"/>
  <c r="W81" i="7"/>
  <c r="W79" i="7"/>
  <c r="M38" i="7"/>
  <c r="M60" i="7" s="1"/>
  <c r="AA81" i="7"/>
  <c r="AA80" i="7"/>
  <c r="AA77" i="7"/>
  <c r="AA82" i="7"/>
  <c r="AA79" i="7"/>
  <c r="AA78" i="7"/>
  <c r="I50" i="7"/>
  <c r="I56" i="7"/>
  <c r="F61" i="7"/>
  <c r="F80" i="7" s="1"/>
  <c r="F59" i="7"/>
  <c r="D61" i="7"/>
  <c r="D77" i="7" s="1"/>
  <c r="D59" i="7"/>
  <c r="M41" i="7"/>
  <c r="K41" i="7"/>
  <c r="I41" i="7"/>
  <c r="B50" i="7"/>
  <c r="B40" i="7"/>
  <c r="L12" i="4"/>
  <c r="L19" i="4" s="1"/>
  <c r="L20" i="4" s="1"/>
  <c r="M10" i="4"/>
  <c r="K32" i="6"/>
  <c r="K34" i="6" s="1"/>
  <c r="I21" i="6"/>
  <c r="I20" i="6"/>
  <c r="K13" i="6"/>
  <c r="J17" i="6"/>
  <c r="J18" i="6" s="1"/>
  <c r="J19" i="6" s="1"/>
  <c r="J26" i="6"/>
  <c r="J36" i="6" s="1"/>
  <c r="J37" i="6" s="1"/>
  <c r="I8" i="3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F82" i="7" l="1"/>
  <c r="F79" i="7"/>
  <c r="F81" i="7"/>
  <c r="F78" i="7"/>
  <c r="F77" i="7"/>
  <c r="B60" i="7"/>
  <c r="D80" i="7"/>
  <c r="D79" i="7"/>
  <c r="D78" i="7"/>
  <c r="D82" i="7"/>
  <c r="D81" i="7"/>
  <c r="M61" i="7"/>
  <c r="M82" i="7" s="1"/>
  <c r="M59" i="7"/>
  <c r="K61" i="7"/>
  <c r="K81" i="7" s="1"/>
  <c r="K59" i="7"/>
  <c r="I61" i="7"/>
  <c r="I79" i="7" s="1"/>
  <c r="I59" i="7"/>
  <c r="K77" i="7"/>
  <c r="B41" i="7"/>
  <c r="M12" i="4"/>
  <c r="M19" i="4" s="1"/>
  <c r="M20" i="4" s="1"/>
  <c r="N10" i="4"/>
  <c r="K17" i="6"/>
  <c r="K18" i="6" s="1"/>
  <c r="K19" i="6" s="1"/>
  <c r="K26" i="6"/>
  <c r="J21" i="6"/>
  <c r="J20" i="6"/>
  <c r="L8" i="3"/>
  <c r="M8" i="3" s="1"/>
  <c r="D33" i="1"/>
  <c r="D42" i="1" s="1"/>
  <c r="D41" i="1"/>
  <c r="K79" i="7" l="1"/>
  <c r="K82" i="7"/>
  <c r="K80" i="7"/>
  <c r="I80" i="7"/>
  <c r="M79" i="7"/>
  <c r="I77" i="7"/>
  <c r="I82" i="7"/>
  <c r="M80" i="7"/>
  <c r="I81" i="7"/>
  <c r="I78" i="7"/>
  <c r="M81" i="7"/>
  <c r="M77" i="7"/>
  <c r="M78" i="7"/>
  <c r="K78" i="7"/>
  <c r="B61" i="7"/>
  <c r="B82" i="7" s="1"/>
  <c r="B59" i="7"/>
  <c r="K36" i="6"/>
  <c r="B39" i="6" s="1"/>
  <c r="O10" i="4"/>
  <c r="N12" i="4"/>
  <c r="N19" i="4" s="1"/>
  <c r="N20" i="4" s="1"/>
  <c r="K20" i="6"/>
  <c r="K21" i="6"/>
  <c r="B77" i="7" l="1"/>
  <c r="B79" i="7"/>
  <c r="B80" i="7"/>
  <c r="B78" i="7"/>
  <c r="B81" i="7"/>
  <c r="B40" i="6"/>
  <c r="K37" i="6"/>
  <c r="P10" i="4"/>
  <c r="O12" i="4"/>
  <c r="O19" i="4" s="1"/>
  <c r="O20" i="4" s="1"/>
  <c r="P12" i="4" l="1"/>
  <c r="P19" i="4" s="1"/>
  <c r="P20" i="4" s="1"/>
  <c r="Q10" i="4"/>
  <c r="R10" i="4" l="1"/>
  <c r="Q12" i="4"/>
  <c r="Q19" i="4" s="1"/>
  <c r="Q20" i="4" s="1"/>
  <c r="S10" i="4" l="1"/>
  <c r="R12" i="4"/>
  <c r="R19" i="4" s="1"/>
  <c r="R20" i="4" s="1"/>
  <c r="T10" i="4" l="1"/>
  <c r="S12" i="4"/>
  <c r="S19" i="4" s="1"/>
  <c r="S20" i="4" s="1"/>
  <c r="U10" i="4" l="1"/>
  <c r="T12" i="4"/>
  <c r="T19" i="4" s="1"/>
  <c r="T20" i="4" s="1"/>
  <c r="U12" i="4" l="1"/>
  <c r="U19" i="4" s="1"/>
  <c r="U20" i="4" s="1"/>
  <c r="V10" i="4"/>
  <c r="V12" i="4" l="1"/>
  <c r="V19" i="4" s="1"/>
  <c r="V20" i="4" s="1"/>
  <c r="W10" i="4"/>
  <c r="W12" i="4" l="1"/>
  <c r="W19" i="4" s="1"/>
  <c r="W20" i="4" s="1"/>
  <c r="X10" i="4"/>
  <c r="X12" i="4" l="1"/>
  <c r="X19" i="4" s="1"/>
  <c r="X20" i="4" s="1"/>
  <c r="Y10" i="4"/>
  <c r="Y12" i="4" l="1"/>
  <c r="Y19" i="4" s="1"/>
  <c r="Y20" i="4" s="1"/>
  <c r="Z10" i="4"/>
  <c r="AA10" i="4" s="1"/>
  <c r="AB10" i="4" l="1"/>
  <c r="AB12" i="4" s="1"/>
  <c r="AB19" i="4" s="1"/>
  <c r="AB20" i="4" s="1"/>
  <c r="AA12" i="4"/>
  <c r="AA19" i="4" s="1"/>
  <c r="AA20" i="4" s="1"/>
  <c r="Z12" i="4"/>
  <c r="Z19" i="4" s="1"/>
  <c r="Z20" i="4" s="1"/>
  <c r="P19" i="7"/>
  <c r="P25" i="7"/>
  <c r="P27" i="7" s="1"/>
  <c r="P31" i="7" l="1"/>
  <c r="P30" i="7"/>
  <c r="P32" i="7" s="1"/>
  <c r="P35" i="7"/>
  <c r="P36" i="7" s="1"/>
  <c r="P45" i="7" l="1"/>
  <c r="P38" i="7"/>
  <c r="P60" i="7" s="1"/>
  <c r="P46" i="7"/>
  <c r="P48" i="7" s="1"/>
  <c r="P40" i="7"/>
  <c r="P41" i="7" s="1"/>
  <c r="P56" i="7" l="1"/>
  <c r="P50" i="7"/>
  <c r="R25" i="7"/>
  <c r="R27" i="7" s="1"/>
  <c r="R35" i="7" l="1"/>
  <c r="R36" i="7" s="1"/>
  <c r="R31" i="7"/>
  <c r="R30" i="7"/>
  <c r="R32" i="7" s="1"/>
  <c r="P59" i="7"/>
  <c r="P61" i="7"/>
  <c r="R45" i="7" l="1"/>
  <c r="R46" i="7" s="1"/>
  <c r="R48" i="7" s="1"/>
  <c r="R38" i="7"/>
  <c r="R60" i="7" s="1"/>
  <c r="P81" i="7"/>
  <c r="P78" i="7"/>
  <c r="P82" i="7"/>
  <c r="P77" i="7"/>
  <c r="P80" i="7"/>
  <c r="P79" i="7"/>
  <c r="R56" i="7"/>
  <c r="R50" i="7"/>
  <c r="R40" i="7" l="1"/>
  <c r="R41" i="7" s="1"/>
  <c r="R61" i="7"/>
  <c r="R59" i="7" l="1"/>
  <c r="R77" i="7"/>
  <c r="R82" i="7"/>
  <c r="R81" i="7"/>
  <c r="R78" i="7"/>
  <c r="R80" i="7"/>
  <c r="R79" i="7"/>
  <c r="T25" i="7"/>
  <c r="T27" i="7"/>
  <c r="T35" i="7" l="1"/>
  <c r="T36" i="7" s="1"/>
  <c r="T31" i="7"/>
  <c r="T30" i="7"/>
  <c r="T32" i="7" l="1"/>
  <c r="T38" i="7"/>
  <c r="T45" i="7"/>
  <c r="T46" i="7" s="1"/>
  <c r="T48" i="7" s="1"/>
  <c r="T56" i="7" s="1"/>
  <c r="T40" i="7"/>
  <c r="T50" i="7" l="1"/>
  <c r="T60" i="7"/>
  <c r="T61" i="7" s="1"/>
  <c r="T41" i="7"/>
  <c r="T59" i="7" l="1"/>
  <c r="T78" i="7"/>
  <c r="T80" i="7"/>
  <c r="T82" i="7"/>
  <c r="T79" i="7"/>
  <c r="T81" i="7"/>
  <c r="T77" i="7"/>
</calcChain>
</file>

<file path=xl/sharedStrings.xml><?xml version="1.0" encoding="utf-8"?>
<sst xmlns="http://schemas.openxmlformats.org/spreadsheetml/2006/main" count="1073" uniqueCount="248">
  <si>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</si>
  <si>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</si>
  <si>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</si>
  <si>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</si>
  <si>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</si>
  <si>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</si>
  <si>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</si>
  <si>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</si>
  <si>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</si>
  <si>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</si>
  <si>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</si>
  <si>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</si>
  <si>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</si>
  <si>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</si>
  <si>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</si>
  <si>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</si>
  <si>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</si>
  <si>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</si>
  <si>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</si>
  <si>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</si>
  <si>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</si>
  <si>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</si>
  <si>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</si>
  <si>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</si>
  <si>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</si>
  <si>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</si>
  <si>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</si>
  <si>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</si>
  <si>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</si>
  <si>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</si>
  <si>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</si>
  <si>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</si>
  <si>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</si>
  <si>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</si>
  <si>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</si>
  <si>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</si>
  <si>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</si>
  <si>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</si>
  <si>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</si>
  <si>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</si>
  <si>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</si>
  <si>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</si>
  <si>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</si>
  <si>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</si>
  <si>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</si>
  <si>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</si>
  <si>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</si>
  <si>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</si>
  <si>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</si>
  <si>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</si>
  <si>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</si>
  <si>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</si>
  <si>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</si>
  <si>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</si>
  <si>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</si>
  <si>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</si>
  <si>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</si>
  <si>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</si>
  <si>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</si>
  <si>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</si>
  <si>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</si>
  <si>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</si>
  <si>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</si>
  <si>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</si>
  <si>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</si>
  <si>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</si>
  <si>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</si>
  <si>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</si>
  <si>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</si>
  <si>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</si>
  <si>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</si>
  <si>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</si>
  <si>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</si>
  <si>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</si>
  <si>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</si>
  <si>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</si>
  <si>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</si>
  <si>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</si>
  <si>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</si>
  <si>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</si>
  <si>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</si>
  <si>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</si>
  <si>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</si>
  <si>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</si>
  <si>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</si>
  <si>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</si>
  <si>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</si>
  <si>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</si>
  <si>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</si>
  <si>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</si>
  <si>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</si>
  <si>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</si>
  <si>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</si>
  <si>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</si>
  <si>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</si>
  <si>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</si>
  <si>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</si>
  <si>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</si>
  <si>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</si>
  <si>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</si>
  <si>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</si>
  <si>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</si>
  <si>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</si>
  <si>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</si>
  <si>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</si>
  <si>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</si>
  <si>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</si>
  <si>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</si>
  <si>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</si>
  <si>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</si>
  <si>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</si>
  <si>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</si>
  <si>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</si>
  <si>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</si>
  <si>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</si>
  <si>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</si>
  <si>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</si>
  <si>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</si>
  <si>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</si>
  <si>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</si>
  <si>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</si>
  <si>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</si>
  <si>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</si>
  <si>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</si>
  <si>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</si>
  <si>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</si>
  <si>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</si>
  <si>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</si>
  <si>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Battery Input needs per orbit (kWh)</t>
  </si>
  <si>
    <t>battery size (kg)</t>
  </si>
  <si>
    <t>Li-ion Energy Density (W/kg)</t>
  </si>
  <si>
    <t>Orbit Period</t>
  </si>
  <si>
    <t>Contact Time</t>
  </si>
  <si>
    <t>Laser Power Output</t>
  </si>
  <si>
    <t>kW of laser power</t>
  </si>
  <si>
    <t>Numer of Lasers</t>
  </si>
  <si>
    <t>km</t>
  </si>
  <si>
    <t>Orbit Altitude</t>
  </si>
  <si>
    <t>ESA laser study</t>
  </si>
  <si>
    <t>Satellite EPS Eff</t>
  </si>
  <si>
    <t>Vehicle EPS eff</t>
  </si>
  <si>
    <t>Laser Panel eff</t>
  </si>
  <si>
    <t>minimum elevation</t>
  </si>
  <si>
    <t>maximum elevation</t>
  </si>
  <si>
    <t>ideal case (flyover)</t>
  </si>
  <si>
    <t>worst case (perpendicular flight)</t>
  </si>
  <si>
    <t>range</t>
  </si>
  <si>
    <t>moon radius</t>
  </si>
  <si>
    <t>rho</t>
  </si>
  <si>
    <t>elevation</t>
  </si>
  <si>
    <t>orbit altitude</t>
  </si>
  <si>
    <t>nadir</t>
  </si>
  <si>
    <t>lambda</t>
  </si>
  <si>
    <t>receiver diameter</t>
  </si>
  <si>
    <t>cm</t>
  </si>
  <si>
    <t>effective area</t>
  </si>
  <si>
    <t>receiver area</t>
  </si>
  <si>
    <r>
      <t>𝜋</t>
    </r>
    <r>
      <rPr>
        <sz val="14"/>
        <color rgb="FF232629"/>
        <rFont val="STIXGeneral-Regular"/>
      </rPr>
      <t>∗</t>
    </r>
    <r>
      <rPr>
        <sz val="14"/>
        <color rgb="FF232629"/>
        <rFont val="STIXGeneral-Italic"/>
      </rPr>
      <t>𝑟</t>
    </r>
    <r>
      <rPr>
        <sz val="14"/>
        <color rgb="FF232629"/>
        <rFont val="STIXGeneral-Regular"/>
      </rPr>
      <t>2∗cos</t>
    </r>
    <r>
      <rPr>
        <sz val="14"/>
        <color rgb="FF232629"/>
        <rFont val="STIXGeneral-Italic"/>
      </rPr>
      <t>𝜃</t>
    </r>
  </si>
  <si>
    <t>𝜃=90-elev</t>
  </si>
  <si>
    <t>error tolerance</t>
  </si>
  <si>
    <t>(beam dia - rec diam) / 2</t>
  </si>
  <si>
    <t>pointing accuracy tolerance</t>
  </si>
  <si>
    <t>urad</t>
  </si>
  <si>
    <t>https://www.mdpi.com/2413-4155/3/1/4#:~:text=hundred%20kilometers%20away.-,3.2.2,-.%20Acquisition%2C%20Tracking%2C%20and</t>
  </si>
  <si>
    <t>atan(error tol/range)</t>
  </si>
  <si>
    <t>ideal alignment</t>
  </si>
  <si>
    <t>misaligned by (beam dia - rcv dia)/2</t>
  </si>
  <si>
    <t>initial beam diameter</t>
  </si>
  <si>
    <t>beam diameter at rcvr</t>
  </si>
  <si>
    <t>assume columnated?</t>
  </si>
  <si>
    <t>eff rcvr area/beam area</t>
  </si>
  <si>
    <t>beam area at rcvr</t>
  </si>
  <si>
    <t>required pointing accuracy</t>
  </si>
  <si>
    <t xml:space="preserve">need to consider elevations greater than 30 deg to get 90%+ efficiency </t>
  </si>
  <si>
    <t>this graph not accounted for in calculations</t>
  </si>
  <si>
    <t>laser panel eff (0 deg)</t>
  </si>
  <si>
    <t>elevation + beam diameter adjustment</t>
  </si>
  <si>
    <t>overall adjusted eff</t>
  </si>
  <si>
    <t>assume 45 deg elevation for beam time</t>
  </si>
  <si>
    <t>Duty Cycle</t>
  </si>
  <si>
    <t>select 45 deg elevation min</t>
  </si>
  <si>
    <t>Laser Duty Cycle</t>
  </si>
  <si>
    <t>avg pointing eff</t>
  </si>
  <si>
    <t>Total Laser Power Production (kW)</t>
  </si>
  <si>
    <t>max pointing eff</t>
  </si>
  <si>
    <t>Panel Input Power Reqt (kW)</t>
  </si>
  <si>
    <t>Pointing Eff</t>
  </si>
  <si>
    <t>Laser Panel Eff</t>
  </si>
  <si>
    <t>Veh EPS Eff</t>
  </si>
  <si>
    <t>Laser Panel Output (kW)</t>
  </si>
  <si>
    <t>Total Power Delivered/day (kWh)</t>
  </si>
  <si>
    <t>Cont. Surface Power Provided (W)</t>
  </si>
  <si>
    <t>Max Intensity at Vehicle (kW/m2)</t>
  </si>
  <si>
    <t>Max Allowable Intensity at Vehicle (kW/m2)</t>
  </si>
  <si>
    <t>Required Number of Beams</t>
  </si>
  <si>
    <t>older analysis -----------------</t>
  </si>
  <si>
    <t>Total Laser Power (kW)</t>
  </si>
  <si>
    <t>Laser Output to Laser Panel Output Eff</t>
  </si>
  <si>
    <t>min elevation</t>
  </si>
  <si>
    <t>range at min elevation</t>
  </si>
  <si>
    <t>effective area at min elevation</t>
  </si>
  <si>
    <t xml:space="preserve"> pointing error tolerance</t>
  </si>
  <si>
    <t>nrad</t>
  </si>
  <si>
    <t>High Orbit</t>
  </si>
  <si>
    <t>Low Orbit</t>
  </si>
  <si>
    <t>pointing error at min elevation</t>
  </si>
  <si>
    <t>kW/m2</t>
  </si>
  <si>
    <t>max allowable intensity at receiver</t>
  </si>
  <si>
    <t>vehicle EPS efficiency</t>
  </si>
  <si>
    <t>satellite laser duty cycle</t>
  </si>
  <si>
    <t>Beam time/orbit</t>
  </si>
  <si>
    <t xml:space="preserve">Beam time/day </t>
  </si>
  <si>
    <t>hrs</t>
  </si>
  <si>
    <t>kWh</t>
  </si>
  <si>
    <t>W</t>
  </si>
  <si>
    <t>weighted avergage laser panel efficiency</t>
  </si>
  <si>
    <t>Cont. Surface Power Provided / Laser</t>
  </si>
  <si>
    <t xml:space="preserve"> min elevation for beam</t>
  </si>
  <si>
    <t>Lasers per Satellite</t>
  </si>
  <si>
    <t>W/kg</t>
  </si>
  <si>
    <t>Satellites in Fleet</t>
  </si>
  <si>
    <t>Euro/kg</t>
  </si>
  <si>
    <t>total fleet cost to orbit</t>
  </si>
  <si>
    <t>Cost per kWh year 1</t>
  </si>
  <si>
    <t>Euro/kWh</t>
  </si>
  <si>
    <t>Cost per kWh year 2</t>
  </si>
  <si>
    <t>Cost per kWh year 3</t>
  </si>
  <si>
    <t>Cost per kWh year 4</t>
  </si>
  <si>
    <t>Cost per kWh year 5</t>
  </si>
  <si>
    <t>Cost per kWh year 10</t>
  </si>
  <si>
    <t>Beam Energy needs per orbit (kWh)</t>
  </si>
  <si>
    <t xml:space="preserve">beam diameter at rcvr </t>
  </si>
  <si>
    <t>initial beam diameter (columnated)</t>
  </si>
  <si>
    <t>mass of spacecraft (no payload)</t>
  </si>
  <si>
    <t>beam diameter adjustment (min elevation)</t>
  </si>
  <si>
    <t>beam diameter adjustment (90 deg)</t>
  </si>
  <si>
    <t xml:space="preserve">laser panel base eff </t>
  </si>
  <si>
    <t>max overall panel eff</t>
  </si>
  <si>
    <t>avg overall pointing eff</t>
  </si>
  <si>
    <t>select pointing eff (avg eff above 45 deg)</t>
  </si>
  <si>
    <t>select beam and rcvr diameter to allow urad pointing accuracy (beam dia = recvr diam + pointing error)</t>
  </si>
  <si>
    <t>Total Power Delivered/day/laser (billable kWh)</t>
  </si>
  <si>
    <t>Total Power Delivered/day/laser (usable kWh)</t>
  </si>
  <si>
    <t>kWh/day delivery capacity (billable kWh)</t>
  </si>
  <si>
    <t>kWh/year delivery capacity (billable kWh)</t>
  </si>
  <si>
    <t>Cont. Surface Power Provided (billable kWh)</t>
  </si>
  <si>
    <t>max laser output power at satellite</t>
  </si>
  <si>
    <t>selected laser output power at satellite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</si>
</sst>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32629"/>
      <name val="STIXGeneral-Italic"/>
    </font>
    <font>
      <sz val="14"/>
      <color rgb="FF232629"/>
      <name val="STIXGeneral-Regula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0" xfId="0" applyNumberFormat="1" applyFill="1"/>
    <xf numFmtId="9" fontId="0" fillId="5" borderId="6" xfId="0" applyNumberFormat="1" applyFill="1" applyBorder="1"/>
    <xf numFmtId="2" fontId="0" fillId="0" borderId="0" xfId="0" applyNumberFormat="1" applyAlignment="1">
      <alignment horizontal="right"/>
    </xf>
    <xf numFmtId="0" fontId="8" fillId="0" borderId="0" xfId="0" applyFont="1"/>
    <xf numFmtId="2" fontId="0" fillId="2" borderId="0" xfId="0" applyNumberFormat="1" applyFill="1"/>
    <xf numFmtId="9" fontId="0" fillId="5" borderId="0" xfId="1" applyFont="1" applyFill="1"/>
    <xf numFmtId="1" fontId="0" fillId="2" borderId="0" xfId="0" applyNumberFormat="1" applyFill="1"/>
    <xf numFmtId="9" fontId="0" fillId="5" borderId="6" xfId="1" applyFont="1" applyFill="1" applyBorder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9" fontId="0" fillId="2" borderId="0" xfId="1" applyFont="1" applyFill="1"/>
    <xf numFmtId="9" fontId="0" fillId="0" borderId="9" xfId="1" applyFont="1" applyBorder="1"/>
    <xf numFmtId="0" fontId="6" fillId="0" borderId="4" xfId="0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164" fontId="10" fillId="0" borderId="2" xfId="0" applyNumberFormat="1" applyFont="1" applyBorder="1"/>
    <xf numFmtId="164" fontId="10" fillId="0" borderId="3" xfId="0" applyNumberFormat="1" applyFont="1" applyBorder="1"/>
    <xf numFmtId="164" fontId="6" fillId="0" borderId="4" xfId="0" applyNumberFormat="1" applyFont="1" applyBorder="1"/>
    <xf numFmtId="164" fontId="10" fillId="2" borderId="0" xfId="0" applyNumberFormat="1" applyFont="1" applyFill="1"/>
    <xf numFmtId="164" fontId="6" fillId="0" borderId="0" xfId="0" applyNumberFormat="1" applyFont="1"/>
    <xf numFmtId="1" fontId="0" fillId="2" borderId="0" xfId="0" applyNumberFormat="1" applyFill="1" applyAlignment="1">
      <alignment horizontal="right"/>
    </xf>
    <xf numFmtId="0" fontId="0" fillId="0" borderId="3" xfId="0" applyBorder="1"/>
    <xf numFmtId="0" fontId="0" fillId="0" borderId="4" xfId="0" applyBorder="1"/>
    <xf numFmtId="164" fontId="0" fillId="2" borderId="0" xfId="0" applyNumberFormat="1" applyFill="1"/>
    <xf numFmtId="164" fontId="0" fillId="0" borderId="3" xfId="0" applyNumberFormat="1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/>
    <xf numFmtId="1" fontId="0" fillId="0" borderId="3" xfId="0" applyNumberFormat="1" applyBorder="1" applyAlignment="1">
      <alignment horizontal="right"/>
    </xf>
    <xf numFmtId="1" fontId="0" fillId="0" borderId="4" xfId="0" applyNumberFormat="1" applyBorder="1"/>
    <xf numFmtId="1" fontId="0" fillId="0" borderId="2" xfId="0" applyNumberFormat="1" applyBorder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2" borderId="0" xfId="0" applyFont="1" applyFill="1"/>
    <xf numFmtId="0" fontId="0" fillId="0" borderId="2" xfId="0" applyBorder="1"/>
    <xf numFmtId="0" fontId="6" fillId="0" borderId="3" xfId="0" applyFont="1" applyBorder="1"/>
    <xf numFmtId="0" fontId="6" fillId="0" borderId="2" xfId="0" applyFont="1" applyBorder="1"/>
    <xf numFmtId="1" fontId="6" fillId="0" borderId="2" xfId="0" applyNumberFormat="1" applyFont="1" applyBorder="1"/>
    <xf numFmtId="1" fontId="6" fillId="0" borderId="3" xfId="0" applyNumberFormat="1" applyFont="1" applyBorder="1"/>
    <xf numFmtId="1" fontId="6" fillId="0" borderId="0" xfId="0" applyNumberFormat="1" applyFont="1"/>
    <xf numFmtId="0" fontId="0" fillId="8" borderId="0" xfId="0" applyFill="1"/>
    <xf numFmtId="9" fontId="0" fillId="8" borderId="0" xfId="0" applyNumberFormat="1" applyFill="1"/>
    <xf numFmtId="164" fontId="0" fillId="8" borderId="2" xfId="0" applyNumberFormat="1" applyFill="1" applyBorder="1"/>
    <xf numFmtId="164" fontId="0" fillId="8" borderId="0" xfId="0" applyNumberFormat="1" applyFill="1"/>
    <xf numFmtId="0" fontId="6" fillId="9" borderId="0" xfId="0" applyFont="1" applyFill="1"/>
    <xf numFmtId="0" fontId="6" fillId="8" borderId="0" xfId="0" applyFont="1" applyFill="1"/>
    <xf numFmtId="9" fontId="0" fillId="0" borderId="0" xfId="1" applyFont="1" applyFill="1"/>
    <xf numFmtId="2" fontId="0" fillId="10" borderId="2" xfId="0" applyNumberFormat="1" applyFill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10" borderId="3" xfId="0" applyNumberFormat="1" applyFill="1" applyBorder="1"/>
    <xf numFmtId="9" fontId="0" fillId="0" borderId="4" xfId="0" applyNumberFormat="1" applyBorder="1"/>
    <xf numFmtId="9" fontId="0" fillId="0" borderId="0" xfId="0" applyNumberFormat="1"/>
    <xf numFmtId="0" fontId="0" fillId="0" borderId="0" xfId="0" applyAlignment="1">
      <alignment horizontal="left" wrapText="1"/>
    </xf>
    <xf numFmtId="0" fontId="4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  <a:r>
              <a:rPr lang="en-US" baseline="0"/>
              <a:t> Angle and Beam Diameter Eficiency</a:t>
            </a:r>
            <a:endParaRPr lang="en-US"/>
          </a:p>
        </c:rich>
      </c:tx>
      <c:layout>
        <c:manualLayout>
          <c:xMode val="edge"/>
          <c:yMode val="edge"/>
          <c:x val="0.13860693155929765"/>
          <c:y val="2.508361204013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'Pointing Eff Acc'!$C$36</c:f>
              <c:strCache>
                <c:ptCount val="1"/>
                <c:pt idx="0">
                  <c:v>elevation + beam diameter adjustment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Acc'!$F$14:$K$14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 formatCode="0">
                  <c:v>89.9</c:v>
                </c:pt>
              </c:numCache>
            </c:numRef>
          </c:cat>
          <c:val>
            <c:numRef>
              <c:f>'Pointing Eff Acc'!$F$36:$K$36</c:f>
              <c:numCache>
                <c:formatCode>0.00</c:formatCode>
                <c:ptCount val="6"/>
                <c:pt idx="0">
                  <c:v>6.260068277137025E-2</c:v>
                </c:pt>
                <c:pt idx="1">
                  <c:v>0.12093523246439128</c:v>
                </c:pt>
                <c:pt idx="2">
                  <c:v>0.17102824591988519</c:v>
                </c:pt>
                <c:pt idx="3">
                  <c:v>0.20946596705347884</c:v>
                </c:pt>
                <c:pt idx="4">
                  <c:v>0.23362892869125543</c:v>
                </c:pt>
                <c:pt idx="5">
                  <c:v>0.24187009653909139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A-B241-BDD5-A7F629071786}"/>
            </c:ext>
          </c:extLst>
        </c:ser>
        <c:ser>
          <c:idx val="1"/>
          <c:order val="1"/>
          <c:tx>
            <c:strRef>
              <c:f>'Pointing Eff Acc'!$C$37</c:f>
              <c:strCache>
                <c:ptCount val="1"/>
                <c:pt idx="0">
                  <c:v>overall adjusted 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Acc'!$F$14:$K$14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 formatCode="0">
                  <c:v>89.9</c:v>
                </c:pt>
              </c:numCache>
            </c:numRef>
          </c:cat>
          <c:val>
            <c:numRef>
              <c:f>'Pointing Eff Acc'!$F$37:$K$37</c:f>
              <c:numCache>
                <c:formatCode>0.00</c:formatCode>
                <c:ptCount val="6"/>
                <c:pt idx="0">
                  <c:v>3.1300341385685125E-2</c:v>
                </c:pt>
                <c:pt idx="1">
                  <c:v>6.046761623219564E-2</c:v>
                </c:pt>
                <c:pt idx="2">
                  <c:v>8.5514122959942596E-2</c:v>
                </c:pt>
                <c:pt idx="3">
                  <c:v>0.10473298352673942</c:v>
                </c:pt>
                <c:pt idx="4">
                  <c:v>0.11681446434562771</c:v>
                </c:pt>
                <c:pt idx="5">
                  <c:v>0.12093504826954569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A-B241-BDD5-A7F6290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2191"/>
        <c:axId val="366623839"/>
      </c:lineChart>
      <c:catAx>
        <c:axId val="3666221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elevaion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3839"/>
        <c:crosses val="autoZero"/>
        <c:auto val="1"/>
        <c:lblAlgn val="ctr"/>
        <c:lblOffset val="100"/>
        <c:noMultiLvlLbl val="0"/>
      </c:catAx>
      <c:valAx>
        <c:axId val="366623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0555555555556"/>
          <c:y val="0.17168999708369787"/>
          <c:w val="0.85663888888888884"/>
          <c:h val="0.64652631962671325"/>
        </c:manualLayout>
      </c:layout>
      <c:lineChart>
        <c:grouping val="standard"/>
        <c:varyColors val="0"/>
        <c:ser>
          <c:idx val="0"/>
          <c:order val="0"/>
          <c:tx>
            <c:strRef>
              <c:f>'Laser Count Analysis'!$C$24</c:f>
              <c:strCache>
                <c:ptCount val="1"/>
                <c:pt idx="0">
                  <c:v>Required Number of Beams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'Laser Count Analysis'!$D$7:$AB$7</c:f>
              <c:numCache>
                <c:formatCode>0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'Laser Count Analysis'!$D$24:$AB$24</c:f>
              <c:numCache>
                <c:formatCode>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8-3443-AF1D-006BAC5E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33392"/>
        <c:axId val="2141740416"/>
      </c:lineChart>
      <c:catAx>
        <c:axId val="2142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 of Laser</a:t>
                </a:r>
                <a:r>
                  <a:rPr lang="en-US" baseline="0"/>
                  <a:t> Power on Satellite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838591244698684"/>
              <c:y val="0.90182240746108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40416"/>
        <c:crosses val="autoZero"/>
        <c:auto val="1"/>
        <c:lblAlgn val="ctr"/>
        <c:lblOffset val="100"/>
        <c:noMultiLvlLbl val="0"/>
      </c:catAx>
      <c:valAx>
        <c:axId val="2141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547389909594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94041208626933"/>
          <c:y val="0.64411927675707203"/>
          <c:w val="0.35354005834794128"/>
          <c:h val="5.830724159655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3888888888889"/>
          <c:y val="0.17168999708369787"/>
          <c:w val="0.83130555555555552"/>
          <c:h val="0.65578557888597255"/>
        </c:manualLayout>
      </c:layout>
      <c:lineChart>
        <c:grouping val="standard"/>
        <c:varyColors val="0"/>
        <c:ser>
          <c:idx val="1"/>
          <c:order val="0"/>
          <c:tx>
            <c:strRef>
              <c:f>'Laser Count Analysis'!$C$20</c:f>
              <c:strCache>
                <c:ptCount val="1"/>
                <c:pt idx="0">
                  <c:v>Cont. Surface Power Provided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'Laser Count Analysis'!$D$7:$AB$7</c:f>
              <c:numCache>
                <c:formatCode>0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'Laser Count Analysis'!$D$20:$AB$20</c:f>
              <c:numCache>
                <c:formatCode>0.0</c:formatCode>
                <c:ptCount val="25"/>
                <c:pt idx="0">
                  <c:v>10.200000000000001</c:v>
                </c:pt>
                <c:pt idx="1">
                  <c:v>20.400000000000002</c:v>
                </c:pt>
                <c:pt idx="2">
                  <c:v>30.599999999999998</c:v>
                </c:pt>
                <c:pt idx="3">
                  <c:v>40.800000000000004</c:v>
                </c:pt>
                <c:pt idx="4">
                  <c:v>51</c:v>
                </c:pt>
                <c:pt idx="5">
                  <c:v>61.199999999999996</c:v>
                </c:pt>
                <c:pt idx="6">
                  <c:v>71.400000000000006</c:v>
                </c:pt>
                <c:pt idx="7">
                  <c:v>81.600000000000009</c:v>
                </c:pt>
                <c:pt idx="8">
                  <c:v>91.8</c:v>
                </c:pt>
                <c:pt idx="9">
                  <c:v>102</c:v>
                </c:pt>
                <c:pt idx="10">
                  <c:v>112.2</c:v>
                </c:pt>
                <c:pt idx="11">
                  <c:v>122.39999999999999</c:v>
                </c:pt>
                <c:pt idx="12">
                  <c:v>132.6</c:v>
                </c:pt>
                <c:pt idx="13">
                  <c:v>142.80000000000001</c:v>
                </c:pt>
                <c:pt idx="14">
                  <c:v>153</c:v>
                </c:pt>
                <c:pt idx="15">
                  <c:v>163.20000000000002</c:v>
                </c:pt>
                <c:pt idx="16">
                  <c:v>173.4</c:v>
                </c:pt>
                <c:pt idx="17">
                  <c:v>183.6</c:v>
                </c:pt>
                <c:pt idx="18">
                  <c:v>193.8</c:v>
                </c:pt>
                <c:pt idx="19">
                  <c:v>204</c:v>
                </c:pt>
                <c:pt idx="20">
                  <c:v>214.19999999999996</c:v>
                </c:pt>
                <c:pt idx="21">
                  <c:v>224.4</c:v>
                </c:pt>
                <c:pt idx="22">
                  <c:v>234.6</c:v>
                </c:pt>
                <c:pt idx="23">
                  <c:v>244.79999999999998</c:v>
                </c:pt>
                <c:pt idx="2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A-9C48-9ED2-FA231372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33392"/>
        <c:axId val="2141740416"/>
      </c:lineChart>
      <c:catAx>
        <c:axId val="2142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 of</a:t>
                </a:r>
                <a:r>
                  <a:rPr lang="en-US" baseline="0"/>
                  <a:t> Laser Power on Satellite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05624133403072"/>
              <c:y val="0.91799397746925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40416"/>
        <c:crosses val="autoZero"/>
        <c:auto val="1"/>
        <c:lblAlgn val="ctr"/>
        <c:lblOffset val="100"/>
        <c:noMultiLvlLbl val="0"/>
      </c:catAx>
      <c:valAx>
        <c:axId val="2141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Power Provided (Watts)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18526574803149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80344762901063"/>
          <c:y val="0.62560075823855354"/>
          <c:w val="0.4952185039370078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Sizing'!$B$15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Sizing'!$C$15:$F$15</c:f>
              <c:numCache>
                <c:formatCode>0.0</c:formatCode>
                <c:ptCount val="4"/>
                <c:pt idx="0">
                  <c:v>120.66365007541479</c:v>
                </c:pt>
                <c:pt idx="1">
                  <c:v>241.32730015082959</c:v>
                </c:pt>
                <c:pt idx="2">
                  <c:v>361.99095022624437</c:v>
                </c:pt>
                <c:pt idx="3">
                  <c:v>482.65460030165917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Sizing'!$B$22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Sizing'!$C$22:$F$22</c:f>
              <c:numCache>
                <c:formatCode>0.0</c:formatCode>
                <c:ptCount val="4"/>
                <c:pt idx="0">
                  <c:v>18.279708095911342</c:v>
                </c:pt>
                <c:pt idx="1">
                  <c:v>36.559416191822685</c:v>
                </c:pt>
                <c:pt idx="2">
                  <c:v>54.839124287734023</c:v>
                </c:pt>
                <c:pt idx="3">
                  <c:v>73.118832383645369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Fleet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Laser per Spacecraft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'Fleet cost analysis'!$C$23:$J$23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'Fleet cost analysis'!$C$21:$J$21</c:f>
              <c:numCache>
                <c:formatCode>0</c:formatCode>
                <c:ptCount val="8"/>
                <c:pt idx="0">
                  <c:v>206</c:v>
                </c:pt>
                <c:pt idx="1">
                  <c:v>412</c:v>
                </c:pt>
                <c:pt idx="2">
                  <c:v>618</c:v>
                </c:pt>
                <c:pt idx="3">
                  <c:v>824</c:v>
                </c:pt>
                <c:pt idx="4">
                  <c:v>1030</c:v>
                </c:pt>
                <c:pt idx="5">
                  <c:v>1236</c:v>
                </c:pt>
                <c:pt idx="6">
                  <c:v>1442</c:v>
                </c:pt>
                <c:pt idx="7">
                  <c:v>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1-7B4C-8C63-B6EAE82202BE}"/>
            </c:ext>
          </c:extLst>
        </c:ser>
        <c:ser>
          <c:idx val="1"/>
          <c:order val="1"/>
          <c:tx>
            <c:v>2 Lasers per Spacecraft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'Fleet cost analysis'!$K$23:$R$23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'Fleet cost analysis'!$K$21:$R$21</c:f>
              <c:numCache>
                <c:formatCode>0</c:formatCode>
                <c:ptCount val="8"/>
                <c:pt idx="0">
                  <c:v>258</c:v>
                </c:pt>
                <c:pt idx="1">
                  <c:v>516</c:v>
                </c:pt>
                <c:pt idx="2">
                  <c:v>774</c:v>
                </c:pt>
                <c:pt idx="3">
                  <c:v>1032</c:v>
                </c:pt>
                <c:pt idx="4">
                  <c:v>1290</c:v>
                </c:pt>
                <c:pt idx="5">
                  <c:v>1548</c:v>
                </c:pt>
                <c:pt idx="6">
                  <c:v>1806</c:v>
                </c:pt>
                <c:pt idx="7">
                  <c:v>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1-7B4C-8C63-B6EAE822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3552"/>
        <c:axId val="2123217744"/>
      </c:scatterChart>
      <c:valAx>
        <c:axId val="21230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Lasser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17744"/>
        <c:crosses val="autoZero"/>
        <c:crossBetween val="midCat"/>
      </c:valAx>
      <c:valAx>
        <c:axId val="2123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Fleet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Laser per Spacecraft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'Fleet cost analysis'!$C$23:$J$23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'Fleet cost analysis'!$C$30:$J$30</c:f>
              <c:numCache>
                <c:formatCode>0</c:formatCode>
                <c:ptCount val="8"/>
                <c:pt idx="0">
                  <c:v>840.95999999999992</c:v>
                </c:pt>
                <c:pt idx="1">
                  <c:v>1681.9199999999998</c:v>
                </c:pt>
                <c:pt idx="2">
                  <c:v>2522.88</c:v>
                </c:pt>
                <c:pt idx="3">
                  <c:v>3363.8399999999997</c:v>
                </c:pt>
                <c:pt idx="4">
                  <c:v>4204.8</c:v>
                </c:pt>
                <c:pt idx="5">
                  <c:v>5045.76</c:v>
                </c:pt>
                <c:pt idx="6">
                  <c:v>5886.72</c:v>
                </c:pt>
                <c:pt idx="7">
                  <c:v>6727.6799999999994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5-F04C-9CCD-31F26B6ECB5F}"/>
            </c:ext>
          </c:extLst>
        </c:ser>
        <c:ser>
          <c:idx val="1"/>
          <c:order val="1"/>
          <c:tx>
            <c:v>2 Lasers per Spacecraft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'Fleet cost analysis'!$K$23:$R$23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'Fleet cost analysis'!$K$30:$R$30</c:f>
              <c:numCache>
                <c:formatCode>0</c:formatCode>
                <c:ptCount val="8"/>
                <c:pt idx="0">
                  <c:v>1681.9199999999998</c:v>
                </c:pt>
                <c:pt idx="1">
                  <c:v>3363.8399999999997</c:v>
                </c:pt>
                <c:pt idx="2">
                  <c:v>5045.76</c:v>
                </c:pt>
                <c:pt idx="3">
                  <c:v>6727.6799999999994</c:v>
                </c:pt>
                <c:pt idx="4">
                  <c:v>8409.6</c:v>
                </c:pt>
                <c:pt idx="5">
                  <c:v>10091.52</c:v>
                </c:pt>
                <c:pt idx="6">
                  <c:v>11773.44</c:v>
                </c:pt>
                <c:pt idx="7">
                  <c:v>13455.359999999999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5-F04C-9CCD-31F26B6E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3552"/>
        <c:axId val="2123217744"/>
      </c:scatterChart>
      <c:valAx>
        <c:axId val="21230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Lasser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17744"/>
        <c:crosses val="autoZero"/>
        <c:crossBetween val="midCat"/>
      </c:valAx>
      <c:valAx>
        <c:axId val="2123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kWh/yr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39</xdr:row>
      <xdr:rowOff>152400</xdr:rowOff>
    </xdr:from>
    <xdr:to>
      <xdr:col>15</xdr:col>
      <xdr:colOff>172720</xdr:colOff>
      <xdr:row>43</xdr:row>
      <xdr:rowOff>132080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992CF1C-AF6E-414E-B9AF-252A9066BF33}"/>
            </a:ext>
          </a:extLst>
        </xdr:cNvPr>
        <xdr:cNvSpPr/>
      </xdr:nvSpPr>
      <xdr:spPr>
        <a:xfrm>
          <a:off x="6350000" y="722376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 editAs="oneCell">
    <xdr:from>
      <xdr:col>14</xdr:col>
      <xdr:colOff>30480</xdr:colOff>
      <xdr:row>11</xdr:row>
      <xdr:rowOff>82066</xdr:rowOff>
    </xdr:from>
    <xdr:to>
      <xdr:col>16</xdr:col>
      <xdr:colOff>728980</xdr:colOff>
      <xdr:row>15</xdr:row>
      <xdr:rowOff>27939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2A9BF-5D26-6FAA-C4B0-7EC3F2F9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2012466"/>
          <a:ext cx="2344420" cy="718033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0</xdr:row>
      <xdr:rowOff>0</xdr:rowOff>
    </xdr:from>
    <xdr:to>
      <xdr:col>26</xdr:col>
      <xdr:colOff>274320</xdr:colOff>
      <xdr:row>14</xdr:row>
      <xdr:rowOff>144271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D2D51-F994-6966-9DD4-F0632CC6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1520" y="0"/>
          <a:ext cx="5425440" cy="2846831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</xdr:colOff>
      <xdr:row>7</xdr:row>
      <xdr:rowOff>175602</xdr:rowOff>
    </xdr:from>
    <xdr:to>
      <xdr:col>19</xdr:col>
      <xdr:colOff>424180</xdr:colOff>
      <xdr:row>15</xdr:row>
      <xdr:rowOff>2539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ABDD4-1634-BC7E-0556-D50526D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7440" y="1526882"/>
          <a:ext cx="1978660" cy="1371257"/>
        </a:xfrm>
        <a:prstGeom prst="rect">
          <a:avLst/>
        </a:prstGeom>
      </xdr:spPr>
    </xdr:pic>
    <xdr:clientData/>
  </xdr:twoCellAnchor>
  <xdr:twoCellAnchor editAs="oneCell">
    <xdr:from>
      <xdr:col>17</xdr:col>
      <xdr:colOff>81280</xdr:colOff>
      <xdr:row>15</xdr:row>
      <xdr:rowOff>186112</xdr:rowOff>
    </xdr:from>
    <xdr:to>
      <xdr:col>20</xdr:col>
      <xdr:colOff>289560</xdr:colOff>
      <xdr:row>17</xdr:row>
      <xdr:rowOff>165099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FD0C39-5A84-4BC2-AA67-E06FC5A1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7280" y="2888672"/>
          <a:ext cx="2677160" cy="365067"/>
        </a:xfrm>
        <a:prstGeom prst="rect">
          <a:avLst/>
        </a:prstGeom>
      </xdr:spPr>
    </xdr:pic>
    <xdr:clientData/>
  </xdr:twoCellAnchor>
  <xdr:twoCellAnchor editAs="oneCell">
    <xdr:from>
      <xdr:col>14</xdr:col>
      <xdr:colOff>422174</xdr:colOff>
      <xdr:row>19</xdr:row>
      <xdr:rowOff>162560</xdr:rowOff>
    </xdr:from>
    <xdr:to>
      <xdr:col>20</xdr:col>
      <xdr:colOff>721772</xdr:colOff>
      <xdr:row>34</xdr:row>
      <xdr:rowOff>116840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F2E088-4336-6984-5769-CAC3173F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294" y="3830320"/>
          <a:ext cx="5237358" cy="313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325120</xdr:colOff>
      <xdr:row>39</xdr:row>
      <xdr:rowOff>142240</xdr:rowOff>
    </xdr:from>
    <xdr:to>
      <xdr:col>15</xdr:col>
      <xdr:colOff>30480</xdr:colOff>
      <xdr:row>42</xdr:row>
      <xdr:rowOff>10160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4A7CC88-3E8E-8327-E82D-FC0C972B50BC}"/>
            </a:ext>
          </a:extLst>
        </xdr:cNvPr>
        <xdr:cNvSpPr/>
      </xdr:nvSpPr>
      <xdr:spPr>
        <a:xfrm>
          <a:off x="6492240" y="721360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14</xdr:col>
      <xdr:colOff>558800</xdr:colOff>
      <xdr:row>41</xdr:row>
      <xdr:rowOff>20320</xdr:rowOff>
    </xdr:from>
    <xdr:to>
      <xdr:col>17</xdr:col>
      <xdr:colOff>802640</xdr:colOff>
      <xdr:row>42</xdr:row>
      <xdr:rowOff>10160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8C56E4C-3F87-DC38-B6D4-408DF8E32180}"/>
            </a:ext>
          </a:extLst>
        </xdr:cNvPr>
        <xdr:cNvSpPr/>
      </xdr:nvSpPr>
      <xdr:spPr>
        <a:xfrm>
          <a:off x="6725920" y="7477760"/>
          <a:ext cx="2712720" cy="182880"/>
        </a:xfrm>
        <a:prstGeom prst="rt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</xdr:colOff>
      <xdr:row>43</xdr:row>
      <xdr:rowOff>71120</xdr:rowOff>
    </xdr:from>
    <xdr:to>
      <xdr:col>14</xdr:col>
      <xdr:colOff>71120</xdr:colOff>
      <xdr:row>46</xdr:row>
      <xdr:rowOff>81280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A4D2775-9DE5-F84E-8E0E-95C364A4D391}"/>
            </a:ext>
          </a:extLst>
        </xdr:cNvPr>
        <xdr:cNvSpPr/>
      </xdr:nvSpPr>
      <xdr:spPr>
        <a:xfrm>
          <a:off x="8524240" y="8544560"/>
          <a:ext cx="8128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>
    <xdr:from>
      <xdr:col>13</xdr:col>
      <xdr:colOff>223520</xdr:colOff>
      <xdr:row>43</xdr:row>
      <xdr:rowOff>233680</xdr:rowOff>
    </xdr:from>
    <xdr:to>
      <xdr:col>13</xdr:col>
      <xdr:colOff>751840</xdr:colOff>
      <xdr:row>45</xdr:row>
      <xdr:rowOff>121920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020A48C-FAF3-0D43-A6A8-8B7271237CA5}"/>
            </a:ext>
          </a:extLst>
        </xdr:cNvPr>
        <xdr:cNvSpPr/>
      </xdr:nvSpPr>
      <xdr:spPr>
        <a:xfrm>
          <a:off x="8666480" y="8707120"/>
          <a:ext cx="528320" cy="701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5</xdr:col>
      <xdr:colOff>314960</xdr:colOff>
      <xdr:row>38</xdr:row>
      <xdr:rowOff>10160</xdr:rowOff>
    </xdr:from>
    <xdr:to>
      <xdr:col>12</xdr:col>
      <xdr:colOff>817880</xdr:colOff>
      <xdr:row>53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4B206B-7853-BB0A-16AE-F8185493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177799</xdr:colOff>
      <xdr:row>24</xdr:row>
      <xdr:rowOff>93131</xdr:rowOff>
    </xdr:from>
    <xdr:to>
      <xdr:col>28</xdr:col>
      <xdr:colOff>8466</xdr:colOff>
      <xdr:row>43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D91E5-C989-3DF6-9559-41CD5E4C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24</xdr:row>
      <xdr:rowOff>101598</xdr:rowOff>
    </xdr:from>
    <xdr:to>
      <xdr:col>14</xdr:col>
      <xdr:colOff>186265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4EFAF1-E10D-E84E-9C9D-910CC055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</xdr:colOff>
      <xdr:row>23</xdr:row>
      <xdr:rowOff>71120</xdr:rowOff>
    </xdr:from>
    <xdr:to>
      <xdr:col>15</xdr:col>
      <xdr:colOff>467360</xdr:colOff>
      <xdr:row>47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</xdr:colOff>
      <xdr:row>36</xdr:row>
      <xdr:rowOff>66040</xdr:rowOff>
    </xdr:from>
    <xdr:to>
      <xdr:col>7</xdr:col>
      <xdr:colOff>426720</xdr:colOff>
      <xdr:row>54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41C55-95DF-4A0C-ABE9-7F17898B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18</xdr:col>
      <xdr:colOff>386080</xdr:colOff>
      <xdr:row>54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B8E73-E353-B446-B26E-74C5D6A5C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7CC8-2E43-AD42-9797-36D0C73BF74C}">
  <dimension ref="A2:X46"/>
  <sheetViews>
    <sheetView topLeftCell="A9" zoomScale="125" zoomScaleNormal="125" workbookViewId="0">
      <selection activeCell="I37" sqref="I37"/>
    </sheetView>
  </sheetViews>
  <sheetFormatPr baseColWidth="10" defaultRowHeight="15" x14ac:dyDescent="0.2"/>
  <cols>
    <col min="4" max="4" width="8.33203125" customWidth="1"/>
    <col min="5" max="5" width="5.1640625" customWidth="1"/>
    <col min="6" max="11" width="8.1640625" customWidth="1"/>
    <col min="12" max="12" width="5.1640625" customWidth="1"/>
  </cols>
  <sheetData>
    <row r="2" spans="3:12" x14ac:dyDescent="0.2">
      <c r="C2" s="25" t="s">
        <v>147</v>
      </c>
      <c r="D2">
        <v>1373</v>
      </c>
      <c r="E2" t="s">
        <v>136</v>
      </c>
      <c r="F2">
        <v>1373</v>
      </c>
      <c r="G2">
        <v>1373</v>
      </c>
      <c r="H2">
        <v>1373</v>
      </c>
      <c r="I2">
        <v>1373</v>
      </c>
      <c r="J2">
        <v>1373</v>
      </c>
      <c r="K2">
        <v>1373</v>
      </c>
      <c r="L2" t="s">
        <v>136</v>
      </c>
    </row>
    <row r="3" spans="3:12" x14ac:dyDescent="0.2">
      <c r="C3" s="25" t="s">
        <v>150</v>
      </c>
      <c r="D3" s="5">
        <v>402</v>
      </c>
      <c r="E3" t="s">
        <v>136</v>
      </c>
      <c r="F3" s="5">
        <v>1300</v>
      </c>
      <c r="G3" s="5">
        <v>1300</v>
      </c>
      <c r="H3" s="5">
        <v>1300</v>
      </c>
      <c r="I3" s="5">
        <v>1300</v>
      </c>
      <c r="J3" s="5">
        <v>1300</v>
      </c>
      <c r="K3" s="5">
        <v>1300</v>
      </c>
      <c r="L3" t="s">
        <v>136</v>
      </c>
    </row>
    <row r="4" spans="3:12" x14ac:dyDescent="0.2">
      <c r="C4" s="25"/>
    </row>
    <row r="5" spans="3:12" x14ac:dyDescent="0.2">
      <c r="C5" s="25" t="s">
        <v>144</v>
      </c>
    </row>
    <row r="6" spans="3:12" x14ac:dyDescent="0.2">
      <c r="C6" s="25" t="s">
        <v>142</v>
      </c>
      <c r="D6">
        <v>12</v>
      </c>
      <c r="E6" t="s">
        <v>46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 t="s">
        <v>46</v>
      </c>
    </row>
    <row r="7" spans="3:12" x14ac:dyDescent="0.2">
      <c r="C7" s="25" t="s">
        <v>143</v>
      </c>
      <c r="D7">
        <v>90</v>
      </c>
      <c r="E7" t="s">
        <v>46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 t="s">
        <v>46</v>
      </c>
    </row>
    <row r="8" spans="3:12" x14ac:dyDescent="0.2">
      <c r="C8" s="25"/>
    </row>
    <row r="9" spans="3:12" x14ac:dyDescent="0.2">
      <c r="C9" s="25" t="s">
        <v>145</v>
      </c>
    </row>
    <row r="10" spans="3:12" x14ac:dyDescent="0.2">
      <c r="C10" s="25" t="s">
        <v>142</v>
      </c>
      <c r="D10">
        <v>12</v>
      </c>
      <c r="E10" t="s">
        <v>46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 t="s">
        <v>46</v>
      </c>
    </row>
    <row r="11" spans="3:12" x14ac:dyDescent="0.2">
      <c r="C11" s="25" t="s">
        <v>143</v>
      </c>
      <c r="D11">
        <v>45</v>
      </c>
      <c r="E11" t="s">
        <v>46</v>
      </c>
      <c r="F11">
        <v>67</v>
      </c>
      <c r="G11">
        <v>67</v>
      </c>
      <c r="H11">
        <v>67</v>
      </c>
      <c r="I11">
        <v>67</v>
      </c>
      <c r="J11">
        <v>67</v>
      </c>
      <c r="K11">
        <v>67</v>
      </c>
      <c r="L11" t="s">
        <v>46</v>
      </c>
    </row>
    <row r="13" spans="3:12" x14ac:dyDescent="0.2">
      <c r="C13" s="25" t="s">
        <v>149</v>
      </c>
      <c r="D13" s="1">
        <f>RADIANS(D14)</f>
        <v>1.5533430342749532</v>
      </c>
      <c r="E13" t="s">
        <v>47</v>
      </c>
      <c r="F13" s="1">
        <f t="shared" ref="F13:K13" si="0">RADIANS(F14)</f>
        <v>0.26179938779914941</v>
      </c>
      <c r="G13" s="1">
        <f t="shared" si="0"/>
        <v>0.52359877559829882</v>
      </c>
      <c r="H13" s="1">
        <f t="shared" si="0"/>
        <v>0.78539816339744828</v>
      </c>
      <c r="I13" s="1">
        <f t="shared" si="0"/>
        <v>1.0471975511965976</v>
      </c>
      <c r="J13" s="1">
        <f t="shared" si="0"/>
        <v>1.3089969389957472</v>
      </c>
      <c r="K13" s="1">
        <f t="shared" si="0"/>
        <v>1.5690509975429023</v>
      </c>
      <c r="L13" t="s">
        <v>47</v>
      </c>
    </row>
    <row r="14" spans="3:12" x14ac:dyDescent="0.2">
      <c r="C14" s="25" t="s">
        <v>149</v>
      </c>
      <c r="D14" s="5">
        <v>89</v>
      </c>
      <c r="E14" t="s">
        <v>46</v>
      </c>
      <c r="F14" s="5">
        <v>15</v>
      </c>
      <c r="G14" s="5">
        <f>F14+$F14</f>
        <v>30</v>
      </c>
      <c r="H14" s="5">
        <f t="shared" ref="H14:J14" si="1">G14+$F14</f>
        <v>45</v>
      </c>
      <c r="I14" s="5">
        <f t="shared" si="1"/>
        <v>60</v>
      </c>
      <c r="J14" s="5">
        <f t="shared" si="1"/>
        <v>75</v>
      </c>
      <c r="K14" s="50">
        <v>89.9</v>
      </c>
      <c r="L14" t="s">
        <v>46</v>
      </c>
    </row>
    <row r="15" spans="3:12" x14ac:dyDescent="0.2">
      <c r="C15" s="25" t="s">
        <v>148</v>
      </c>
      <c r="D15" s="1">
        <f>ASIN((D2/(D2+D3)))</f>
        <v>0.88437830828608255</v>
      </c>
      <c r="E15" t="s">
        <v>47</v>
      </c>
      <c r="F15" s="1">
        <f t="shared" ref="F15:K15" si="2">ASIN((F2/(F2+F3)))</f>
        <v>0.53943938812170644</v>
      </c>
      <c r="G15" s="1">
        <f t="shared" si="2"/>
        <v>0.53943938812170644</v>
      </c>
      <c r="H15" s="1">
        <f t="shared" si="2"/>
        <v>0.53943938812170644</v>
      </c>
      <c r="I15" s="1">
        <f t="shared" si="2"/>
        <v>0.53943938812170644</v>
      </c>
      <c r="J15" s="1">
        <f t="shared" si="2"/>
        <v>0.53943938812170644</v>
      </c>
      <c r="K15" s="1">
        <f t="shared" si="2"/>
        <v>0.53943938812170644</v>
      </c>
      <c r="L15" t="s">
        <v>47</v>
      </c>
    </row>
    <row r="16" spans="3:12" x14ac:dyDescent="0.2">
      <c r="C16" s="25" t="s">
        <v>148</v>
      </c>
      <c r="D16" s="2">
        <f>DEGREES(D15)</f>
        <v>50.671144557712132</v>
      </c>
      <c r="E16" t="s">
        <v>46</v>
      </c>
      <c r="F16" s="2">
        <f t="shared" ref="F16" si="3">DEGREES(F15)</f>
        <v>30.907600242493331</v>
      </c>
      <c r="G16" s="2">
        <f t="shared" ref="G16" si="4">DEGREES(G15)</f>
        <v>30.907600242493331</v>
      </c>
      <c r="H16" s="2">
        <f t="shared" ref="H16" si="5">DEGREES(H15)</f>
        <v>30.907600242493331</v>
      </c>
      <c r="I16" s="2">
        <f t="shared" ref="I16" si="6">DEGREES(I15)</f>
        <v>30.907600242493331</v>
      </c>
      <c r="J16" s="2">
        <f t="shared" ref="J16:K16" si="7">DEGREES(J15)</f>
        <v>30.907600242493331</v>
      </c>
      <c r="K16" s="2">
        <f t="shared" si="7"/>
        <v>30.907600242493331</v>
      </c>
      <c r="L16" t="s">
        <v>46</v>
      </c>
    </row>
    <row r="17" spans="3:24" x14ac:dyDescent="0.2">
      <c r="C17" s="25" t="s">
        <v>151</v>
      </c>
      <c r="D17" s="2">
        <f>ASIN(COS(D13)*SIN(D15))</f>
        <v>1.3500215170421661E-2</v>
      </c>
      <c r="E17" t="s">
        <v>47</v>
      </c>
      <c r="F17" s="2">
        <f t="shared" ref="F17:K17" si="8">ASIN(COS(F13)*SIN(F15))</f>
        <v>0.51916196102910706</v>
      </c>
      <c r="G17" s="2">
        <f t="shared" si="8"/>
        <v>0.46099374881500926</v>
      </c>
      <c r="H17" s="2">
        <f t="shared" si="8"/>
        <v>0.37170978574869223</v>
      </c>
      <c r="I17" s="2">
        <f t="shared" si="8"/>
        <v>0.25973819215339905</v>
      </c>
      <c r="J17" s="2">
        <f t="shared" si="8"/>
        <v>0.13333847083702191</v>
      </c>
      <c r="K17" s="2">
        <f t="shared" si="8"/>
        <v>8.9649688266748586E-4</v>
      </c>
      <c r="L17" t="s">
        <v>47</v>
      </c>
    </row>
    <row r="18" spans="3:24" x14ac:dyDescent="0.2">
      <c r="C18" s="25" t="s">
        <v>151</v>
      </c>
      <c r="D18" s="2">
        <f>DEGREES(D17)</f>
        <v>0.77350535178364854</v>
      </c>
      <c r="E18" t="s">
        <v>46</v>
      </c>
      <c r="F18" s="2">
        <f t="shared" ref="F18:K18" si="9">DEGREES(F17)</f>
        <v>29.745789250703154</v>
      </c>
      <c r="G18" s="2">
        <f t="shared" si="9"/>
        <v>26.412996189014027</v>
      </c>
      <c r="H18" s="2">
        <f t="shared" si="9"/>
        <v>21.297401927112141</v>
      </c>
      <c r="I18" s="2">
        <f t="shared" si="9"/>
        <v>14.881902188747761</v>
      </c>
      <c r="J18" s="2">
        <f t="shared" si="9"/>
        <v>7.6397316256895644</v>
      </c>
      <c r="K18" s="2">
        <f t="shared" si="9"/>
        <v>5.1365487723481901E-2</v>
      </c>
      <c r="L18" t="s">
        <v>46</v>
      </c>
    </row>
    <row r="19" spans="3:24" x14ac:dyDescent="0.2">
      <c r="C19" s="25" t="s">
        <v>152</v>
      </c>
      <c r="D19" s="2">
        <f>RADIANS(90-D14-D18)</f>
        <v>3.9530773495216349E-3</v>
      </c>
      <c r="E19" t="s">
        <v>47</v>
      </c>
      <c r="F19" s="2">
        <f t="shared" ref="F19:K19" si="10">RADIANS(90-F14-F18)</f>
        <v>0.78983497796664015</v>
      </c>
      <c r="G19" s="2">
        <f t="shared" si="10"/>
        <v>0.58620380238158853</v>
      </c>
      <c r="H19" s="2">
        <f t="shared" si="10"/>
        <v>0.41368837764875604</v>
      </c>
      <c r="I19" s="2">
        <f t="shared" si="10"/>
        <v>0.26386058344489982</v>
      </c>
      <c r="J19" s="2">
        <f t="shared" si="10"/>
        <v>0.12846091696212752</v>
      </c>
      <c r="K19" s="2">
        <f t="shared" si="10"/>
        <v>8.4883236932674453E-4</v>
      </c>
      <c r="L19" t="s">
        <v>47</v>
      </c>
    </row>
    <row r="20" spans="3:24" x14ac:dyDescent="0.2">
      <c r="C20" s="25" t="s">
        <v>152</v>
      </c>
      <c r="D20" s="2">
        <f>DEGREES(D19)</f>
        <v>0.22649464821635146</v>
      </c>
      <c r="E20" t="s">
        <v>46</v>
      </c>
      <c r="F20" s="2">
        <f t="shared" ref="F20:K20" si="11">DEGREES(F19)</f>
        <v>45.254210749296846</v>
      </c>
      <c r="G20" s="2">
        <f t="shared" si="11"/>
        <v>33.587003810985976</v>
      </c>
      <c r="H20" s="2">
        <f t="shared" si="11"/>
        <v>23.702598072887859</v>
      </c>
      <c r="I20" s="2">
        <f t="shared" si="11"/>
        <v>15.118097811252239</v>
      </c>
      <c r="J20" s="2">
        <f t="shared" si="11"/>
        <v>7.3602683743104356</v>
      </c>
      <c r="K20" s="2">
        <f t="shared" si="11"/>
        <v>4.8634512276512415E-2</v>
      </c>
      <c r="L20" t="s">
        <v>46</v>
      </c>
    </row>
    <row r="21" spans="3:24" x14ac:dyDescent="0.2">
      <c r="C21" s="25" t="s">
        <v>146</v>
      </c>
      <c r="D21" s="3">
        <f>D2*(SIN(D19)/SIN(D17))</f>
        <v>402.04736497587606</v>
      </c>
      <c r="E21" t="s">
        <v>136</v>
      </c>
      <c r="F21" s="3">
        <f t="shared" ref="F21:K21" si="12">F2*(SIN(F19)/SIN(F17))</f>
        <v>1965.4343540051796</v>
      </c>
      <c r="G21" s="3">
        <f t="shared" si="12"/>
        <v>1707.4678882558132</v>
      </c>
      <c r="H21" s="3">
        <f t="shared" si="12"/>
        <v>1519.5970667940214</v>
      </c>
      <c r="I21" s="3">
        <f t="shared" si="12"/>
        <v>1394.2873517775517</v>
      </c>
      <c r="J21" s="3">
        <f t="shared" si="12"/>
        <v>1323.0571940315779</v>
      </c>
      <c r="K21" s="3">
        <f t="shared" si="12"/>
        <v>1300.0010170440969</v>
      </c>
      <c r="L21" t="s">
        <v>136</v>
      </c>
    </row>
    <row r="23" spans="3:24" x14ac:dyDescent="0.2">
      <c r="O23" s="31"/>
      <c r="V23" t="s">
        <v>174</v>
      </c>
    </row>
    <row r="24" spans="3:24" ht="28" customHeight="1" x14ac:dyDescent="0.2">
      <c r="C24" s="25" t="s">
        <v>153</v>
      </c>
      <c r="D24" s="5">
        <f>F24</f>
        <v>60</v>
      </c>
      <c r="E24" t="s">
        <v>154</v>
      </c>
      <c r="F24" s="5">
        <v>60</v>
      </c>
      <c r="G24" s="5">
        <f>F24</f>
        <v>60</v>
      </c>
      <c r="H24" s="5">
        <f t="shared" ref="H24:K24" si="13">G24</f>
        <v>60</v>
      </c>
      <c r="I24" s="5">
        <f t="shared" si="13"/>
        <v>60</v>
      </c>
      <c r="J24" s="5">
        <f t="shared" si="13"/>
        <v>60</v>
      </c>
      <c r="K24" s="5">
        <f t="shared" si="13"/>
        <v>60</v>
      </c>
      <c r="L24" t="s">
        <v>154</v>
      </c>
      <c r="V24" s="118" t="s">
        <v>173</v>
      </c>
      <c r="W24" s="118"/>
      <c r="X24" s="118"/>
    </row>
    <row r="25" spans="3:24" x14ac:dyDescent="0.2">
      <c r="C25" s="25" t="s">
        <v>156</v>
      </c>
      <c r="D25" s="1">
        <f>PI()*(D24/100/2)^2</f>
        <v>0.28274333882308139</v>
      </c>
      <c r="E25" t="s">
        <v>1</v>
      </c>
      <c r="F25" s="1">
        <f t="shared" ref="F25:K25" si="14">PI()*(F24/100/2)^2</f>
        <v>0.28274333882308139</v>
      </c>
      <c r="G25" s="1">
        <f t="shared" si="14"/>
        <v>0.28274333882308139</v>
      </c>
      <c r="H25" s="1">
        <f t="shared" si="14"/>
        <v>0.28274333882308139</v>
      </c>
      <c r="I25" s="1">
        <f t="shared" si="14"/>
        <v>0.28274333882308139</v>
      </c>
      <c r="J25" s="1">
        <f t="shared" si="14"/>
        <v>0.28274333882308139</v>
      </c>
      <c r="K25" s="1">
        <f t="shared" si="14"/>
        <v>0.28274333882308139</v>
      </c>
      <c r="L25" t="s">
        <v>1</v>
      </c>
      <c r="M25" t="s">
        <v>158</v>
      </c>
    </row>
    <row r="26" spans="3:24" ht="25" x14ac:dyDescent="0.35">
      <c r="C26" s="25" t="s">
        <v>155</v>
      </c>
      <c r="D26" s="46">
        <f>PI()*(D24/100/2)^2*COS(RADIANS(90)-D13)</f>
        <v>0.28270027564308053</v>
      </c>
      <c r="E26" t="s">
        <v>1</v>
      </c>
      <c r="F26" s="46">
        <f t="shared" ref="F26:K26" si="15">PI()*(F24/100/2)^2*COS(RADIANS(90)-F13)</f>
        <v>7.3179360963288406E-2</v>
      </c>
      <c r="G26" s="46">
        <f t="shared" si="15"/>
        <v>0.14137166941154067</v>
      </c>
      <c r="H26" s="46">
        <f t="shared" si="15"/>
        <v>0.19992973221712648</v>
      </c>
      <c r="I26" s="46">
        <f t="shared" si="15"/>
        <v>0.2448629141716194</v>
      </c>
      <c r="J26" s="46">
        <f t="shared" si="15"/>
        <v>0.27310909318041487</v>
      </c>
      <c r="K26" s="46">
        <f t="shared" si="15"/>
        <v>0.28274290818045905</v>
      </c>
      <c r="L26" t="s">
        <v>1</v>
      </c>
      <c r="M26" s="47" t="s">
        <v>157</v>
      </c>
    </row>
    <row r="28" spans="3:24" x14ac:dyDescent="0.2">
      <c r="C28" s="25" t="s">
        <v>167</v>
      </c>
      <c r="D28" s="5">
        <f>F28</f>
        <v>122</v>
      </c>
      <c r="E28" t="s">
        <v>154</v>
      </c>
      <c r="F28" s="5">
        <v>122</v>
      </c>
      <c r="G28" s="5">
        <v>122</v>
      </c>
      <c r="H28" s="5">
        <v>122</v>
      </c>
      <c r="I28" s="5">
        <v>122</v>
      </c>
      <c r="J28" s="5">
        <v>122</v>
      </c>
      <c r="K28" s="5">
        <v>122</v>
      </c>
      <c r="L28" t="s">
        <v>154</v>
      </c>
    </row>
    <row r="29" spans="3:24" x14ac:dyDescent="0.2">
      <c r="C29" s="25" t="s">
        <v>168</v>
      </c>
      <c r="D29">
        <f>D28</f>
        <v>122</v>
      </c>
      <c r="E29" t="s">
        <v>154</v>
      </c>
      <c r="F29">
        <f t="shared" ref="F29:K29" si="16">F28</f>
        <v>122</v>
      </c>
      <c r="G29">
        <f t="shared" si="16"/>
        <v>122</v>
      </c>
      <c r="H29">
        <f t="shared" si="16"/>
        <v>122</v>
      </c>
      <c r="I29">
        <f t="shared" si="16"/>
        <v>122</v>
      </c>
      <c r="J29">
        <f t="shared" si="16"/>
        <v>122</v>
      </c>
      <c r="K29">
        <f t="shared" si="16"/>
        <v>122</v>
      </c>
      <c r="L29" t="s">
        <v>154</v>
      </c>
      <c r="M29" t="s">
        <v>169</v>
      </c>
    </row>
    <row r="30" spans="3:24" x14ac:dyDescent="0.2">
      <c r="C30" s="25" t="s">
        <v>171</v>
      </c>
      <c r="D30" s="1">
        <f>PI()*(D29/100/2)^2</f>
        <v>1.168986626400762</v>
      </c>
      <c r="E30" t="s">
        <v>1</v>
      </c>
      <c r="F30" s="68">
        <f t="shared" ref="F30:K30" si="17">PI()*(F29/100/2)^2</f>
        <v>1.168986626400762</v>
      </c>
      <c r="G30" s="69">
        <f t="shared" si="17"/>
        <v>1.168986626400762</v>
      </c>
      <c r="H30" s="69">
        <f t="shared" si="17"/>
        <v>1.168986626400762</v>
      </c>
      <c r="I30" s="69">
        <f t="shared" si="17"/>
        <v>1.168986626400762</v>
      </c>
      <c r="J30" s="69">
        <f t="shared" si="17"/>
        <v>1.168986626400762</v>
      </c>
      <c r="K30" s="70">
        <f t="shared" si="17"/>
        <v>1.168986626400762</v>
      </c>
      <c r="L30" t="s">
        <v>1</v>
      </c>
    </row>
    <row r="32" spans="3:24" x14ac:dyDescent="0.2">
      <c r="C32" s="25" t="s">
        <v>159</v>
      </c>
      <c r="D32">
        <f>(D29-D24)/2</f>
        <v>31</v>
      </c>
      <c r="E32" t="s">
        <v>154</v>
      </c>
      <c r="F32">
        <f t="shared" ref="F32:K32" si="18">(F29-F24)/2</f>
        <v>31</v>
      </c>
      <c r="G32">
        <f t="shared" si="18"/>
        <v>31</v>
      </c>
      <c r="H32">
        <f t="shared" si="18"/>
        <v>31</v>
      </c>
      <c r="I32">
        <f t="shared" si="18"/>
        <v>31</v>
      </c>
      <c r="J32">
        <f t="shared" si="18"/>
        <v>31</v>
      </c>
      <c r="K32">
        <f t="shared" si="18"/>
        <v>31</v>
      </c>
      <c r="L32" t="s">
        <v>154</v>
      </c>
      <c r="M32" t="s">
        <v>160</v>
      </c>
    </row>
    <row r="34" spans="1:19" x14ac:dyDescent="0.2">
      <c r="C34" s="25" t="s">
        <v>172</v>
      </c>
      <c r="D34" s="1">
        <f t="shared" ref="D34:F34" si="19">ATAN((D32/100)/(D21*1000))*1000000</f>
        <v>0.77105343052935926</v>
      </c>
      <c r="E34" t="s">
        <v>162</v>
      </c>
      <c r="F34" s="1">
        <f t="shared" si="19"/>
        <v>0.15772594967024806</v>
      </c>
      <c r="G34" s="1">
        <f>ATAN((G32/100)/(G21*1000))*1000000</f>
        <v>0.18155539095769652</v>
      </c>
      <c r="H34" s="1">
        <f>ATAN((H32/100)/(H21*1000))*1000000</f>
        <v>0.20400144668219183</v>
      </c>
      <c r="I34" s="1">
        <f t="shared" ref="I34:K34" si="20">ATAN((I32/100)/(I21*1000))*1000000</f>
        <v>0.22233580445578993</v>
      </c>
      <c r="J34" s="1">
        <f t="shared" si="20"/>
        <v>0.23430581942974979</v>
      </c>
      <c r="K34" s="1">
        <f t="shared" si="20"/>
        <v>0.23846135190329526</v>
      </c>
      <c r="L34" t="s">
        <v>162</v>
      </c>
      <c r="M34" t="s">
        <v>164</v>
      </c>
    </row>
    <row r="35" spans="1:19" x14ac:dyDescent="0.2">
      <c r="C35" s="25" t="s">
        <v>175</v>
      </c>
      <c r="D35" s="48">
        <v>0.5</v>
      </c>
      <c r="F35" s="48">
        <v>0.5</v>
      </c>
      <c r="G35" s="48">
        <v>0.5</v>
      </c>
      <c r="H35" s="48">
        <v>0.5</v>
      </c>
      <c r="I35" s="48">
        <v>0.5</v>
      </c>
      <c r="J35" s="48">
        <v>0.5</v>
      </c>
      <c r="K35" s="48">
        <v>0.5</v>
      </c>
    </row>
    <row r="36" spans="1:19" x14ac:dyDescent="0.2">
      <c r="C36" s="25" t="s">
        <v>176</v>
      </c>
      <c r="D36" s="1">
        <f>D26/D30</f>
        <v>0.24183362688544804</v>
      </c>
      <c r="F36" s="1">
        <f t="shared" ref="F36:K36" si="21">F26/F30</f>
        <v>6.260068277137025E-2</v>
      </c>
      <c r="G36" s="1">
        <f t="shared" si="21"/>
        <v>0.12093523246439128</v>
      </c>
      <c r="H36" s="1">
        <f t="shared" si="21"/>
        <v>0.17102824591988519</v>
      </c>
      <c r="I36" s="1">
        <f t="shared" si="21"/>
        <v>0.20946596705347884</v>
      </c>
      <c r="J36" s="1">
        <f t="shared" si="21"/>
        <v>0.23362892869125543</v>
      </c>
      <c r="K36" s="1">
        <f t="shared" si="21"/>
        <v>0.24187009653909139</v>
      </c>
      <c r="M36" t="s">
        <v>170</v>
      </c>
    </row>
    <row r="37" spans="1:19" x14ac:dyDescent="0.2">
      <c r="C37" s="25" t="s">
        <v>177</v>
      </c>
      <c r="D37" s="1">
        <f>D36*D35</f>
        <v>0.12091681344272402</v>
      </c>
      <c r="F37" s="1">
        <f t="shared" ref="F37:K37" si="22">F36*F35</f>
        <v>3.1300341385685125E-2</v>
      </c>
      <c r="G37" s="1">
        <f t="shared" si="22"/>
        <v>6.046761623219564E-2</v>
      </c>
      <c r="H37" s="1">
        <f t="shared" si="22"/>
        <v>8.5514122959942596E-2</v>
      </c>
      <c r="I37" s="1">
        <f t="shared" si="22"/>
        <v>0.10473298352673942</v>
      </c>
      <c r="J37" s="1">
        <f t="shared" si="22"/>
        <v>0.11681446434562771</v>
      </c>
      <c r="K37" s="1">
        <f t="shared" si="22"/>
        <v>0.12093504826954569</v>
      </c>
    </row>
    <row r="39" spans="1:19" ht="16" thickBot="1" x14ac:dyDescent="0.25">
      <c r="B39" s="26">
        <f>K36</f>
        <v>0.24187009653909139</v>
      </c>
      <c r="C39" s="32" t="s">
        <v>184</v>
      </c>
    </row>
    <row r="40" spans="1:19" ht="16" thickBot="1" x14ac:dyDescent="0.25">
      <c r="B40" s="72">
        <f>AVERAGE(H36:K36)</f>
        <v>0.21399830955092772</v>
      </c>
      <c r="C40" t="s">
        <v>182</v>
      </c>
    </row>
    <row r="41" spans="1:19" ht="16" thickBot="1" x14ac:dyDescent="0.25">
      <c r="B41" s="26">
        <f>K37</f>
        <v>0.12093504826954569</v>
      </c>
      <c r="C41" s="32" t="s">
        <v>237</v>
      </c>
      <c r="R41" t="s">
        <v>161</v>
      </c>
    </row>
    <row r="42" spans="1:19" ht="16" thickBot="1" x14ac:dyDescent="0.25">
      <c r="B42" s="72">
        <f>AVERAGE(H37:K37)</f>
        <v>0.10699915477546386</v>
      </c>
      <c r="C42" t="s">
        <v>238</v>
      </c>
      <c r="N42" t="s">
        <v>159</v>
      </c>
      <c r="S42" t="s">
        <v>163</v>
      </c>
    </row>
    <row r="43" spans="1:19" ht="5" customHeight="1" x14ac:dyDescent="0.2">
      <c r="Q43" t="s">
        <v>146</v>
      </c>
    </row>
    <row r="44" spans="1:19" ht="49" customHeight="1" x14ac:dyDescent="0.2">
      <c r="A44">
        <v>1</v>
      </c>
      <c r="B44" s="118" t="s">
        <v>240</v>
      </c>
      <c r="C44" s="118"/>
      <c r="D44" s="118"/>
      <c r="E44" s="118"/>
      <c r="P44" t="s">
        <v>166</v>
      </c>
    </row>
    <row r="45" spans="1:19" x14ac:dyDescent="0.2">
      <c r="A45">
        <v>2</v>
      </c>
      <c r="B45" t="s">
        <v>180</v>
      </c>
    </row>
    <row r="46" spans="1:19" x14ac:dyDescent="0.2">
      <c r="A46">
        <v>3</v>
      </c>
      <c r="B46" t="s">
        <v>239</v>
      </c>
      <c r="O46" t="s">
        <v>165</v>
      </c>
    </row>
  </sheetData>
  <mergeCells count="2">
    <mergeCell ref="V24:X24"/>
    <mergeCell ref="B44:E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AG71"/>
  <sheetViews>
    <sheetView zoomScale="150" zoomScaleNormal="150" workbookViewId="0">
      <selection activeCell="AC21" sqref="AC21"/>
    </sheetView>
  </sheetViews>
  <sheetFormatPr baseColWidth="10" defaultRowHeight="15" x14ac:dyDescent="0.2"/>
  <cols>
    <col min="1" max="1" width="9.1640625" customWidth="1"/>
    <col min="4" max="28" width="5.1640625" customWidth="1"/>
    <col min="29" max="33" width="6.6640625" bestFit="1" customWidth="1"/>
  </cols>
  <sheetData>
    <row r="1" spans="1:28" ht="17" thickBot="1" x14ac:dyDescent="0.25">
      <c r="A1" s="22" t="s">
        <v>79</v>
      </c>
      <c r="B1" s="22" t="s">
        <v>80</v>
      </c>
      <c r="C1" s="22" t="s">
        <v>81</v>
      </c>
      <c r="F1" s="119" t="s">
        <v>137</v>
      </c>
      <c r="G1" s="119"/>
      <c r="H1" s="119"/>
      <c r="I1" s="119"/>
      <c r="J1" s="43">
        <v>1300</v>
      </c>
      <c r="K1" s="23" t="s">
        <v>8</v>
      </c>
      <c r="L1" s="24"/>
      <c r="M1" s="24"/>
      <c r="N1" s="42"/>
      <c r="O1" s="23">
        <v>402</v>
      </c>
      <c r="P1" s="23">
        <v>1300</v>
      </c>
      <c r="Q1" s="23" t="s">
        <v>136</v>
      </c>
      <c r="S1" t="s">
        <v>178</v>
      </c>
    </row>
    <row r="2" spans="1:28" ht="17" thickBot="1" x14ac:dyDescent="0.25">
      <c r="A2" s="23" t="s">
        <v>82</v>
      </c>
      <c r="B2" s="23" t="s">
        <v>83</v>
      </c>
      <c r="C2" s="23" t="s">
        <v>84</v>
      </c>
      <c r="F2" s="119" t="s">
        <v>131</v>
      </c>
      <c r="G2" s="119"/>
      <c r="H2" s="119"/>
      <c r="I2" s="119"/>
      <c r="J2" s="43">
        <v>250</v>
      </c>
      <c r="K2" s="23" t="s">
        <v>8</v>
      </c>
      <c r="N2" s="42"/>
      <c r="O2" s="23">
        <v>148</v>
      </c>
      <c r="P2" s="23">
        <v>250</v>
      </c>
      <c r="Q2" s="23" t="s">
        <v>8</v>
      </c>
    </row>
    <row r="3" spans="1:28" ht="17" thickBot="1" x14ac:dyDescent="0.25">
      <c r="A3" s="23" t="s">
        <v>83</v>
      </c>
      <c r="B3" s="23" t="s">
        <v>85</v>
      </c>
      <c r="C3" s="23" t="s">
        <v>86</v>
      </c>
      <c r="D3" s="27"/>
      <c r="F3" s="119" t="s">
        <v>132</v>
      </c>
      <c r="G3" s="119"/>
      <c r="H3" s="119"/>
      <c r="I3" s="119"/>
      <c r="J3" s="43">
        <v>30</v>
      </c>
      <c r="K3" s="23" t="s">
        <v>8</v>
      </c>
      <c r="N3" s="42"/>
      <c r="O3" s="41">
        <v>8</v>
      </c>
      <c r="P3" s="41">
        <v>30</v>
      </c>
      <c r="Q3" s="23" t="s">
        <v>8</v>
      </c>
    </row>
    <row r="4" spans="1:28" ht="17" thickBot="1" x14ac:dyDescent="0.25">
      <c r="A4" s="23" t="s">
        <v>84</v>
      </c>
      <c r="B4" s="23" t="s">
        <v>87</v>
      </c>
      <c r="C4" s="23" t="s">
        <v>88</v>
      </c>
      <c r="D4" s="24"/>
      <c r="F4" s="119" t="s">
        <v>133</v>
      </c>
      <c r="G4" s="119"/>
      <c r="H4" s="119"/>
      <c r="I4" s="119"/>
      <c r="J4" s="43">
        <v>16</v>
      </c>
      <c r="K4" s="23" t="s">
        <v>6</v>
      </c>
      <c r="N4" s="42"/>
      <c r="O4" s="41">
        <v>16</v>
      </c>
      <c r="P4" s="23">
        <v>16</v>
      </c>
      <c r="Q4" s="23" t="s">
        <v>6</v>
      </c>
    </row>
    <row r="5" spans="1:28" ht="16" thickBot="1" x14ac:dyDescent="0.25">
      <c r="A5" s="23">
        <v>83</v>
      </c>
      <c r="B5" s="23">
        <v>325</v>
      </c>
      <c r="C5" s="23">
        <v>450</v>
      </c>
      <c r="D5" s="24"/>
    </row>
    <row r="6" spans="1:28" ht="16" thickBot="1" x14ac:dyDescent="0.25"/>
    <row r="7" spans="1:28" ht="16" thickBot="1" x14ac:dyDescent="0.25">
      <c r="C7" s="25" t="s">
        <v>196</v>
      </c>
      <c r="D7" s="59">
        <v>2</v>
      </c>
      <c r="E7" s="60">
        <v>4</v>
      </c>
      <c r="F7" s="60">
        <v>6</v>
      </c>
      <c r="G7" s="67">
        <v>8</v>
      </c>
      <c r="H7" s="60">
        <v>10</v>
      </c>
      <c r="I7" s="60">
        <v>12</v>
      </c>
      <c r="J7" s="60">
        <v>14</v>
      </c>
      <c r="K7" s="67">
        <v>16</v>
      </c>
      <c r="L7" s="60">
        <v>18</v>
      </c>
      <c r="M7" s="60">
        <v>20</v>
      </c>
      <c r="N7" s="60">
        <v>22</v>
      </c>
      <c r="O7" s="67">
        <v>24</v>
      </c>
      <c r="P7" s="60">
        <v>26</v>
      </c>
      <c r="Q7" s="60">
        <v>28</v>
      </c>
      <c r="R7" s="60">
        <v>30</v>
      </c>
      <c r="S7" s="67">
        <v>32</v>
      </c>
      <c r="T7" s="60">
        <v>34</v>
      </c>
      <c r="U7" s="60">
        <v>36</v>
      </c>
      <c r="V7" s="60">
        <v>38</v>
      </c>
      <c r="W7" s="67">
        <v>40</v>
      </c>
      <c r="X7" s="60">
        <v>42</v>
      </c>
      <c r="Y7" s="60">
        <v>44</v>
      </c>
      <c r="Z7" s="60">
        <v>46</v>
      </c>
      <c r="AA7" s="67">
        <v>48</v>
      </c>
      <c r="AB7" s="61">
        <v>50</v>
      </c>
    </row>
    <row r="8" spans="1:28" x14ac:dyDescent="0.2">
      <c r="C8" s="25" t="s">
        <v>179</v>
      </c>
      <c r="D8" s="54">
        <v>0.5</v>
      </c>
      <c r="E8" s="54">
        <v>0.5</v>
      </c>
      <c r="F8" s="54">
        <v>0.5</v>
      </c>
      <c r="G8" s="63">
        <v>0.5</v>
      </c>
      <c r="H8" s="54">
        <v>0.5</v>
      </c>
      <c r="I8" s="54">
        <v>0.5</v>
      </c>
      <c r="J8" s="54">
        <v>0.5</v>
      </c>
      <c r="K8" s="63">
        <v>0.5</v>
      </c>
      <c r="L8" s="54">
        <v>0.5</v>
      </c>
      <c r="M8" s="54">
        <v>0.5</v>
      </c>
      <c r="N8" s="54">
        <v>0.5</v>
      </c>
      <c r="O8" s="63">
        <v>0.5</v>
      </c>
      <c r="P8" s="54">
        <v>0.5</v>
      </c>
      <c r="Q8" s="54">
        <v>0.5</v>
      </c>
      <c r="R8" s="54">
        <v>0.5</v>
      </c>
      <c r="S8" s="63">
        <v>0.5</v>
      </c>
      <c r="T8" s="54">
        <v>0.5</v>
      </c>
      <c r="U8" s="54">
        <v>0.5</v>
      </c>
      <c r="V8" s="54">
        <v>0.5</v>
      </c>
      <c r="W8" s="63">
        <v>0.5</v>
      </c>
      <c r="X8" s="54">
        <v>0.5</v>
      </c>
      <c r="Y8" s="54">
        <v>0.5</v>
      </c>
      <c r="Z8" s="54">
        <v>0.5</v>
      </c>
      <c r="AA8" s="63">
        <v>0.5</v>
      </c>
      <c r="AB8" s="54">
        <v>0.5</v>
      </c>
    </row>
    <row r="9" spans="1:28" x14ac:dyDescent="0.2">
      <c r="C9" s="25" t="s">
        <v>186</v>
      </c>
      <c r="D9" s="54">
        <v>0.2</v>
      </c>
      <c r="E9" s="54">
        <f>D9</f>
        <v>0.2</v>
      </c>
      <c r="F9" s="54">
        <f t="shared" ref="F9:Z9" si="0">E9</f>
        <v>0.2</v>
      </c>
      <c r="G9" s="63">
        <f t="shared" si="0"/>
        <v>0.2</v>
      </c>
      <c r="H9" s="54">
        <f t="shared" si="0"/>
        <v>0.2</v>
      </c>
      <c r="I9" s="54">
        <f t="shared" si="0"/>
        <v>0.2</v>
      </c>
      <c r="J9" s="54">
        <f t="shared" si="0"/>
        <v>0.2</v>
      </c>
      <c r="K9" s="63">
        <f t="shared" si="0"/>
        <v>0.2</v>
      </c>
      <c r="L9" s="54">
        <f t="shared" si="0"/>
        <v>0.2</v>
      </c>
      <c r="M9" s="54">
        <f t="shared" si="0"/>
        <v>0.2</v>
      </c>
      <c r="N9" s="54">
        <f t="shared" si="0"/>
        <v>0.2</v>
      </c>
      <c r="O9" s="63">
        <f t="shared" si="0"/>
        <v>0.2</v>
      </c>
      <c r="P9" s="54">
        <f t="shared" si="0"/>
        <v>0.2</v>
      </c>
      <c r="Q9" s="54">
        <f t="shared" si="0"/>
        <v>0.2</v>
      </c>
      <c r="R9" s="54">
        <f t="shared" si="0"/>
        <v>0.2</v>
      </c>
      <c r="S9" s="63">
        <f t="shared" si="0"/>
        <v>0.2</v>
      </c>
      <c r="T9" s="54">
        <f t="shared" si="0"/>
        <v>0.2</v>
      </c>
      <c r="U9" s="54">
        <f t="shared" si="0"/>
        <v>0.2</v>
      </c>
      <c r="V9" s="54">
        <f t="shared" si="0"/>
        <v>0.2</v>
      </c>
      <c r="W9" s="63">
        <f t="shared" si="0"/>
        <v>0.2</v>
      </c>
      <c r="X9" s="54">
        <f t="shared" si="0"/>
        <v>0.2</v>
      </c>
      <c r="Y9" s="54">
        <f t="shared" si="0"/>
        <v>0.2</v>
      </c>
      <c r="Z9" s="54">
        <f t="shared" si="0"/>
        <v>0.2</v>
      </c>
      <c r="AA9" s="63">
        <f t="shared" ref="AA9:AB9" si="1">Z9</f>
        <v>0.2</v>
      </c>
      <c r="AB9" s="54">
        <f t="shared" si="1"/>
        <v>0.2</v>
      </c>
    </row>
    <row r="10" spans="1:28" x14ac:dyDescent="0.2">
      <c r="C10" s="25" t="s">
        <v>187</v>
      </c>
      <c r="D10" s="54">
        <v>0.5</v>
      </c>
      <c r="E10" s="54">
        <f>D10</f>
        <v>0.5</v>
      </c>
      <c r="F10" s="54">
        <f t="shared" ref="F10:Z10" si="2">E10</f>
        <v>0.5</v>
      </c>
      <c r="G10" s="63">
        <f t="shared" si="2"/>
        <v>0.5</v>
      </c>
      <c r="H10" s="54">
        <f t="shared" si="2"/>
        <v>0.5</v>
      </c>
      <c r="I10" s="54">
        <f t="shared" si="2"/>
        <v>0.5</v>
      </c>
      <c r="J10" s="54">
        <f t="shared" si="2"/>
        <v>0.5</v>
      </c>
      <c r="K10" s="63">
        <f t="shared" si="2"/>
        <v>0.5</v>
      </c>
      <c r="L10" s="54">
        <f t="shared" si="2"/>
        <v>0.5</v>
      </c>
      <c r="M10" s="54">
        <f t="shared" si="2"/>
        <v>0.5</v>
      </c>
      <c r="N10" s="54">
        <f t="shared" si="2"/>
        <v>0.5</v>
      </c>
      <c r="O10" s="63">
        <f t="shared" si="2"/>
        <v>0.5</v>
      </c>
      <c r="P10" s="54">
        <f t="shared" si="2"/>
        <v>0.5</v>
      </c>
      <c r="Q10" s="54">
        <f t="shared" si="2"/>
        <v>0.5</v>
      </c>
      <c r="R10" s="54">
        <f t="shared" si="2"/>
        <v>0.5</v>
      </c>
      <c r="S10" s="63">
        <f t="shared" si="2"/>
        <v>0.5</v>
      </c>
      <c r="T10" s="54">
        <f t="shared" si="2"/>
        <v>0.5</v>
      </c>
      <c r="U10" s="54">
        <f t="shared" si="2"/>
        <v>0.5</v>
      </c>
      <c r="V10" s="54">
        <f t="shared" si="2"/>
        <v>0.5</v>
      </c>
      <c r="W10" s="63">
        <f t="shared" si="2"/>
        <v>0.5</v>
      </c>
      <c r="X10" s="54">
        <f t="shared" si="2"/>
        <v>0.5</v>
      </c>
      <c r="Y10" s="54">
        <f t="shared" si="2"/>
        <v>0.5</v>
      </c>
      <c r="Z10" s="54">
        <f t="shared" si="2"/>
        <v>0.5</v>
      </c>
      <c r="AA10" s="63">
        <f t="shared" ref="AA10:AB10" si="3">Z10</f>
        <v>0.5</v>
      </c>
      <c r="AB10" s="54">
        <f t="shared" si="3"/>
        <v>0.5</v>
      </c>
    </row>
    <row r="11" spans="1:28" x14ac:dyDescent="0.2">
      <c r="C11" s="25" t="s">
        <v>188</v>
      </c>
      <c r="D11" s="54">
        <v>0.85</v>
      </c>
      <c r="E11" s="54">
        <v>0.85</v>
      </c>
      <c r="F11" s="54">
        <v>0.85</v>
      </c>
      <c r="G11" s="63">
        <v>0.85</v>
      </c>
      <c r="H11" s="54">
        <v>0.85</v>
      </c>
      <c r="I11" s="54">
        <v>0.85</v>
      </c>
      <c r="J11" s="54">
        <v>0.85</v>
      </c>
      <c r="K11" s="63">
        <v>0.85</v>
      </c>
      <c r="L11" s="54">
        <v>0.85</v>
      </c>
      <c r="M11" s="54">
        <v>0.85</v>
      </c>
      <c r="N11" s="54">
        <v>0.85</v>
      </c>
      <c r="O11" s="63">
        <v>0.85</v>
      </c>
      <c r="P11" s="54">
        <v>0.85</v>
      </c>
      <c r="Q11" s="54">
        <v>0.85</v>
      </c>
      <c r="R11" s="54">
        <v>0.85</v>
      </c>
      <c r="S11" s="63">
        <v>0.85</v>
      </c>
      <c r="T11" s="54">
        <v>0.85</v>
      </c>
      <c r="U11" s="54">
        <v>0.85</v>
      </c>
      <c r="V11" s="54">
        <v>0.85</v>
      </c>
      <c r="W11" s="63">
        <v>0.85</v>
      </c>
      <c r="X11" s="54">
        <v>0.85</v>
      </c>
      <c r="Y11" s="54">
        <v>0.85</v>
      </c>
      <c r="Z11" s="54">
        <v>0.85</v>
      </c>
      <c r="AA11" s="63">
        <v>0.85</v>
      </c>
      <c r="AB11" s="54">
        <v>0.85</v>
      </c>
    </row>
    <row r="12" spans="1:28" x14ac:dyDescent="0.2">
      <c r="C12" s="25" t="s">
        <v>189</v>
      </c>
      <c r="D12" s="53">
        <f t="shared" ref="D12:AB12" si="4">D7*D8*D9*D10*D11</f>
        <v>8.5000000000000006E-2</v>
      </c>
      <c r="E12" s="53">
        <f t="shared" si="4"/>
        <v>0.17</v>
      </c>
      <c r="F12" s="53">
        <f t="shared" si="4"/>
        <v>0.255</v>
      </c>
      <c r="G12" s="64">
        <f t="shared" si="4"/>
        <v>0.34</v>
      </c>
      <c r="H12" s="53">
        <f t="shared" si="4"/>
        <v>0.42499999999999999</v>
      </c>
      <c r="I12" s="53">
        <f t="shared" si="4"/>
        <v>0.51</v>
      </c>
      <c r="J12" s="53">
        <f t="shared" si="4"/>
        <v>0.59500000000000008</v>
      </c>
      <c r="K12" s="64">
        <f t="shared" si="4"/>
        <v>0.68</v>
      </c>
      <c r="L12" s="53">
        <f t="shared" si="4"/>
        <v>0.76500000000000001</v>
      </c>
      <c r="M12" s="53">
        <f t="shared" si="4"/>
        <v>0.85</v>
      </c>
      <c r="N12" s="53">
        <f t="shared" si="4"/>
        <v>0.93500000000000005</v>
      </c>
      <c r="O12" s="64">
        <f t="shared" si="4"/>
        <v>1.02</v>
      </c>
      <c r="P12" s="53">
        <f t="shared" si="4"/>
        <v>1.105</v>
      </c>
      <c r="Q12" s="53">
        <f t="shared" si="4"/>
        <v>1.1900000000000002</v>
      </c>
      <c r="R12" s="53">
        <f t="shared" si="4"/>
        <v>1.2749999999999999</v>
      </c>
      <c r="S12" s="64">
        <f t="shared" si="4"/>
        <v>1.36</v>
      </c>
      <c r="T12" s="53">
        <f t="shared" si="4"/>
        <v>1.4450000000000001</v>
      </c>
      <c r="U12" s="53">
        <f t="shared" si="4"/>
        <v>1.53</v>
      </c>
      <c r="V12" s="53">
        <f t="shared" si="4"/>
        <v>1.615</v>
      </c>
      <c r="W12" s="64">
        <f t="shared" si="4"/>
        <v>1.7</v>
      </c>
      <c r="X12" s="53">
        <f t="shared" si="4"/>
        <v>1.7849999999999999</v>
      </c>
      <c r="Y12" s="53">
        <f t="shared" si="4"/>
        <v>1.87</v>
      </c>
      <c r="Z12" s="53">
        <f t="shared" si="4"/>
        <v>1.9550000000000001</v>
      </c>
      <c r="AA12" s="64">
        <f t="shared" si="4"/>
        <v>2.04</v>
      </c>
      <c r="AB12" s="53">
        <f t="shared" si="4"/>
        <v>2.125</v>
      </c>
    </row>
    <row r="13" spans="1:28" x14ac:dyDescent="0.2">
      <c r="D13" s="53"/>
      <c r="E13" s="53"/>
      <c r="F13" s="53"/>
      <c r="G13" s="64"/>
      <c r="H13" s="53"/>
      <c r="I13" s="53"/>
      <c r="J13" s="53"/>
      <c r="K13" s="64"/>
      <c r="L13" s="53"/>
      <c r="M13" s="53"/>
      <c r="N13" s="53"/>
      <c r="O13" s="64"/>
      <c r="P13" s="53"/>
      <c r="Q13" s="53"/>
      <c r="R13" s="53"/>
      <c r="S13" s="64"/>
      <c r="T13" s="53"/>
      <c r="U13" s="53"/>
      <c r="V13" s="53"/>
      <c r="W13" s="64"/>
      <c r="X13" s="53"/>
      <c r="Y13" s="53"/>
      <c r="Z13" s="53"/>
      <c r="AA13" s="64"/>
      <c r="AB13" s="53"/>
    </row>
    <row r="14" spans="1:28" x14ac:dyDescent="0.2">
      <c r="C14" s="25" t="s">
        <v>131</v>
      </c>
      <c r="D14" s="14">
        <f t="shared" ref="D14:AB14" si="5">$J2</f>
        <v>250</v>
      </c>
      <c r="E14" s="14">
        <f t="shared" si="5"/>
        <v>250</v>
      </c>
      <c r="F14" s="14">
        <f t="shared" si="5"/>
        <v>250</v>
      </c>
      <c r="G14" s="65">
        <f t="shared" si="5"/>
        <v>250</v>
      </c>
      <c r="H14" s="14">
        <f t="shared" si="5"/>
        <v>250</v>
      </c>
      <c r="I14" s="14">
        <f t="shared" si="5"/>
        <v>250</v>
      </c>
      <c r="J14" s="14">
        <f t="shared" si="5"/>
        <v>250</v>
      </c>
      <c r="K14" s="65">
        <f t="shared" si="5"/>
        <v>250</v>
      </c>
      <c r="L14" s="14">
        <f t="shared" si="5"/>
        <v>250</v>
      </c>
      <c r="M14" s="14">
        <f t="shared" si="5"/>
        <v>250</v>
      </c>
      <c r="N14" s="14">
        <f t="shared" si="5"/>
        <v>250</v>
      </c>
      <c r="O14" s="65">
        <f t="shared" si="5"/>
        <v>250</v>
      </c>
      <c r="P14" s="14">
        <f t="shared" si="5"/>
        <v>250</v>
      </c>
      <c r="Q14" s="14">
        <f t="shared" si="5"/>
        <v>250</v>
      </c>
      <c r="R14" s="14">
        <f t="shared" si="5"/>
        <v>250</v>
      </c>
      <c r="S14" s="65">
        <f t="shared" si="5"/>
        <v>250</v>
      </c>
      <c r="T14" s="14">
        <f t="shared" si="5"/>
        <v>250</v>
      </c>
      <c r="U14" s="14">
        <f t="shared" si="5"/>
        <v>250</v>
      </c>
      <c r="V14" s="14">
        <f t="shared" si="5"/>
        <v>250</v>
      </c>
      <c r="W14" s="65">
        <f t="shared" si="5"/>
        <v>250</v>
      </c>
      <c r="X14" s="14">
        <f t="shared" si="5"/>
        <v>250</v>
      </c>
      <c r="Y14" s="14">
        <f t="shared" si="5"/>
        <v>250</v>
      </c>
      <c r="Z14" s="14">
        <f t="shared" si="5"/>
        <v>250</v>
      </c>
      <c r="AA14" s="65">
        <f t="shared" si="5"/>
        <v>250</v>
      </c>
      <c r="AB14" s="14">
        <f t="shared" si="5"/>
        <v>250</v>
      </c>
    </row>
    <row r="15" spans="1:28" x14ac:dyDescent="0.2">
      <c r="C15" s="25" t="s">
        <v>90</v>
      </c>
      <c r="D15" s="14">
        <f t="shared" ref="D15:AB15" si="6">$J3</f>
        <v>30</v>
      </c>
      <c r="E15" s="14">
        <f t="shared" si="6"/>
        <v>30</v>
      </c>
      <c r="F15" s="14">
        <f t="shared" si="6"/>
        <v>30</v>
      </c>
      <c r="G15" s="65">
        <f t="shared" si="6"/>
        <v>30</v>
      </c>
      <c r="H15" s="14">
        <f t="shared" si="6"/>
        <v>30</v>
      </c>
      <c r="I15" s="14">
        <f t="shared" si="6"/>
        <v>30</v>
      </c>
      <c r="J15" s="14">
        <f t="shared" si="6"/>
        <v>30</v>
      </c>
      <c r="K15" s="65">
        <f t="shared" si="6"/>
        <v>30</v>
      </c>
      <c r="L15" s="14">
        <f t="shared" si="6"/>
        <v>30</v>
      </c>
      <c r="M15" s="14">
        <f t="shared" si="6"/>
        <v>30</v>
      </c>
      <c r="N15" s="14">
        <f t="shared" si="6"/>
        <v>30</v>
      </c>
      <c r="O15" s="65">
        <f t="shared" si="6"/>
        <v>30</v>
      </c>
      <c r="P15" s="14">
        <f t="shared" si="6"/>
        <v>30</v>
      </c>
      <c r="Q15" s="14">
        <f t="shared" si="6"/>
        <v>30</v>
      </c>
      <c r="R15" s="14">
        <f t="shared" si="6"/>
        <v>30</v>
      </c>
      <c r="S15" s="65">
        <f t="shared" si="6"/>
        <v>30</v>
      </c>
      <c r="T15" s="14">
        <f t="shared" si="6"/>
        <v>30</v>
      </c>
      <c r="U15" s="14">
        <f t="shared" si="6"/>
        <v>30</v>
      </c>
      <c r="V15" s="14">
        <f t="shared" si="6"/>
        <v>30</v>
      </c>
      <c r="W15" s="65">
        <f t="shared" si="6"/>
        <v>30</v>
      </c>
      <c r="X15" s="14">
        <f t="shared" si="6"/>
        <v>30</v>
      </c>
      <c r="Y15" s="14">
        <f t="shared" si="6"/>
        <v>30</v>
      </c>
      <c r="Z15" s="14">
        <f t="shared" si="6"/>
        <v>30</v>
      </c>
      <c r="AA15" s="65">
        <f t="shared" si="6"/>
        <v>30</v>
      </c>
      <c r="AB15" s="14">
        <f t="shared" si="6"/>
        <v>30</v>
      </c>
    </row>
    <row r="16" spans="1:28" x14ac:dyDescent="0.2">
      <c r="C16" s="25" t="s">
        <v>92</v>
      </c>
      <c r="D16" s="53">
        <f>24*60/D14</f>
        <v>5.76</v>
      </c>
      <c r="E16" s="53">
        <f t="shared" ref="E16:Z16" si="7">24*60/E14</f>
        <v>5.76</v>
      </c>
      <c r="F16" s="53">
        <f t="shared" si="7"/>
        <v>5.76</v>
      </c>
      <c r="G16" s="64">
        <f t="shared" si="7"/>
        <v>5.76</v>
      </c>
      <c r="H16" s="53">
        <f t="shared" si="7"/>
        <v>5.76</v>
      </c>
      <c r="I16" s="53">
        <f t="shared" si="7"/>
        <v>5.76</v>
      </c>
      <c r="J16" s="53">
        <f t="shared" si="7"/>
        <v>5.76</v>
      </c>
      <c r="K16" s="64">
        <f t="shared" si="7"/>
        <v>5.76</v>
      </c>
      <c r="L16" s="53">
        <f t="shared" si="7"/>
        <v>5.76</v>
      </c>
      <c r="M16" s="53">
        <f t="shared" si="7"/>
        <v>5.76</v>
      </c>
      <c r="N16" s="53">
        <f t="shared" si="7"/>
        <v>5.76</v>
      </c>
      <c r="O16" s="64">
        <f t="shared" si="7"/>
        <v>5.76</v>
      </c>
      <c r="P16" s="53">
        <f t="shared" si="7"/>
        <v>5.76</v>
      </c>
      <c r="Q16" s="53">
        <f t="shared" si="7"/>
        <v>5.76</v>
      </c>
      <c r="R16" s="53">
        <f t="shared" si="7"/>
        <v>5.76</v>
      </c>
      <c r="S16" s="64">
        <f t="shared" si="7"/>
        <v>5.76</v>
      </c>
      <c r="T16" s="53">
        <f t="shared" si="7"/>
        <v>5.76</v>
      </c>
      <c r="U16" s="53">
        <f t="shared" si="7"/>
        <v>5.76</v>
      </c>
      <c r="V16" s="53">
        <f t="shared" si="7"/>
        <v>5.76</v>
      </c>
      <c r="W16" s="64">
        <f t="shared" si="7"/>
        <v>5.76</v>
      </c>
      <c r="X16" s="53">
        <f t="shared" si="7"/>
        <v>5.76</v>
      </c>
      <c r="Y16" s="53">
        <f t="shared" si="7"/>
        <v>5.76</v>
      </c>
      <c r="Z16" s="53">
        <f t="shared" si="7"/>
        <v>5.76</v>
      </c>
      <c r="AA16" s="64">
        <f t="shared" ref="AA16:AB16" si="8">24*60/AA14</f>
        <v>5.76</v>
      </c>
      <c r="AB16" s="53">
        <f t="shared" si="8"/>
        <v>5.76</v>
      </c>
    </row>
    <row r="17" spans="3:28" x14ac:dyDescent="0.2">
      <c r="C17" s="25" t="s">
        <v>91</v>
      </c>
      <c r="D17" s="53">
        <f t="shared" ref="D17:Z17" si="9">D15/60*D16</f>
        <v>2.88</v>
      </c>
      <c r="E17" s="53">
        <f t="shared" si="9"/>
        <v>2.88</v>
      </c>
      <c r="F17" s="53">
        <f t="shared" si="9"/>
        <v>2.88</v>
      </c>
      <c r="G17" s="64">
        <f t="shared" si="9"/>
        <v>2.88</v>
      </c>
      <c r="H17" s="53">
        <f t="shared" si="9"/>
        <v>2.88</v>
      </c>
      <c r="I17" s="53">
        <f t="shared" si="9"/>
        <v>2.88</v>
      </c>
      <c r="J17" s="53">
        <f t="shared" si="9"/>
        <v>2.88</v>
      </c>
      <c r="K17" s="64">
        <f t="shared" si="9"/>
        <v>2.88</v>
      </c>
      <c r="L17" s="53">
        <f t="shared" si="9"/>
        <v>2.88</v>
      </c>
      <c r="M17" s="53">
        <f t="shared" si="9"/>
        <v>2.88</v>
      </c>
      <c r="N17" s="53">
        <f t="shared" si="9"/>
        <v>2.88</v>
      </c>
      <c r="O17" s="64">
        <f t="shared" si="9"/>
        <v>2.88</v>
      </c>
      <c r="P17" s="53">
        <f t="shared" si="9"/>
        <v>2.88</v>
      </c>
      <c r="Q17" s="53">
        <f t="shared" si="9"/>
        <v>2.88</v>
      </c>
      <c r="R17" s="53">
        <f t="shared" si="9"/>
        <v>2.88</v>
      </c>
      <c r="S17" s="64">
        <f t="shared" si="9"/>
        <v>2.88</v>
      </c>
      <c r="T17" s="53">
        <f t="shared" si="9"/>
        <v>2.88</v>
      </c>
      <c r="U17" s="53">
        <f t="shared" si="9"/>
        <v>2.88</v>
      </c>
      <c r="V17" s="53">
        <f t="shared" si="9"/>
        <v>2.88</v>
      </c>
      <c r="W17" s="64">
        <f t="shared" si="9"/>
        <v>2.88</v>
      </c>
      <c r="X17" s="53">
        <f t="shared" si="9"/>
        <v>2.88</v>
      </c>
      <c r="Y17" s="53">
        <f t="shared" si="9"/>
        <v>2.88</v>
      </c>
      <c r="Z17" s="53">
        <f t="shared" si="9"/>
        <v>2.88</v>
      </c>
      <c r="AA17" s="64">
        <f t="shared" ref="AA17:AB17" si="10">AA15/60*AA16</f>
        <v>2.88</v>
      </c>
      <c r="AB17" s="53">
        <f t="shared" si="10"/>
        <v>2.88</v>
      </c>
    </row>
    <row r="18" spans="3:28" x14ac:dyDescent="0.2">
      <c r="D18" s="53"/>
      <c r="E18" s="53"/>
      <c r="F18" s="53"/>
      <c r="G18" s="64"/>
      <c r="H18" s="53"/>
      <c r="I18" s="53"/>
      <c r="J18" s="53"/>
      <c r="K18" s="64"/>
      <c r="L18" s="53"/>
      <c r="M18" s="53"/>
      <c r="N18" s="53"/>
      <c r="O18" s="64"/>
      <c r="P18" s="53"/>
      <c r="Q18" s="53"/>
      <c r="R18" s="53"/>
      <c r="S18" s="64"/>
      <c r="T18" s="53"/>
      <c r="U18" s="53"/>
      <c r="V18" s="53"/>
      <c r="W18" s="64"/>
      <c r="X18" s="53"/>
      <c r="Y18" s="53"/>
      <c r="Z18" s="53"/>
      <c r="AA18" s="64"/>
      <c r="AB18" s="53"/>
    </row>
    <row r="19" spans="3:28" ht="16" thickBot="1" x14ac:dyDescent="0.25">
      <c r="C19" s="25" t="s">
        <v>190</v>
      </c>
      <c r="D19" s="53">
        <f>D12*D17</f>
        <v>0.24480000000000002</v>
      </c>
      <c r="E19" s="53">
        <f t="shared" ref="E19:Z19" si="11">E12*E17</f>
        <v>0.48960000000000004</v>
      </c>
      <c r="F19" s="53">
        <f t="shared" si="11"/>
        <v>0.73439999999999994</v>
      </c>
      <c r="G19" s="64">
        <f t="shared" si="11"/>
        <v>0.97920000000000007</v>
      </c>
      <c r="H19" s="53">
        <f t="shared" si="11"/>
        <v>1.224</v>
      </c>
      <c r="I19" s="53">
        <f t="shared" si="11"/>
        <v>1.4687999999999999</v>
      </c>
      <c r="J19" s="53">
        <f t="shared" si="11"/>
        <v>1.7136000000000002</v>
      </c>
      <c r="K19" s="64">
        <f t="shared" si="11"/>
        <v>1.9584000000000001</v>
      </c>
      <c r="L19" s="53">
        <f t="shared" si="11"/>
        <v>2.2031999999999998</v>
      </c>
      <c r="M19" s="53">
        <f t="shared" si="11"/>
        <v>2.448</v>
      </c>
      <c r="N19" s="53">
        <f t="shared" si="11"/>
        <v>2.6928000000000001</v>
      </c>
      <c r="O19" s="64">
        <f t="shared" si="11"/>
        <v>2.9375999999999998</v>
      </c>
      <c r="P19" s="53">
        <f t="shared" si="11"/>
        <v>3.1823999999999999</v>
      </c>
      <c r="Q19" s="53">
        <f t="shared" si="11"/>
        <v>3.4272000000000005</v>
      </c>
      <c r="R19" s="53">
        <f t="shared" si="11"/>
        <v>3.6719999999999997</v>
      </c>
      <c r="S19" s="64">
        <f t="shared" si="11"/>
        <v>3.9168000000000003</v>
      </c>
      <c r="T19" s="53">
        <f t="shared" si="11"/>
        <v>4.1616</v>
      </c>
      <c r="U19" s="53">
        <f t="shared" si="11"/>
        <v>4.4063999999999997</v>
      </c>
      <c r="V19" s="53">
        <f t="shared" si="11"/>
        <v>4.6512000000000002</v>
      </c>
      <c r="W19" s="64">
        <f t="shared" si="11"/>
        <v>4.8959999999999999</v>
      </c>
      <c r="X19" s="53">
        <f t="shared" si="11"/>
        <v>5.1407999999999996</v>
      </c>
      <c r="Y19" s="53">
        <f t="shared" si="11"/>
        <v>5.3856000000000002</v>
      </c>
      <c r="Z19" s="53">
        <f t="shared" si="11"/>
        <v>5.6303999999999998</v>
      </c>
      <c r="AA19" s="64">
        <f t="shared" ref="AA19:AB19" si="12">AA12*AA17</f>
        <v>5.8751999999999995</v>
      </c>
      <c r="AB19" s="53">
        <f t="shared" si="12"/>
        <v>6.12</v>
      </c>
    </row>
    <row r="20" spans="3:28" ht="16" thickBot="1" x14ac:dyDescent="0.25">
      <c r="C20" s="25" t="s">
        <v>191</v>
      </c>
      <c r="D20" s="56">
        <f>D19/24*1000</f>
        <v>10.200000000000001</v>
      </c>
      <c r="E20" s="57">
        <f t="shared" ref="E20:AB20" si="13">E19/24*1000</f>
        <v>20.400000000000002</v>
      </c>
      <c r="F20" s="57">
        <f t="shared" si="13"/>
        <v>30.599999999999998</v>
      </c>
      <c r="G20" s="62">
        <f t="shared" si="13"/>
        <v>40.800000000000004</v>
      </c>
      <c r="H20" s="57">
        <f t="shared" si="13"/>
        <v>51</v>
      </c>
      <c r="I20" s="57">
        <f t="shared" si="13"/>
        <v>61.199999999999996</v>
      </c>
      <c r="J20" s="57">
        <f t="shared" si="13"/>
        <v>71.400000000000006</v>
      </c>
      <c r="K20" s="62">
        <f t="shared" si="13"/>
        <v>81.600000000000009</v>
      </c>
      <c r="L20" s="57">
        <f t="shared" si="13"/>
        <v>91.8</v>
      </c>
      <c r="M20" s="57">
        <f t="shared" si="13"/>
        <v>102</v>
      </c>
      <c r="N20" s="57">
        <f t="shared" si="13"/>
        <v>112.2</v>
      </c>
      <c r="O20" s="62">
        <f t="shared" si="13"/>
        <v>122.39999999999999</v>
      </c>
      <c r="P20" s="57">
        <f t="shared" si="13"/>
        <v>132.6</v>
      </c>
      <c r="Q20" s="57">
        <f t="shared" si="13"/>
        <v>142.80000000000001</v>
      </c>
      <c r="R20" s="57">
        <f t="shared" si="13"/>
        <v>153</v>
      </c>
      <c r="S20" s="62">
        <f t="shared" si="13"/>
        <v>163.20000000000002</v>
      </c>
      <c r="T20" s="57">
        <f t="shared" si="13"/>
        <v>173.4</v>
      </c>
      <c r="U20" s="57">
        <f t="shared" si="13"/>
        <v>183.6</v>
      </c>
      <c r="V20" s="57">
        <f t="shared" si="13"/>
        <v>193.8</v>
      </c>
      <c r="W20" s="62">
        <f t="shared" si="13"/>
        <v>204</v>
      </c>
      <c r="X20" s="57">
        <f t="shared" si="13"/>
        <v>214.19999999999996</v>
      </c>
      <c r="Y20" s="57">
        <f t="shared" si="13"/>
        <v>224.4</v>
      </c>
      <c r="Z20" s="57">
        <f t="shared" si="13"/>
        <v>234.6</v>
      </c>
      <c r="AA20" s="62">
        <f t="shared" si="13"/>
        <v>244.79999999999998</v>
      </c>
      <c r="AB20" s="58">
        <f t="shared" si="13"/>
        <v>255</v>
      </c>
    </row>
    <row r="21" spans="3:28" x14ac:dyDescent="0.2">
      <c r="D21" s="53"/>
      <c r="E21" s="53"/>
      <c r="F21" s="53"/>
      <c r="G21" s="64"/>
      <c r="H21" s="53"/>
      <c r="I21" s="53"/>
      <c r="J21" s="53"/>
      <c r="K21" s="64"/>
      <c r="L21" s="53"/>
      <c r="M21" s="53"/>
      <c r="N21" s="53"/>
      <c r="O21" s="64"/>
      <c r="P21" s="53"/>
      <c r="Q21" s="53"/>
      <c r="R21" s="53"/>
      <c r="S21" s="64"/>
      <c r="T21" s="53"/>
      <c r="U21" s="53"/>
      <c r="V21" s="53"/>
      <c r="W21" s="64"/>
      <c r="X21" s="53"/>
      <c r="Y21" s="53"/>
      <c r="Z21" s="53"/>
      <c r="AA21" s="64"/>
      <c r="AB21" s="53"/>
    </row>
    <row r="22" spans="3:28" s="2" customFormat="1" x14ac:dyDescent="0.2">
      <c r="C22" s="52" t="s">
        <v>192</v>
      </c>
      <c r="D22" s="53">
        <f>D7/'Pointing Eff Acc'!$F30</f>
        <v>1.7108835591711404</v>
      </c>
      <c r="E22" s="53">
        <f>E7/'Pointing Eff Acc'!$F30</f>
        <v>3.4217671183422809</v>
      </c>
      <c r="F22" s="53">
        <f>F7/'Pointing Eff Acc'!$F30</f>
        <v>5.1326506775134213</v>
      </c>
      <c r="G22" s="64">
        <f>G7/'Pointing Eff Acc'!$F30</f>
        <v>6.8435342366845617</v>
      </c>
      <c r="H22" s="53">
        <f>H7/'Pointing Eff Acc'!$F30</f>
        <v>8.5544177958557022</v>
      </c>
      <c r="I22" s="53">
        <f>I7/'Pointing Eff Acc'!$F30</f>
        <v>10.265301355026843</v>
      </c>
      <c r="J22" s="53">
        <f>J7/'Pointing Eff Acc'!$F30</f>
        <v>11.976184914197983</v>
      </c>
      <c r="K22" s="64">
        <f>K7/'Pointing Eff Acc'!$F30</f>
        <v>13.687068473369123</v>
      </c>
      <c r="L22" s="53">
        <f>L7/'Pointing Eff Acc'!$F30</f>
        <v>15.397952032540264</v>
      </c>
      <c r="M22" s="53">
        <f>M7/'Pointing Eff Acc'!$F30</f>
        <v>17.108835591711404</v>
      </c>
      <c r="N22" s="53">
        <f>N7/'Pointing Eff Acc'!$F30</f>
        <v>18.819719150882545</v>
      </c>
      <c r="O22" s="64">
        <f>O7/'Pointing Eff Acc'!$F30</f>
        <v>20.530602710053685</v>
      </c>
      <c r="P22" s="53">
        <f>P7/'Pointing Eff Acc'!$F30</f>
        <v>22.241486269224826</v>
      </c>
      <c r="Q22" s="53">
        <f>Q7/'Pointing Eff Acc'!$F30</f>
        <v>23.952369828395966</v>
      </c>
      <c r="R22" s="53">
        <f>R7/'Pointing Eff Acc'!$F30</f>
        <v>25.663253387567107</v>
      </c>
      <c r="S22" s="64">
        <f>S7/'Pointing Eff Acc'!$F30</f>
        <v>27.374136946738247</v>
      </c>
      <c r="T22" s="53">
        <f>T7/'Pointing Eff Acc'!$F30</f>
        <v>29.085020505909387</v>
      </c>
      <c r="U22" s="53">
        <f>U7/'Pointing Eff Acc'!$F30</f>
        <v>30.795904065080528</v>
      </c>
      <c r="V22" s="53">
        <f>V7/'Pointing Eff Acc'!$F30</f>
        <v>32.506787624251672</v>
      </c>
      <c r="W22" s="64">
        <f>W7/'Pointing Eff Acc'!$F30</f>
        <v>34.217671183422809</v>
      </c>
      <c r="X22" s="53">
        <f>X7/'Pointing Eff Acc'!$F30</f>
        <v>35.928554742593953</v>
      </c>
      <c r="Y22" s="53">
        <f>Y7/'Pointing Eff Acc'!$F30</f>
        <v>37.63943830176509</v>
      </c>
      <c r="Z22" s="53">
        <f>Z7/'Pointing Eff Acc'!$F30</f>
        <v>39.350321860936234</v>
      </c>
      <c r="AA22" s="64">
        <f>AA7/'Pointing Eff Acc'!$F30</f>
        <v>41.06120542010737</v>
      </c>
      <c r="AB22" s="53">
        <f>AB7/'Pointing Eff Acc'!$F30</f>
        <v>42.772088979278514</v>
      </c>
    </row>
    <row r="23" spans="3:28" ht="16" thickBot="1" x14ac:dyDescent="0.25">
      <c r="C23" s="25" t="s">
        <v>193</v>
      </c>
      <c r="D23" s="55">
        <f>1.373*10</f>
        <v>13.73</v>
      </c>
      <c r="E23" s="55">
        <f>D23</f>
        <v>13.73</v>
      </c>
      <c r="F23" s="55">
        <f t="shared" ref="F23:AB23" si="14">E23</f>
        <v>13.73</v>
      </c>
      <c r="G23" s="66">
        <f t="shared" si="14"/>
        <v>13.73</v>
      </c>
      <c r="H23" s="55">
        <f t="shared" si="14"/>
        <v>13.73</v>
      </c>
      <c r="I23" s="55">
        <f t="shared" si="14"/>
        <v>13.73</v>
      </c>
      <c r="J23" s="55">
        <f>I23</f>
        <v>13.73</v>
      </c>
      <c r="K23" s="66">
        <f t="shared" si="14"/>
        <v>13.73</v>
      </c>
      <c r="L23" s="55">
        <f t="shared" si="14"/>
        <v>13.73</v>
      </c>
      <c r="M23" s="55">
        <f t="shared" si="14"/>
        <v>13.73</v>
      </c>
      <c r="N23" s="55">
        <f t="shared" si="14"/>
        <v>13.73</v>
      </c>
      <c r="O23" s="66">
        <f t="shared" si="14"/>
        <v>13.73</v>
      </c>
      <c r="P23" s="55">
        <f t="shared" si="14"/>
        <v>13.73</v>
      </c>
      <c r="Q23" s="55">
        <f t="shared" si="14"/>
        <v>13.73</v>
      </c>
      <c r="R23" s="55">
        <f t="shared" si="14"/>
        <v>13.73</v>
      </c>
      <c r="S23" s="66">
        <f t="shared" si="14"/>
        <v>13.73</v>
      </c>
      <c r="T23" s="55">
        <f t="shared" si="14"/>
        <v>13.73</v>
      </c>
      <c r="U23" s="55">
        <f t="shared" si="14"/>
        <v>13.73</v>
      </c>
      <c r="V23" s="55">
        <f t="shared" si="14"/>
        <v>13.73</v>
      </c>
      <c r="W23" s="66">
        <f t="shared" si="14"/>
        <v>13.73</v>
      </c>
      <c r="X23" s="55">
        <f t="shared" si="14"/>
        <v>13.73</v>
      </c>
      <c r="Y23" s="55">
        <f t="shared" si="14"/>
        <v>13.73</v>
      </c>
      <c r="Z23" s="55">
        <f t="shared" si="14"/>
        <v>13.73</v>
      </c>
      <c r="AA23" s="66">
        <f t="shared" si="14"/>
        <v>13.73</v>
      </c>
      <c r="AB23" s="55">
        <f t="shared" si="14"/>
        <v>13.73</v>
      </c>
    </row>
    <row r="24" spans="3:28" ht="16" thickBot="1" x14ac:dyDescent="0.25">
      <c r="C24" s="25" t="s">
        <v>194</v>
      </c>
      <c r="D24" s="59">
        <f>CEILING(D22/D23,1)</f>
        <v>1</v>
      </c>
      <c r="E24" s="60">
        <f t="shared" ref="E24:AB24" si="15">CEILING(E22/E23,1)</f>
        <v>1</v>
      </c>
      <c r="F24" s="60">
        <f t="shared" si="15"/>
        <v>1</v>
      </c>
      <c r="G24" s="67">
        <f t="shared" si="15"/>
        <v>1</v>
      </c>
      <c r="H24" s="60">
        <f t="shared" si="15"/>
        <v>1</v>
      </c>
      <c r="I24" s="60">
        <f t="shared" si="15"/>
        <v>1</v>
      </c>
      <c r="J24" s="60">
        <f t="shared" si="15"/>
        <v>1</v>
      </c>
      <c r="K24" s="67">
        <f t="shared" si="15"/>
        <v>1</v>
      </c>
      <c r="L24" s="60">
        <f t="shared" si="15"/>
        <v>2</v>
      </c>
      <c r="M24" s="60">
        <f t="shared" si="15"/>
        <v>2</v>
      </c>
      <c r="N24" s="60">
        <f t="shared" si="15"/>
        <v>2</v>
      </c>
      <c r="O24" s="67">
        <f t="shared" si="15"/>
        <v>2</v>
      </c>
      <c r="P24" s="60">
        <f t="shared" si="15"/>
        <v>2</v>
      </c>
      <c r="Q24" s="60">
        <f t="shared" si="15"/>
        <v>2</v>
      </c>
      <c r="R24" s="60">
        <f t="shared" si="15"/>
        <v>2</v>
      </c>
      <c r="S24" s="67">
        <f t="shared" si="15"/>
        <v>2</v>
      </c>
      <c r="T24" s="60">
        <f t="shared" si="15"/>
        <v>3</v>
      </c>
      <c r="U24" s="60">
        <f t="shared" si="15"/>
        <v>3</v>
      </c>
      <c r="V24" s="60">
        <f t="shared" si="15"/>
        <v>3</v>
      </c>
      <c r="W24" s="67">
        <f t="shared" si="15"/>
        <v>3</v>
      </c>
      <c r="X24" s="60">
        <f t="shared" si="15"/>
        <v>3</v>
      </c>
      <c r="Y24" s="60">
        <f t="shared" si="15"/>
        <v>3</v>
      </c>
      <c r="Z24" s="60">
        <f t="shared" si="15"/>
        <v>3</v>
      </c>
      <c r="AA24" s="67">
        <f t="shared" si="15"/>
        <v>3</v>
      </c>
      <c r="AB24" s="61">
        <f t="shared" si="15"/>
        <v>4</v>
      </c>
    </row>
    <row r="25" spans="3:28" x14ac:dyDescent="0.2">
      <c r="Y25" s="2"/>
      <c r="Z25" s="2"/>
    </row>
    <row r="26" spans="3:28" x14ac:dyDescent="0.2">
      <c r="Y26" s="2"/>
      <c r="Z26" s="2"/>
    </row>
    <row r="27" spans="3:28" x14ac:dyDescent="0.2">
      <c r="Y27" s="2"/>
      <c r="Z27" s="2"/>
    </row>
    <row r="28" spans="3:28" x14ac:dyDescent="0.2">
      <c r="Y28" s="2"/>
      <c r="Z28" s="2"/>
    </row>
    <row r="29" spans="3:28" x14ac:dyDescent="0.2">
      <c r="Y29" s="2"/>
      <c r="Z29" s="2"/>
    </row>
    <row r="30" spans="3:28" x14ac:dyDescent="0.2">
      <c r="Y30" s="2"/>
      <c r="Z30" s="2"/>
    </row>
    <row r="31" spans="3:28" x14ac:dyDescent="0.2">
      <c r="Y31" s="2"/>
      <c r="Z31" s="2"/>
    </row>
    <row r="32" spans="3:28" x14ac:dyDescent="0.2">
      <c r="Y32" s="2"/>
      <c r="Z32" s="2"/>
    </row>
    <row r="33" spans="25:26" x14ac:dyDescent="0.2">
      <c r="Y33" s="2"/>
      <c r="Z33" s="2"/>
    </row>
    <row r="34" spans="25:26" x14ac:dyDescent="0.2">
      <c r="Y34" s="2"/>
      <c r="Z34" s="2"/>
    </row>
    <row r="35" spans="25:26" x14ac:dyDescent="0.2">
      <c r="Y35" s="2"/>
      <c r="Z35" s="2"/>
    </row>
    <row r="36" spans="25:26" x14ac:dyDescent="0.2">
      <c r="Y36" s="2"/>
      <c r="Z36" s="2"/>
    </row>
    <row r="37" spans="25:26" x14ac:dyDescent="0.2">
      <c r="Y37" s="2"/>
      <c r="Z37" s="2"/>
    </row>
    <row r="50" spans="2:33" x14ac:dyDescent="0.2">
      <c r="B50" t="s">
        <v>195</v>
      </c>
    </row>
    <row r="52" spans="2:33" ht="16" thickBot="1" x14ac:dyDescent="0.25"/>
    <row r="53" spans="2:33" x14ac:dyDescent="0.2">
      <c r="C53" s="25" t="s">
        <v>95</v>
      </c>
      <c r="D53">
        <v>40</v>
      </c>
      <c r="E53">
        <v>60</v>
      </c>
      <c r="F53" s="36">
        <v>80</v>
      </c>
      <c r="G53">
        <v>100</v>
      </c>
      <c r="H53">
        <v>120</v>
      </c>
      <c r="I53">
        <v>140</v>
      </c>
      <c r="J53">
        <v>160</v>
      </c>
      <c r="K53">
        <v>180</v>
      </c>
      <c r="L53">
        <v>200</v>
      </c>
      <c r="M53">
        <v>220</v>
      </c>
      <c r="N53">
        <v>240</v>
      </c>
      <c r="O53">
        <v>260</v>
      </c>
      <c r="P53">
        <v>280</v>
      </c>
      <c r="Q53">
        <v>300</v>
      </c>
      <c r="R53">
        <v>320</v>
      </c>
      <c r="S53">
        <v>340</v>
      </c>
      <c r="T53">
        <v>360</v>
      </c>
      <c r="U53">
        <v>380</v>
      </c>
      <c r="V53">
        <v>400</v>
      </c>
      <c r="W53">
        <v>420</v>
      </c>
      <c r="X53">
        <v>440</v>
      </c>
      <c r="Y53">
        <v>460</v>
      </c>
      <c r="Z53">
        <v>480</v>
      </c>
      <c r="AA53">
        <v>520</v>
      </c>
      <c r="AB53">
        <v>540</v>
      </c>
      <c r="AC53">
        <v>560</v>
      </c>
      <c r="AD53">
        <v>580</v>
      </c>
      <c r="AE53">
        <v>600</v>
      </c>
      <c r="AF53">
        <v>620</v>
      </c>
      <c r="AG53">
        <v>640</v>
      </c>
    </row>
    <row r="54" spans="2:33" x14ac:dyDescent="0.2">
      <c r="C54" s="25" t="s">
        <v>94</v>
      </c>
      <c r="D54" s="1">
        <f t="shared" ref="D54:Z54" si="16">D53*24/1000</f>
        <v>0.96</v>
      </c>
      <c r="E54" s="1">
        <f t="shared" si="16"/>
        <v>1.44</v>
      </c>
      <c r="F54" s="37">
        <f t="shared" si="16"/>
        <v>1.92</v>
      </c>
      <c r="G54" s="1">
        <f t="shared" si="16"/>
        <v>2.4</v>
      </c>
      <c r="H54" s="1">
        <f t="shared" si="16"/>
        <v>2.88</v>
      </c>
      <c r="I54" s="1">
        <f t="shared" si="16"/>
        <v>3.36</v>
      </c>
      <c r="J54" s="1">
        <f t="shared" si="16"/>
        <v>3.84</v>
      </c>
      <c r="K54" s="1">
        <f t="shared" si="16"/>
        <v>4.32</v>
      </c>
      <c r="L54" s="1">
        <f t="shared" si="16"/>
        <v>4.8</v>
      </c>
      <c r="M54" s="1">
        <f t="shared" si="16"/>
        <v>5.28</v>
      </c>
      <c r="N54" s="1">
        <f t="shared" si="16"/>
        <v>5.76</v>
      </c>
      <c r="O54" s="1">
        <f t="shared" si="16"/>
        <v>6.24</v>
      </c>
      <c r="P54" s="1">
        <f t="shared" si="16"/>
        <v>6.72</v>
      </c>
      <c r="Q54" s="1">
        <f t="shared" si="16"/>
        <v>7.2</v>
      </c>
      <c r="R54" s="1">
        <f t="shared" si="16"/>
        <v>7.68</v>
      </c>
      <c r="S54" s="1">
        <f t="shared" si="16"/>
        <v>8.16</v>
      </c>
      <c r="T54" s="1">
        <f t="shared" si="16"/>
        <v>8.64</v>
      </c>
      <c r="U54" s="1">
        <f t="shared" si="16"/>
        <v>9.1199999999999992</v>
      </c>
      <c r="V54" s="1">
        <f t="shared" si="16"/>
        <v>9.6</v>
      </c>
      <c r="W54" s="1">
        <f t="shared" si="16"/>
        <v>10.08</v>
      </c>
      <c r="X54" s="1">
        <f t="shared" si="16"/>
        <v>10.56</v>
      </c>
      <c r="Y54" s="1">
        <f t="shared" si="16"/>
        <v>11.04</v>
      </c>
      <c r="Z54" s="1">
        <f t="shared" si="16"/>
        <v>11.52</v>
      </c>
      <c r="AA54" s="1">
        <f t="shared" ref="AA54:AG54" si="17">AA53*24/1000</f>
        <v>12.48</v>
      </c>
      <c r="AB54" s="1">
        <f t="shared" si="17"/>
        <v>12.96</v>
      </c>
      <c r="AC54" s="1">
        <f t="shared" si="17"/>
        <v>13.44</v>
      </c>
      <c r="AD54" s="1">
        <f t="shared" si="17"/>
        <v>13.92</v>
      </c>
      <c r="AE54" s="1">
        <f t="shared" si="17"/>
        <v>14.4</v>
      </c>
      <c r="AF54" s="1">
        <f t="shared" si="17"/>
        <v>14.88</v>
      </c>
      <c r="AG54" s="1">
        <f t="shared" si="17"/>
        <v>15.36</v>
      </c>
    </row>
    <row r="55" spans="2:33" x14ac:dyDescent="0.2">
      <c r="C55" s="25"/>
      <c r="F55" s="38"/>
    </row>
    <row r="56" spans="2:33" x14ac:dyDescent="0.2">
      <c r="C56" s="25" t="s">
        <v>89</v>
      </c>
      <c r="D56" s="44">
        <v>0.4</v>
      </c>
      <c r="E56" s="44">
        <v>0.4</v>
      </c>
      <c r="F56" s="45">
        <v>0.4</v>
      </c>
      <c r="G56" s="44">
        <v>0.4</v>
      </c>
      <c r="H56" s="44">
        <v>0.4</v>
      </c>
      <c r="I56" s="44">
        <v>0.4</v>
      </c>
      <c r="J56" s="44">
        <v>0.4</v>
      </c>
      <c r="K56" s="44">
        <v>0.4</v>
      </c>
      <c r="L56" s="44">
        <v>0.4</v>
      </c>
      <c r="M56" s="44">
        <v>0.4</v>
      </c>
      <c r="N56" s="44">
        <v>0.4</v>
      </c>
      <c r="O56" s="44">
        <v>0.4</v>
      </c>
      <c r="P56" s="44">
        <v>0.4</v>
      </c>
      <c r="Q56" s="44">
        <v>0.4</v>
      </c>
      <c r="R56" s="44">
        <v>0.4</v>
      </c>
      <c r="S56" s="44">
        <v>0.4</v>
      </c>
      <c r="T56" s="44">
        <v>0.4</v>
      </c>
      <c r="U56" s="44">
        <v>0.4</v>
      </c>
      <c r="V56" s="44">
        <v>0.4</v>
      </c>
      <c r="W56" s="44">
        <v>0.4</v>
      </c>
      <c r="X56" s="44">
        <v>0.4</v>
      </c>
      <c r="Y56" s="44">
        <v>0.4</v>
      </c>
      <c r="Z56" s="44">
        <v>0.4</v>
      </c>
      <c r="AA56" s="44">
        <v>0.4</v>
      </c>
      <c r="AB56" s="44">
        <v>0.4</v>
      </c>
      <c r="AC56" s="44">
        <v>0.4</v>
      </c>
      <c r="AD56" s="44">
        <v>0.4</v>
      </c>
      <c r="AE56" s="44">
        <v>0.4</v>
      </c>
      <c r="AF56" s="44">
        <v>0.4</v>
      </c>
      <c r="AG56" s="44">
        <v>0.4</v>
      </c>
    </row>
    <row r="57" spans="2:33" x14ac:dyDescent="0.2">
      <c r="C57" s="25" t="s">
        <v>141</v>
      </c>
      <c r="D57" s="44">
        <v>0.5</v>
      </c>
      <c r="E57" s="44">
        <v>0.5</v>
      </c>
      <c r="F57" s="45">
        <v>0.5</v>
      </c>
      <c r="G57" s="44">
        <v>0.5</v>
      </c>
      <c r="H57" s="44">
        <v>0.5</v>
      </c>
      <c r="I57" s="44">
        <v>0.5</v>
      </c>
      <c r="J57" s="44">
        <v>0.5</v>
      </c>
      <c r="K57" s="44">
        <v>0.5</v>
      </c>
      <c r="L57" s="44">
        <v>0.5</v>
      </c>
      <c r="M57" s="44">
        <v>0.5</v>
      </c>
      <c r="N57" s="44">
        <v>0.5</v>
      </c>
      <c r="O57" s="44">
        <v>0.5</v>
      </c>
      <c r="P57" s="44">
        <v>0.5</v>
      </c>
      <c r="Q57" s="44">
        <v>0.5</v>
      </c>
      <c r="R57" s="44">
        <v>0.5</v>
      </c>
      <c r="S57" s="44">
        <v>0.5</v>
      </c>
      <c r="T57" s="44">
        <v>0.5</v>
      </c>
      <c r="U57" s="44">
        <v>0.5</v>
      </c>
      <c r="V57" s="44">
        <v>0.5</v>
      </c>
      <c r="W57" s="44">
        <v>0.5</v>
      </c>
      <c r="X57" s="44">
        <v>0.5</v>
      </c>
      <c r="Y57" s="44">
        <v>0.5</v>
      </c>
      <c r="Z57" s="44">
        <v>0.5</v>
      </c>
      <c r="AA57" s="44">
        <v>0.5</v>
      </c>
      <c r="AB57" s="44">
        <v>0.5</v>
      </c>
      <c r="AC57" s="44">
        <v>0.5</v>
      </c>
      <c r="AD57" s="44">
        <v>0.5</v>
      </c>
      <c r="AE57" s="44">
        <v>0.5</v>
      </c>
      <c r="AF57" s="44">
        <v>0.5</v>
      </c>
      <c r="AG57" s="44">
        <v>0.5</v>
      </c>
    </row>
    <row r="58" spans="2:33" x14ac:dyDescent="0.2">
      <c r="C58" s="25" t="s">
        <v>140</v>
      </c>
      <c r="D58" s="44">
        <v>0.85</v>
      </c>
      <c r="E58" s="44">
        <v>0.85</v>
      </c>
      <c r="F58" s="45">
        <v>0.85</v>
      </c>
      <c r="G58" s="44">
        <v>0.85</v>
      </c>
      <c r="H58" s="44">
        <v>0.85</v>
      </c>
      <c r="I58" s="44">
        <v>0.85</v>
      </c>
      <c r="J58" s="44">
        <v>0.85</v>
      </c>
      <c r="K58" s="44">
        <v>0.85</v>
      </c>
      <c r="L58" s="44">
        <v>0.85</v>
      </c>
      <c r="M58" s="44">
        <v>0.85</v>
      </c>
      <c r="N58" s="44">
        <v>0.85</v>
      </c>
      <c r="O58" s="44">
        <v>0.85</v>
      </c>
      <c r="P58" s="44">
        <v>0.85</v>
      </c>
      <c r="Q58" s="44">
        <v>0.85</v>
      </c>
      <c r="R58" s="44">
        <v>0.85</v>
      </c>
      <c r="S58" s="44">
        <v>0.85</v>
      </c>
      <c r="T58" s="44">
        <v>0.85</v>
      </c>
      <c r="U58" s="44">
        <v>0.85</v>
      </c>
      <c r="V58" s="44">
        <v>0.85</v>
      </c>
      <c r="W58" s="44">
        <v>0.85</v>
      </c>
      <c r="X58" s="44">
        <v>0.85</v>
      </c>
      <c r="Y58" s="44">
        <v>0.85</v>
      </c>
      <c r="Z58" s="44">
        <v>0.85</v>
      </c>
      <c r="AA58" s="44">
        <v>0.85</v>
      </c>
      <c r="AB58" s="44">
        <v>0.85</v>
      </c>
      <c r="AC58" s="44">
        <v>0.85</v>
      </c>
      <c r="AD58" s="44">
        <v>0.85</v>
      </c>
      <c r="AE58" s="44">
        <v>0.85</v>
      </c>
      <c r="AF58" s="44">
        <v>0.85</v>
      </c>
      <c r="AG58" s="44">
        <v>0.85</v>
      </c>
    </row>
    <row r="59" spans="2:33" x14ac:dyDescent="0.2">
      <c r="C59" s="25" t="s">
        <v>93</v>
      </c>
      <c r="D59" s="1">
        <f t="shared" ref="D59:Z59" si="18">D54/D56/D57/D58</f>
        <v>5.6470588235294121</v>
      </c>
      <c r="E59" s="1">
        <f t="shared" si="18"/>
        <v>8.4705882352941178</v>
      </c>
      <c r="F59" s="37">
        <f t="shared" si="18"/>
        <v>11.294117647058824</v>
      </c>
      <c r="G59" s="1">
        <f t="shared" si="18"/>
        <v>14.117647058823527</v>
      </c>
      <c r="H59" s="1">
        <f t="shared" si="18"/>
        <v>16.941176470588236</v>
      </c>
      <c r="I59" s="1">
        <f t="shared" si="18"/>
        <v>19.764705882352938</v>
      </c>
      <c r="J59" s="1">
        <f t="shared" si="18"/>
        <v>22.588235294117649</v>
      </c>
      <c r="K59" s="1">
        <f t="shared" si="18"/>
        <v>25.411764705882355</v>
      </c>
      <c r="L59" s="1">
        <f t="shared" si="18"/>
        <v>28.235294117647054</v>
      </c>
      <c r="M59" s="1">
        <f t="shared" si="18"/>
        <v>31.058823529411764</v>
      </c>
      <c r="N59" s="1">
        <f t="shared" si="18"/>
        <v>33.882352941176471</v>
      </c>
      <c r="O59" s="1">
        <f t="shared" si="18"/>
        <v>36.705882352941174</v>
      </c>
      <c r="P59" s="1">
        <f t="shared" si="18"/>
        <v>39.529411764705877</v>
      </c>
      <c r="Q59" s="1">
        <f t="shared" si="18"/>
        <v>42.352941176470587</v>
      </c>
      <c r="R59" s="1">
        <f t="shared" si="18"/>
        <v>45.176470588235297</v>
      </c>
      <c r="S59" s="1">
        <f t="shared" si="18"/>
        <v>48</v>
      </c>
      <c r="T59" s="1">
        <f t="shared" si="18"/>
        <v>50.82352941176471</v>
      </c>
      <c r="U59" s="1">
        <f t="shared" si="18"/>
        <v>53.647058823529406</v>
      </c>
      <c r="V59" s="1">
        <f t="shared" si="18"/>
        <v>56.470588235294109</v>
      </c>
      <c r="W59" s="1">
        <f t="shared" si="18"/>
        <v>59.294117647058826</v>
      </c>
      <c r="X59" s="1">
        <f t="shared" si="18"/>
        <v>62.117647058823529</v>
      </c>
      <c r="Y59" s="1">
        <f t="shared" si="18"/>
        <v>64.941176470588232</v>
      </c>
      <c r="Z59" s="1">
        <f t="shared" si="18"/>
        <v>67.764705882352942</v>
      </c>
      <c r="AA59" s="1">
        <f t="shared" ref="AA59:AG59" si="19">AA54/AA56/AA57/AA58</f>
        <v>73.411764705882348</v>
      </c>
      <c r="AB59" s="1">
        <f t="shared" si="19"/>
        <v>76.235294117647058</v>
      </c>
      <c r="AC59" s="1">
        <f t="shared" si="19"/>
        <v>79.058823529411754</v>
      </c>
      <c r="AD59" s="1">
        <f t="shared" si="19"/>
        <v>81.882352941176464</v>
      </c>
      <c r="AE59" s="1">
        <f t="shared" si="19"/>
        <v>84.705882352941174</v>
      </c>
      <c r="AF59" s="1">
        <f t="shared" si="19"/>
        <v>87.529411764705898</v>
      </c>
      <c r="AG59" s="1">
        <f t="shared" si="19"/>
        <v>90.352941176470594</v>
      </c>
    </row>
    <row r="60" spans="2:33" x14ac:dyDescent="0.2">
      <c r="F60" s="38"/>
    </row>
    <row r="61" spans="2:33" x14ac:dyDescent="0.2">
      <c r="C61" s="25" t="s">
        <v>131</v>
      </c>
      <c r="D61">
        <f t="shared" ref="D61:AG61" si="20">$J2</f>
        <v>250</v>
      </c>
      <c r="E61">
        <f t="shared" si="20"/>
        <v>250</v>
      </c>
      <c r="F61" s="38">
        <f t="shared" si="20"/>
        <v>250</v>
      </c>
      <c r="G61">
        <f t="shared" si="20"/>
        <v>250</v>
      </c>
      <c r="H61">
        <f t="shared" si="20"/>
        <v>250</v>
      </c>
      <c r="I61">
        <f t="shared" si="20"/>
        <v>250</v>
      </c>
      <c r="J61">
        <f t="shared" si="20"/>
        <v>250</v>
      </c>
      <c r="K61">
        <f t="shared" si="20"/>
        <v>250</v>
      </c>
      <c r="L61">
        <f t="shared" si="20"/>
        <v>250</v>
      </c>
      <c r="M61">
        <f t="shared" si="20"/>
        <v>250</v>
      </c>
      <c r="N61">
        <f t="shared" si="20"/>
        <v>250</v>
      </c>
      <c r="O61">
        <f t="shared" si="20"/>
        <v>250</v>
      </c>
      <c r="P61">
        <f t="shared" si="20"/>
        <v>250</v>
      </c>
      <c r="Q61">
        <f t="shared" si="20"/>
        <v>250</v>
      </c>
      <c r="R61">
        <f t="shared" si="20"/>
        <v>250</v>
      </c>
      <c r="S61">
        <f t="shared" si="20"/>
        <v>250</v>
      </c>
      <c r="T61">
        <f t="shared" si="20"/>
        <v>250</v>
      </c>
      <c r="U61">
        <f t="shared" si="20"/>
        <v>250</v>
      </c>
      <c r="V61">
        <f t="shared" si="20"/>
        <v>250</v>
      </c>
      <c r="W61">
        <f t="shared" si="20"/>
        <v>250</v>
      </c>
      <c r="X61">
        <f t="shared" si="20"/>
        <v>250</v>
      </c>
      <c r="Y61">
        <f t="shared" si="20"/>
        <v>250</v>
      </c>
      <c r="Z61">
        <f t="shared" si="20"/>
        <v>250</v>
      </c>
      <c r="AA61">
        <f t="shared" si="20"/>
        <v>250</v>
      </c>
      <c r="AB61">
        <f t="shared" si="20"/>
        <v>250</v>
      </c>
      <c r="AC61">
        <f t="shared" si="20"/>
        <v>250</v>
      </c>
      <c r="AD61">
        <f t="shared" si="20"/>
        <v>250</v>
      </c>
      <c r="AE61">
        <f t="shared" si="20"/>
        <v>250</v>
      </c>
      <c r="AF61">
        <f t="shared" si="20"/>
        <v>250</v>
      </c>
      <c r="AG61">
        <f t="shared" si="20"/>
        <v>250</v>
      </c>
    </row>
    <row r="62" spans="2:33" x14ac:dyDescent="0.2">
      <c r="C62" s="25" t="s">
        <v>90</v>
      </c>
      <c r="D62" s="3">
        <f t="shared" ref="D62:AG62" si="21">$J3</f>
        <v>30</v>
      </c>
      <c r="E62" s="3">
        <f t="shared" si="21"/>
        <v>30</v>
      </c>
      <c r="F62" s="39">
        <f t="shared" si="21"/>
        <v>30</v>
      </c>
      <c r="G62" s="3">
        <f t="shared" si="21"/>
        <v>30</v>
      </c>
      <c r="H62" s="3">
        <f t="shared" si="21"/>
        <v>30</v>
      </c>
      <c r="I62" s="3">
        <f t="shared" si="21"/>
        <v>30</v>
      </c>
      <c r="J62" s="3">
        <f t="shared" si="21"/>
        <v>30</v>
      </c>
      <c r="K62" s="3">
        <f t="shared" si="21"/>
        <v>30</v>
      </c>
      <c r="L62" s="3">
        <f t="shared" si="21"/>
        <v>30</v>
      </c>
      <c r="M62" s="3">
        <f t="shared" si="21"/>
        <v>30</v>
      </c>
      <c r="N62" s="3">
        <f t="shared" si="21"/>
        <v>30</v>
      </c>
      <c r="O62" s="3">
        <f t="shared" si="21"/>
        <v>30</v>
      </c>
      <c r="P62" s="3">
        <f t="shared" si="21"/>
        <v>30</v>
      </c>
      <c r="Q62" s="3">
        <f t="shared" si="21"/>
        <v>30</v>
      </c>
      <c r="R62" s="3">
        <f t="shared" si="21"/>
        <v>30</v>
      </c>
      <c r="S62" s="3">
        <f t="shared" si="21"/>
        <v>30</v>
      </c>
      <c r="T62" s="3">
        <f t="shared" si="21"/>
        <v>30</v>
      </c>
      <c r="U62" s="3">
        <f t="shared" si="21"/>
        <v>30</v>
      </c>
      <c r="V62" s="3">
        <f t="shared" si="21"/>
        <v>30</v>
      </c>
      <c r="W62" s="3">
        <f t="shared" si="21"/>
        <v>30</v>
      </c>
      <c r="X62" s="3">
        <f t="shared" si="21"/>
        <v>30</v>
      </c>
      <c r="Y62" s="3">
        <f t="shared" si="21"/>
        <v>30</v>
      </c>
      <c r="Z62" s="3">
        <f t="shared" si="21"/>
        <v>30</v>
      </c>
      <c r="AA62" s="3">
        <f t="shared" si="21"/>
        <v>30</v>
      </c>
      <c r="AB62" s="3">
        <f t="shared" si="21"/>
        <v>30</v>
      </c>
      <c r="AC62" s="3">
        <f t="shared" si="21"/>
        <v>30</v>
      </c>
      <c r="AD62" s="3">
        <f t="shared" si="21"/>
        <v>30</v>
      </c>
      <c r="AE62" s="3">
        <f t="shared" si="21"/>
        <v>30</v>
      </c>
      <c r="AF62" s="3">
        <f t="shared" si="21"/>
        <v>30</v>
      </c>
      <c r="AG62" s="3">
        <f t="shared" si="21"/>
        <v>30</v>
      </c>
    </row>
    <row r="63" spans="2:33" x14ac:dyDescent="0.2">
      <c r="C63" s="25" t="s">
        <v>92</v>
      </c>
      <c r="D63" s="1">
        <f>24*60/D61</f>
        <v>5.76</v>
      </c>
      <c r="E63" s="1">
        <f t="shared" ref="E63:Z63" si="22">24*60/E61</f>
        <v>5.76</v>
      </c>
      <c r="F63" s="37">
        <f t="shared" si="22"/>
        <v>5.76</v>
      </c>
      <c r="G63" s="1">
        <f t="shared" si="22"/>
        <v>5.76</v>
      </c>
      <c r="H63" s="1">
        <f t="shared" si="22"/>
        <v>5.76</v>
      </c>
      <c r="I63" s="1">
        <f t="shared" si="22"/>
        <v>5.76</v>
      </c>
      <c r="J63" s="1">
        <f t="shared" si="22"/>
        <v>5.76</v>
      </c>
      <c r="K63" s="1">
        <f t="shared" si="22"/>
        <v>5.76</v>
      </c>
      <c r="L63" s="1">
        <f t="shared" si="22"/>
        <v>5.76</v>
      </c>
      <c r="M63" s="1">
        <f t="shared" si="22"/>
        <v>5.76</v>
      </c>
      <c r="N63" s="1">
        <f t="shared" si="22"/>
        <v>5.76</v>
      </c>
      <c r="O63" s="1">
        <f t="shared" si="22"/>
        <v>5.76</v>
      </c>
      <c r="P63" s="1">
        <f t="shared" si="22"/>
        <v>5.76</v>
      </c>
      <c r="Q63" s="1">
        <f t="shared" si="22"/>
        <v>5.76</v>
      </c>
      <c r="R63" s="1">
        <f t="shared" si="22"/>
        <v>5.76</v>
      </c>
      <c r="S63" s="1">
        <f t="shared" si="22"/>
        <v>5.76</v>
      </c>
      <c r="T63" s="1">
        <f t="shared" si="22"/>
        <v>5.76</v>
      </c>
      <c r="U63" s="1">
        <f t="shared" si="22"/>
        <v>5.76</v>
      </c>
      <c r="V63" s="1">
        <f t="shared" si="22"/>
        <v>5.76</v>
      </c>
      <c r="W63" s="1">
        <f t="shared" si="22"/>
        <v>5.76</v>
      </c>
      <c r="X63" s="1">
        <f t="shared" si="22"/>
        <v>5.76</v>
      </c>
      <c r="Y63" s="1">
        <f t="shared" si="22"/>
        <v>5.76</v>
      </c>
      <c r="Z63" s="1">
        <f t="shared" si="22"/>
        <v>5.76</v>
      </c>
      <c r="AA63" s="1">
        <f t="shared" ref="AA63:AG63" si="23">24*60/AA61</f>
        <v>5.76</v>
      </c>
      <c r="AB63" s="1">
        <f t="shared" si="23"/>
        <v>5.76</v>
      </c>
      <c r="AC63" s="1">
        <f t="shared" si="23"/>
        <v>5.76</v>
      </c>
      <c r="AD63" s="1">
        <f t="shared" si="23"/>
        <v>5.76</v>
      </c>
      <c r="AE63" s="1">
        <f t="shared" si="23"/>
        <v>5.76</v>
      </c>
      <c r="AF63" s="1">
        <f t="shared" si="23"/>
        <v>5.76</v>
      </c>
      <c r="AG63" s="1">
        <f t="shared" si="23"/>
        <v>5.76</v>
      </c>
    </row>
    <row r="64" spans="2:33" x14ac:dyDescent="0.2">
      <c r="C64" s="25" t="s">
        <v>91</v>
      </c>
      <c r="D64" s="1">
        <f t="shared" ref="D64:Z64" si="24">D62/60*D63</f>
        <v>2.88</v>
      </c>
      <c r="E64" s="1">
        <f t="shared" si="24"/>
        <v>2.88</v>
      </c>
      <c r="F64" s="37">
        <f t="shared" si="24"/>
        <v>2.88</v>
      </c>
      <c r="G64" s="1">
        <f t="shared" si="24"/>
        <v>2.88</v>
      </c>
      <c r="H64" s="1">
        <f t="shared" si="24"/>
        <v>2.88</v>
      </c>
      <c r="I64" s="1">
        <f t="shared" si="24"/>
        <v>2.88</v>
      </c>
      <c r="J64" s="1">
        <f t="shared" si="24"/>
        <v>2.88</v>
      </c>
      <c r="K64" s="1">
        <f t="shared" si="24"/>
        <v>2.88</v>
      </c>
      <c r="L64" s="1">
        <f t="shared" si="24"/>
        <v>2.88</v>
      </c>
      <c r="M64" s="1">
        <f t="shared" si="24"/>
        <v>2.88</v>
      </c>
      <c r="N64" s="1">
        <f t="shared" si="24"/>
        <v>2.88</v>
      </c>
      <c r="O64" s="1">
        <f t="shared" si="24"/>
        <v>2.88</v>
      </c>
      <c r="P64" s="1">
        <f t="shared" si="24"/>
        <v>2.88</v>
      </c>
      <c r="Q64" s="1">
        <f t="shared" si="24"/>
        <v>2.88</v>
      </c>
      <c r="R64" s="1">
        <f t="shared" si="24"/>
        <v>2.88</v>
      </c>
      <c r="S64" s="1">
        <f t="shared" si="24"/>
        <v>2.88</v>
      </c>
      <c r="T64" s="1">
        <f t="shared" si="24"/>
        <v>2.88</v>
      </c>
      <c r="U64" s="1">
        <f t="shared" si="24"/>
        <v>2.88</v>
      </c>
      <c r="V64" s="1">
        <f t="shared" si="24"/>
        <v>2.88</v>
      </c>
      <c r="W64" s="1">
        <f t="shared" si="24"/>
        <v>2.88</v>
      </c>
      <c r="X64" s="1">
        <f t="shared" si="24"/>
        <v>2.88</v>
      </c>
      <c r="Y64" s="1">
        <f t="shared" si="24"/>
        <v>2.88</v>
      </c>
      <c r="Z64" s="1">
        <f t="shared" si="24"/>
        <v>2.88</v>
      </c>
      <c r="AA64" s="1">
        <f t="shared" ref="AA64:AG64" si="25">AA62/60*AA63</f>
        <v>2.88</v>
      </c>
      <c r="AB64" s="1">
        <f t="shared" si="25"/>
        <v>2.88</v>
      </c>
      <c r="AC64" s="1">
        <f t="shared" si="25"/>
        <v>2.88</v>
      </c>
      <c r="AD64" s="1">
        <f t="shared" si="25"/>
        <v>2.88</v>
      </c>
      <c r="AE64" s="1">
        <f t="shared" si="25"/>
        <v>2.88</v>
      </c>
      <c r="AF64" s="1">
        <f t="shared" si="25"/>
        <v>2.88</v>
      </c>
      <c r="AG64" s="1">
        <f t="shared" si="25"/>
        <v>2.88</v>
      </c>
    </row>
    <row r="65" spans="3:33" x14ac:dyDescent="0.2">
      <c r="F65" s="38"/>
    </row>
    <row r="66" spans="3:33" x14ac:dyDescent="0.2">
      <c r="C66" s="25" t="s">
        <v>185</v>
      </c>
      <c r="D66" s="1">
        <f t="shared" ref="D66:Z66" si="26">D59/D64</f>
        <v>1.9607843137254903</v>
      </c>
      <c r="E66" s="1">
        <f t="shared" si="26"/>
        <v>2.9411764705882355</v>
      </c>
      <c r="F66" s="37">
        <f t="shared" si="26"/>
        <v>3.9215686274509807</v>
      </c>
      <c r="G66" s="1">
        <f t="shared" si="26"/>
        <v>4.901960784313725</v>
      </c>
      <c r="H66" s="1">
        <f t="shared" si="26"/>
        <v>5.882352941176471</v>
      </c>
      <c r="I66" s="1">
        <f t="shared" si="26"/>
        <v>6.8627450980392153</v>
      </c>
      <c r="J66" s="1">
        <f t="shared" si="26"/>
        <v>7.8431372549019613</v>
      </c>
      <c r="K66" s="1">
        <f t="shared" si="26"/>
        <v>8.8235294117647065</v>
      </c>
      <c r="L66" s="1">
        <f t="shared" si="26"/>
        <v>9.8039215686274499</v>
      </c>
      <c r="M66" s="1">
        <f t="shared" si="26"/>
        <v>10.784313725490197</v>
      </c>
      <c r="N66" s="1">
        <f t="shared" si="26"/>
        <v>11.764705882352942</v>
      </c>
      <c r="O66" s="1">
        <f t="shared" si="26"/>
        <v>12.745098039215685</v>
      </c>
      <c r="P66" s="1">
        <f t="shared" si="26"/>
        <v>13.725490196078431</v>
      </c>
      <c r="Q66" s="1">
        <f t="shared" si="26"/>
        <v>14.705882352941176</v>
      </c>
      <c r="R66" s="1">
        <f t="shared" si="26"/>
        <v>15.686274509803923</v>
      </c>
      <c r="S66" s="1">
        <f t="shared" si="26"/>
        <v>16.666666666666668</v>
      </c>
      <c r="T66" s="1">
        <f t="shared" si="26"/>
        <v>17.647058823529413</v>
      </c>
      <c r="U66" s="1">
        <f t="shared" si="26"/>
        <v>18.627450980392155</v>
      </c>
      <c r="V66" s="1">
        <f t="shared" si="26"/>
        <v>19.6078431372549</v>
      </c>
      <c r="W66" s="1">
        <f t="shared" si="26"/>
        <v>20.588235294117649</v>
      </c>
      <c r="X66" s="1">
        <f t="shared" si="26"/>
        <v>21.568627450980394</v>
      </c>
      <c r="Y66" s="1">
        <f t="shared" si="26"/>
        <v>22.549019607843135</v>
      </c>
      <c r="Z66" s="1">
        <f t="shared" si="26"/>
        <v>23.529411764705884</v>
      </c>
      <c r="AA66" s="1">
        <f t="shared" ref="AA66:AG66" si="27">AA59/AA64</f>
        <v>25.490196078431371</v>
      </c>
      <c r="AB66" s="1">
        <f t="shared" si="27"/>
        <v>26.47058823529412</v>
      </c>
      <c r="AC66" s="1">
        <f t="shared" si="27"/>
        <v>27.450980392156861</v>
      </c>
      <c r="AD66" s="1">
        <f t="shared" si="27"/>
        <v>28.431372549019606</v>
      </c>
      <c r="AE66" s="1">
        <f t="shared" si="27"/>
        <v>29.411764705882351</v>
      </c>
      <c r="AF66" s="1">
        <f t="shared" si="27"/>
        <v>30.392156862745104</v>
      </c>
      <c r="AG66" s="1">
        <f t="shared" si="27"/>
        <v>31.372549019607845</v>
      </c>
    </row>
    <row r="67" spans="3:33" x14ac:dyDescent="0.2">
      <c r="C67" s="25" t="s">
        <v>181</v>
      </c>
      <c r="D67" s="49">
        <v>0.5</v>
      </c>
      <c r="E67" s="49">
        <v>0.5</v>
      </c>
      <c r="F67" s="51">
        <v>0.5</v>
      </c>
      <c r="G67" s="49">
        <v>0.5</v>
      </c>
      <c r="H67" s="49">
        <v>0.5</v>
      </c>
      <c r="I67" s="49">
        <v>0.5</v>
      </c>
      <c r="J67" s="49">
        <v>0.5</v>
      </c>
      <c r="K67" s="49">
        <v>0.5</v>
      </c>
      <c r="L67" s="49">
        <v>0.5</v>
      </c>
      <c r="M67" s="49">
        <v>0.5</v>
      </c>
      <c r="N67" s="49">
        <v>0.5</v>
      </c>
      <c r="O67" s="49">
        <v>0.5</v>
      </c>
      <c r="P67" s="49">
        <v>0.5</v>
      </c>
      <c r="Q67" s="49">
        <v>0.5</v>
      </c>
      <c r="R67" s="49">
        <v>0.5</v>
      </c>
      <c r="S67" s="49">
        <v>0.5</v>
      </c>
      <c r="T67" s="49">
        <v>0.5</v>
      </c>
      <c r="U67" s="49">
        <v>0.5</v>
      </c>
      <c r="V67" s="49">
        <v>0.5</v>
      </c>
      <c r="W67" s="49">
        <v>0.5</v>
      </c>
      <c r="X67" s="49">
        <v>0.5</v>
      </c>
      <c r="Y67" s="49">
        <v>0.5</v>
      </c>
      <c r="Z67" s="49">
        <v>0.5</v>
      </c>
      <c r="AA67" s="49">
        <v>0.5</v>
      </c>
      <c r="AB67" s="49">
        <v>0.5</v>
      </c>
      <c r="AC67" s="49">
        <v>0.5</v>
      </c>
      <c r="AD67" s="49">
        <v>0.5</v>
      </c>
      <c r="AE67" s="49">
        <v>0.5</v>
      </c>
      <c r="AF67" s="49">
        <v>0.5</v>
      </c>
      <c r="AG67" s="49">
        <v>0.5</v>
      </c>
    </row>
    <row r="68" spans="3:33" x14ac:dyDescent="0.2">
      <c r="C68" s="25" t="s">
        <v>183</v>
      </c>
      <c r="D68" s="2">
        <f t="shared" ref="D68:V68" si="28">(D66)/D67</f>
        <v>3.9215686274509807</v>
      </c>
      <c r="E68" s="2">
        <f t="shared" si="28"/>
        <v>5.882352941176471</v>
      </c>
      <c r="F68" s="40">
        <f t="shared" si="28"/>
        <v>7.8431372549019613</v>
      </c>
      <c r="G68" s="2">
        <f t="shared" si="28"/>
        <v>9.8039215686274499</v>
      </c>
      <c r="H68" s="2">
        <f t="shared" si="28"/>
        <v>11.764705882352942</v>
      </c>
      <c r="I68" s="2">
        <f t="shared" si="28"/>
        <v>13.725490196078431</v>
      </c>
      <c r="J68" s="2">
        <f t="shared" si="28"/>
        <v>15.686274509803923</v>
      </c>
      <c r="K68" s="2">
        <f t="shared" si="28"/>
        <v>17.647058823529413</v>
      </c>
      <c r="L68" s="2">
        <f t="shared" si="28"/>
        <v>19.6078431372549</v>
      </c>
      <c r="M68" s="2">
        <f t="shared" si="28"/>
        <v>21.568627450980394</v>
      </c>
      <c r="N68" s="2">
        <f t="shared" si="28"/>
        <v>23.529411764705884</v>
      </c>
      <c r="O68" s="2">
        <f t="shared" si="28"/>
        <v>25.490196078431371</v>
      </c>
      <c r="P68" s="2">
        <f t="shared" si="28"/>
        <v>27.450980392156861</v>
      </c>
      <c r="Q68" s="2">
        <f t="shared" si="28"/>
        <v>29.411764705882351</v>
      </c>
      <c r="R68" s="2">
        <f t="shared" si="28"/>
        <v>31.372549019607845</v>
      </c>
      <c r="S68" s="2">
        <f t="shared" si="28"/>
        <v>33.333333333333336</v>
      </c>
      <c r="T68" s="2">
        <f t="shared" si="28"/>
        <v>35.294117647058826</v>
      </c>
      <c r="U68" s="2">
        <f t="shared" si="28"/>
        <v>37.254901960784309</v>
      </c>
      <c r="V68" s="2">
        <f t="shared" si="28"/>
        <v>39.2156862745098</v>
      </c>
      <c r="W68" s="2">
        <f t="shared" ref="W68:AG68" si="29">(W66)/W67</f>
        <v>41.176470588235297</v>
      </c>
      <c r="X68" s="2">
        <f t="shared" si="29"/>
        <v>43.137254901960787</v>
      </c>
      <c r="Y68" s="2">
        <f t="shared" si="29"/>
        <v>45.098039215686271</v>
      </c>
      <c r="Z68" s="2">
        <f t="shared" si="29"/>
        <v>47.058823529411768</v>
      </c>
      <c r="AA68" s="2">
        <f t="shared" si="29"/>
        <v>50.980392156862742</v>
      </c>
      <c r="AB68" s="2">
        <f t="shared" si="29"/>
        <v>52.941176470588239</v>
      </c>
      <c r="AC68" s="2">
        <f t="shared" si="29"/>
        <v>54.901960784313722</v>
      </c>
      <c r="AD68" s="2">
        <f t="shared" si="29"/>
        <v>56.862745098039213</v>
      </c>
      <c r="AE68" s="2">
        <f t="shared" si="29"/>
        <v>58.823529411764703</v>
      </c>
      <c r="AF68" s="2">
        <f t="shared" si="29"/>
        <v>60.784313725490208</v>
      </c>
      <c r="AG68" s="2">
        <f t="shared" si="29"/>
        <v>62.745098039215691</v>
      </c>
    </row>
    <row r="69" spans="3:33" x14ac:dyDescent="0.2">
      <c r="C69" s="2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x14ac:dyDescent="0.2">
      <c r="C70" s="25"/>
    </row>
    <row r="71" spans="3:33" x14ac:dyDescent="0.2">
      <c r="C71" s="25"/>
    </row>
  </sheetData>
  <mergeCells count="4">
    <mergeCell ref="F2:I2"/>
    <mergeCell ref="F3:I3"/>
    <mergeCell ref="F4:I4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1:P22"/>
  <sheetViews>
    <sheetView zoomScale="125" zoomScaleNormal="125" workbookViewId="0">
      <selection activeCell="P12" sqref="P12"/>
    </sheetView>
  </sheetViews>
  <sheetFormatPr baseColWidth="10" defaultRowHeight="15" x14ac:dyDescent="0.2"/>
  <cols>
    <col min="2" max="2" width="18.5" style="25" customWidth="1"/>
    <col min="3" max="13" width="6.5" customWidth="1"/>
    <col min="14" max="14" width="6.1640625" customWidth="1"/>
  </cols>
  <sheetData>
    <row r="1" spans="2:16" ht="17" thickBot="1" x14ac:dyDescent="0.25">
      <c r="B1" s="119" t="s">
        <v>131</v>
      </c>
      <c r="C1" s="119"/>
      <c r="D1" s="119"/>
      <c r="E1" s="119"/>
      <c r="F1" s="23">
        <f>'Laser Count Analysis'!J2</f>
        <v>250</v>
      </c>
      <c r="G1" s="23" t="s">
        <v>8</v>
      </c>
    </row>
    <row r="2" spans="2:16" ht="17" thickBot="1" x14ac:dyDescent="0.25">
      <c r="B2" s="119" t="s">
        <v>132</v>
      </c>
      <c r="C2" s="119"/>
      <c r="D2" s="119"/>
      <c r="E2" s="119"/>
      <c r="F2" s="23">
        <f>'Laser Count Analysis'!J3</f>
        <v>30</v>
      </c>
      <c r="G2" s="23" t="s">
        <v>8</v>
      </c>
    </row>
    <row r="3" spans="2:16" ht="17" thickBot="1" x14ac:dyDescent="0.25">
      <c r="B3" s="119" t="s">
        <v>133</v>
      </c>
      <c r="C3" s="119"/>
      <c r="D3" s="119"/>
      <c r="E3" s="119"/>
      <c r="F3" s="23">
        <f>'Laser Count Analysis'!J4</f>
        <v>16</v>
      </c>
      <c r="G3" s="23" t="s">
        <v>6</v>
      </c>
    </row>
    <row r="5" spans="2:16" x14ac:dyDescent="0.2">
      <c r="B5" s="25" t="s">
        <v>135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6" x14ac:dyDescent="0.2">
      <c r="B6" s="25" t="s">
        <v>118</v>
      </c>
      <c r="C6">
        <f>F3</f>
        <v>16</v>
      </c>
      <c r="D6">
        <f>$C6*D5</f>
        <v>32</v>
      </c>
      <c r="E6">
        <f t="shared" ref="E6:N6" si="0">$C6*E5</f>
        <v>48</v>
      </c>
      <c r="F6">
        <f t="shared" si="0"/>
        <v>64</v>
      </c>
      <c r="G6">
        <f t="shared" si="0"/>
        <v>80</v>
      </c>
      <c r="H6">
        <f t="shared" si="0"/>
        <v>96</v>
      </c>
      <c r="I6">
        <f t="shared" si="0"/>
        <v>112</v>
      </c>
      <c r="J6">
        <f t="shared" si="0"/>
        <v>128</v>
      </c>
      <c r="K6">
        <f t="shared" si="0"/>
        <v>144</v>
      </c>
      <c r="L6">
        <f t="shared" si="0"/>
        <v>160</v>
      </c>
      <c r="M6">
        <f t="shared" si="0"/>
        <v>176</v>
      </c>
      <c r="N6">
        <f t="shared" si="0"/>
        <v>192</v>
      </c>
    </row>
    <row r="7" spans="2:16" x14ac:dyDescent="0.2">
      <c r="B7" s="25" t="s">
        <v>119</v>
      </c>
      <c r="C7" s="44">
        <v>0.15</v>
      </c>
      <c r="D7" s="44">
        <v>0.15</v>
      </c>
      <c r="E7" s="44">
        <v>0.15</v>
      </c>
      <c r="F7" s="44">
        <v>0.15</v>
      </c>
      <c r="G7" s="44">
        <v>0.15</v>
      </c>
      <c r="H7" s="44">
        <v>0.15</v>
      </c>
      <c r="I7" s="44">
        <v>0.15</v>
      </c>
      <c r="J7" s="44">
        <v>0.15</v>
      </c>
      <c r="K7" s="44">
        <v>0.15</v>
      </c>
      <c r="L7" s="44">
        <v>0.15</v>
      </c>
      <c r="M7" s="44">
        <v>0.15</v>
      </c>
      <c r="N7" s="44">
        <v>0.15</v>
      </c>
      <c r="P7" t="s">
        <v>138</v>
      </c>
    </row>
    <row r="8" spans="2:16" x14ac:dyDescent="0.2">
      <c r="B8" s="25" t="s">
        <v>179</v>
      </c>
      <c r="C8" s="44">
        <v>0.5</v>
      </c>
      <c r="D8" s="44">
        <v>0.5</v>
      </c>
      <c r="E8" s="44">
        <v>0.5</v>
      </c>
      <c r="F8" s="44">
        <v>0.5</v>
      </c>
      <c r="G8" s="44">
        <v>0.5</v>
      </c>
      <c r="H8" s="44">
        <v>0.5</v>
      </c>
      <c r="I8" s="44">
        <v>0.5</v>
      </c>
      <c r="J8" s="44">
        <v>0.5</v>
      </c>
      <c r="K8" s="44">
        <v>0.5</v>
      </c>
      <c r="L8" s="44">
        <v>0.5</v>
      </c>
      <c r="M8" s="44">
        <v>0.5</v>
      </c>
      <c r="N8" s="44">
        <v>0.5</v>
      </c>
    </row>
    <row r="9" spans="2:16" x14ac:dyDescent="0.2">
      <c r="B9" s="25" t="s">
        <v>120</v>
      </c>
      <c r="C9" s="2">
        <f>C6/C7*C8</f>
        <v>53.333333333333336</v>
      </c>
      <c r="D9" s="2">
        <f t="shared" ref="D9:N9" si="1">D6/D7*D8</f>
        <v>106.66666666666667</v>
      </c>
      <c r="E9" s="2">
        <f t="shared" si="1"/>
        <v>160</v>
      </c>
      <c r="F9" s="2">
        <f t="shared" si="1"/>
        <v>213.33333333333334</v>
      </c>
      <c r="G9" s="2">
        <f t="shared" si="1"/>
        <v>266.66666666666669</v>
      </c>
      <c r="H9" s="2">
        <f t="shared" si="1"/>
        <v>320</v>
      </c>
      <c r="I9" s="2">
        <f t="shared" si="1"/>
        <v>373.33333333333337</v>
      </c>
      <c r="J9" s="2">
        <f t="shared" si="1"/>
        <v>426.66666666666669</v>
      </c>
      <c r="K9" s="2">
        <f t="shared" si="1"/>
        <v>480</v>
      </c>
      <c r="L9" s="2">
        <f t="shared" si="1"/>
        <v>533.33333333333337</v>
      </c>
      <c r="M9" s="2">
        <f t="shared" si="1"/>
        <v>586.66666666666674</v>
      </c>
      <c r="N9" s="2">
        <f t="shared" si="1"/>
        <v>640</v>
      </c>
    </row>
    <row r="10" spans="2:16" x14ac:dyDescent="0.2">
      <c r="B10" s="25" t="s">
        <v>121</v>
      </c>
      <c r="C10">
        <f t="shared" ref="C10:N10" si="2">$F2</f>
        <v>30</v>
      </c>
      <c r="D10">
        <f t="shared" si="2"/>
        <v>30</v>
      </c>
      <c r="E10">
        <f t="shared" si="2"/>
        <v>30</v>
      </c>
      <c r="F10">
        <f t="shared" si="2"/>
        <v>30</v>
      </c>
      <c r="G10">
        <f t="shared" si="2"/>
        <v>30</v>
      </c>
      <c r="H10">
        <f t="shared" si="2"/>
        <v>30</v>
      </c>
      <c r="I10">
        <f t="shared" si="2"/>
        <v>30</v>
      </c>
      <c r="J10">
        <f t="shared" si="2"/>
        <v>30</v>
      </c>
      <c r="K10">
        <f t="shared" si="2"/>
        <v>30</v>
      </c>
      <c r="L10">
        <f t="shared" si="2"/>
        <v>30</v>
      </c>
      <c r="M10">
        <f t="shared" si="2"/>
        <v>30</v>
      </c>
      <c r="N10">
        <f t="shared" si="2"/>
        <v>30</v>
      </c>
    </row>
    <row r="11" spans="2:16" x14ac:dyDescent="0.2">
      <c r="B11" s="25" t="s">
        <v>122</v>
      </c>
      <c r="C11" s="2">
        <f>C9*C10/60</f>
        <v>26.666666666666668</v>
      </c>
      <c r="D11" s="2">
        <f t="shared" ref="D11:N11" si="3">D9*D10/60</f>
        <v>53.333333333333336</v>
      </c>
      <c r="E11" s="2">
        <f t="shared" si="3"/>
        <v>80</v>
      </c>
      <c r="F11" s="2">
        <f t="shared" si="3"/>
        <v>106.66666666666667</v>
      </c>
      <c r="G11" s="2">
        <f t="shared" si="3"/>
        <v>133.33333333333334</v>
      </c>
      <c r="H11" s="2">
        <f t="shared" si="3"/>
        <v>160</v>
      </c>
      <c r="I11" s="2">
        <f t="shared" si="3"/>
        <v>186.66666666666669</v>
      </c>
      <c r="J11" s="2">
        <f t="shared" si="3"/>
        <v>213.33333333333334</v>
      </c>
      <c r="K11" s="2">
        <f t="shared" si="3"/>
        <v>240</v>
      </c>
      <c r="L11" s="2">
        <f t="shared" si="3"/>
        <v>266.66666666666669</v>
      </c>
      <c r="M11" s="2">
        <f t="shared" si="3"/>
        <v>293.33333333333337</v>
      </c>
      <c r="N11" s="2">
        <f t="shared" si="3"/>
        <v>320</v>
      </c>
      <c r="P11" s="2"/>
    </row>
    <row r="12" spans="2:16" x14ac:dyDescent="0.2">
      <c r="B12" s="25" t="s">
        <v>139</v>
      </c>
      <c r="C12" s="44">
        <v>0.85</v>
      </c>
      <c r="D12" s="44">
        <v>0.85</v>
      </c>
      <c r="E12" s="44">
        <v>0.85</v>
      </c>
      <c r="F12" s="44">
        <v>0.85</v>
      </c>
      <c r="G12" s="44">
        <v>0.85</v>
      </c>
      <c r="H12" s="44">
        <v>0.85</v>
      </c>
      <c r="I12" s="44">
        <v>0.85</v>
      </c>
      <c r="J12" s="44">
        <v>0.85</v>
      </c>
      <c r="K12" s="44">
        <v>0.85</v>
      </c>
      <c r="L12" s="44">
        <v>0.85</v>
      </c>
      <c r="M12" s="44">
        <v>0.85</v>
      </c>
      <c r="N12" s="44">
        <v>0.85</v>
      </c>
    </row>
    <row r="13" spans="2:16" x14ac:dyDescent="0.2">
      <c r="B13" s="25" t="s">
        <v>128</v>
      </c>
      <c r="C13" s="2">
        <f>C11/C12</f>
        <v>31.372549019607845</v>
      </c>
      <c r="D13" s="2">
        <f t="shared" ref="D13:N13" si="4">D11/D12</f>
        <v>62.745098039215691</v>
      </c>
      <c r="E13" s="2">
        <f t="shared" si="4"/>
        <v>94.117647058823536</v>
      </c>
      <c r="F13" s="2">
        <f t="shared" si="4"/>
        <v>125.49019607843138</v>
      </c>
      <c r="G13" s="2">
        <f t="shared" si="4"/>
        <v>156.86274509803923</v>
      </c>
      <c r="H13" s="2">
        <f t="shared" si="4"/>
        <v>188.23529411764707</v>
      </c>
      <c r="I13" s="2">
        <f t="shared" si="4"/>
        <v>219.60784313725492</v>
      </c>
      <c r="J13" s="2">
        <f t="shared" si="4"/>
        <v>250.98039215686276</v>
      </c>
      <c r="K13" s="2">
        <f t="shared" si="4"/>
        <v>282.35294117647061</v>
      </c>
      <c r="L13" s="2">
        <f t="shared" si="4"/>
        <v>313.72549019607845</v>
      </c>
      <c r="M13" s="2">
        <f t="shared" si="4"/>
        <v>345.09803921568636</v>
      </c>
      <c r="N13" s="2">
        <f t="shared" si="4"/>
        <v>376.47058823529414</v>
      </c>
    </row>
    <row r="14" spans="2:16" x14ac:dyDescent="0.2">
      <c r="B14" s="25" t="s">
        <v>130</v>
      </c>
      <c r="C14" s="17">
        <v>260</v>
      </c>
      <c r="D14" s="17">
        <v>260</v>
      </c>
      <c r="E14" s="17">
        <v>260</v>
      </c>
      <c r="F14" s="17">
        <v>260</v>
      </c>
      <c r="G14" s="17">
        <v>260</v>
      </c>
      <c r="H14" s="17">
        <v>260</v>
      </c>
      <c r="I14" s="17">
        <v>260</v>
      </c>
      <c r="J14" s="17">
        <v>260</v>
      </c>
      <c r="K14" s="17">
        <v>260</v>
      </c>
      <c r="L14" s="17">
        <v>260</v>
      </c>
      <c r="M14" s="17">
        <v>260</v>
      </c>
      <c r="N14" s="17">
        <v>260</v>
      </c>
    </row>
    <row r="15" spans="2:16" x14ac:dyDescent="0.2">
      <c r="B15" s="25" t="s">
        <v>129</v>
      </c>
      <c r="C15" s="2">
        <f t="shared" ref="C15:N15" si="5">C13*1000/C14</f>
        <v>120.66365007541479</v>
      </c>
      <c r="D15" s="2">
        <f t="shared" si="5"/>
        <v>241.32730015082959</v>
      </c>
      <c r="E15" s="2">
        <f t="shared" si="5"/>
        <v>361.99095022624437</v>
      </c>
      <c r="F15" s="2">
        <f t="shared" si="5"/>
        <v>482.65460030165917</v>
      </c>
      <c r="G15" s="2">
        <f t="shared" si="5"/>
        <v>603.31825037707392</v>
      </c>
      <c r="H15" s="2">
        <f t="shared" si="5"/>
        <v>723.98190045248873</v>
      </c>
      <c r="I15" s="2">
        <f t="shared" si="5"/>
        <v>844.64555052790354</v>
      </c>
      <c r="J15" s="2">
        <f t="shared" si="5"/>
        <v>965.30920060331835</v>
      </c>
      <c r="K15" s="2">
        <f t="shared" si="5"/>
        <v>1085.972850678733</v>
      </c>
      <c r="L15" s="2">
        <f t="shared" si="5"/>
        <v>1206.6365007541478</v>
      </c>
      <c r="M15" s="2">
        <f t="shared" si="5"/>
        <v>1327.3001508295631</v>
      </c>
      <c r="N15" s="2">
        <f t="shared" si="5"/>
        <v>1447.9638009049775</v>
      </c>
    </row>
    <row r="17" spans="2:14" x14ac:dyDescent="0.2">
      <c r="B17" s="25" t="s">
        <v>7</v>
      </c>
      <c r="C17">
        <f>$F1</f>
        <v>250</v>
      </c>
      <c r="D17">
        <f t="shared" ref="D17:N17" si="6">$F1</f>
        <v>250</v>
      </c>
      <c r="E17">
        <f t="shared" si="6"/>
        <v>250</v>
      </c>
      <c r="F17">
        <f t="shared" si="6"/>
        <v>250</v>
      </c>
      <c r="G17">
        <f t="shared" si="6"/>
        <v>250</v>
      </c>
      <c r="H17">
        <f t="shared" si="6"/>
        <v>250</v>
      </c>
      <c r="I17">
        <f t="shared" si="6"/>
        <v>250</v>
      </c>
      <c r="J17">
        <f t="shared" si="6"/>
        <v>250</v>
      </c>
      <c r="K17">
        <f t="shared" si="6"/>
        <v>250</v>
      </c>
      <c r="L17">
        <f t="shared" si="6"/>
        <v>250</v>
      </c>
      <c r="M17">
        <f t="shared" si="6"/>
        <v>250</v>
      </c>
      <c r="N17">
        <f t="shared" si="6"/>
        <v>250</v>
      </c>
    </row>
    <row r="18" spans="2:14" x14ac:dyDescent="0.2">
      <c r="B18" s="25" t="s">
        <v>125</v>
      </c>
      <c r="C18" s="44">
        <v>0.75</v>
      </c>
      <c r="D18" s="44">
        <v>0.75</v>
      </c>
      <c r="E18" s="44">
        <v>0.75</v>
      </c>
      <c r="F18" s="44">
        <v>0.75</v>
      </c>
      <c r="G18" s="44">
        <v>0.75</v>
      </c>
      <c r="H18" s="44">
        <v>0.75</v>
      </c>
      <c r="I18" s="44">
        <v>0.75</v>
      </c>
      <c r="J18" s="44">
        <v>0.75</v>
      </c>
      <c r="K18" s="44">
        <v>0.75</v>
      </c>
      <c r="L18" s="44">
        <v>0.75</v>
      </c>
      <c r="M18" s="44">
        <v>0.75</v>
      </c>
      <c r="N18" s="44">
        <v>0.75</v>
      </c>
    </row>
    <row r="19" spans="2:14" x14ac:dyDescent="0.2">
      <c r="B19" s="25" t="s">
        <v>126</v>
      </c>
      <c r="C19">
        <f t="shared" ref="C19:N19" si="7">C17*C18</f>
        <v>187.5</v>
      </c>
      <c r="D19">
        <f t="shared" si="7"/>
        <v>187.5</v>
      </c>
      <c r="E19">
        <f t="shared" si="7"/>
        <v>187.5</v>
      </c>
      <c r="F19">
        <f t="shared" si="7"/>
        <v>187.5</v>
      </c>
      <c r="G19">
        <f t="shared" si="7"/>
        <v>187.5</v>
      </c>
      <c r="H19">
        <f t="shared" si="7"/>
        <v>187.5</v>
      </c>
      <c r="I19">
        <f t="shared" si="7"/>
        <v>187.5</v>
      </c>
      <c r="J19">
        <f t="shared" si="7"/>
        <v>187.5</v>
      </c>
      <c r="K19">
        <f t="shared" si="7"/>
        <v>187.5</v>
      </c>
      <c r="L19">
        <f t="shared" si="7"/>
        <v>187.5</v>
      </c>
      <c r="M19">
        <f t="shared" si="7"/>
        <v>187.5</v>
      </c>
      <c r="N19">
        <f t="shared" si="7"/>
        <v>187.5</v>
      </c>
    </row>
    <row r="20" spans="2:14" x14ac:dyDescent="0.2">
      <c r="B20" s="25" t="s">
        <v>123</v>
      </c>
      <c r="C20">
        <v>1373</v>
      </c>
      <c r="D20">
        <v>1373</v>
      </c>
      <c r="E20">
        <v>1373</v>
      </c>
      <c r="F20">
        <v>1373</v>
      </c>
      <c r="G20">
        <v>1373</v>
      </c>
      <c r="H20">
        <v>1373</v>
      </c>
      <c r="I20">
        <v>1373</v>
      </c>
      <c r="J20">
        <v>1373</v>
      </c>
      <c r="K20">
        <v>1373</v>
      </c>
      <c r="L20">
        <v>1373</v>
      </c>
      <c r="M20">
        <v>1373</v>
      </c>
      <c r="N20">
        <v>1373</v>
      </c>
    </row>
    <row r="21" spans="2:14" x14ac:dyDescent="0.2">
      <c r="B21" s="25" t="s">
        <v>124</v>
      </c>
      <c r="C21" s="44">
        <v>0.4</v>
      </c>
      <c r="D21" s="44">
        <v>0.4</v>
      </c>
      <c r="E21" s="44">
        <v>0.4</v>
      </c>
      <c r="F21" s="44">
        <v>0.4</v>
      </c>
      <c r="G21" s="44">
        <v>0.4</v>
      </c>
      <c r="H21" s="44">
        <v>0.4</v>
      </c>
      <c r="I21" s="44">
        <v>0.4</v>
      </c>
      <c r="J21" s="44">
        <v>0.4</v>
      </c>
      <c r="K21" s="44">
        <v>0.4</v>
      </c>
      <c r="L21" s="44">
        <v>0.4</v>
      </c>
      <c r="M21" s="44">
        <v>0.4</v>
      </c>
      <c r="N21" s="44">
        <v>0.4</v>
      </c>
    </row>
    <row r="22" spans="2:14" x14ac:dyDescent="0.2">
      <c r="B22" s="25" t="s">
        <v>127</v>
      </c>
      <c r="C22" s="2">
        <f t="shared" ref="C22:N22" si="8">C13/(C19/60*C20/1000)/C21</f>
        <v>18.279708095911342</v>
      </c>
      <c r="D22" s="2">
        <f t="shared" si="8"/>
        <v>36.559416191822685</v>
      </c>
      <c r="E22" s="2">
        <f t="shared" si="8"/>
        <v>54.839124287734023</v>
      </c>
      <c r="F22" s="2">
        <f>F13/(F19/60*F20/1000)/F21</f>
        <v>73.118832383645369</v>
      </c>
      <c r="G22" s="2">
        <f t="shared" si="8"/>
        <v>91.398540479556701</v>
      </c>
      <c r="H22" s="2">
        <f t="shared" si="8"/>
        <v>109.67824857546805</v>
      </c>
      <c r="I22" s="2">
        <f t="shared" si="8"/>
        <v>127.95795667137939</v>
      </c>
      <c r="J22" s="2">
        <f t="shared" si="8"/>
        <v>146.23766476729074</v>
      </c>
      <c r="K22" s="2">
        <f t="shared" si="8"/>
        <v>164.5173728632021</v>
      </c>
      <c r="L22" s="2">
        <f t="shared" si="8"/>
        <v>182.7970809591134</v>
      </c>
      <c r="M22" s="2">
        <f t="shared" si="8"/>
        <v>201.07678905502482</v>
      </c>
      <c r="N22" s="2">
        <f t="shared" si="8"/>
        <v>219.35649715093609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W45"/>
  <sheetViews>
    <sheetView topLeftCell="A17" zoomScale="125" zoomScaleNormal="125" workbookViewId="0">
      <selection activeCell="C28" sqref="C28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18" width="7.1640625" bestFit="1" customWidth="1"/>
  </cols>
  <sheetData>
    <row r="1" spans="1:18" ht="16" x14ac:dyDescent="0.2">
      <c r="A1" s="7"/>
      <c r="B1" s="7"/>
      <c r="C1" s="7"/>
      <c r="D1" s="7"/>
      <c r="E1" s="7"/>
    </row>
    <row r="2" spans="1:18" ht="16" x14ac:dyDescent="0.2">
      <c r="A2" s="7"/>
      <c r="B2" s="7"/>
      <c r="C2" s="7"/>
      <c r="D2" s="7"/>
      <c r="E2" s="7"/>
    </row>
    <row r="3" spans="1:18" ht="16" x14ac:dyDescent="0.2">
      <c r="A3" s="7" t="s">
        <v>96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29">
        <v>50</v>
      </c>
      <c r="P3" s="29">
        <v>50</v>
      </c>
      <c r="Q3" s="29">
        <v>50</v>
      </c>
      <c r="R3" s="29">
        <v>50</v>
      </c>
    </row>
    <row r="4" spans="1:18" ht="16" x14ac:dyDescent="0.2">
      <c r="A4" s="7" t="s">
        <v>105</v>
      </c>
      <c r="B4" s="7" t="s">
        <v>99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8">
        <v>200</v>
      </c>
      <c r="P4" s="8">
        <v>200</v>
      </c>
      <c r="Q4" s="8">
        <v>200</v>
      </c>
      <c r="R4" s="8">
        <v>200</v>
      </c>
    </row>
    <row r="5" spans="1:18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0"/>
      <c r="P5" s="30"/>
      <c r="Q5" s="30"/>
      <c r="R5" s="30"/>
    </row>
    <row r="6" spans="1:18" ht="16" x14ac:dyDescent="0.2">
      <c r="A6" s="7" t="s">
        <v>97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29">
        <v>150</v>
      </c>
      <c r="P6" s="29">
        <v>150</v>
      </c>
      <c r="Q6" s="29">
        <v>150</v>
      </c>
      <c r="R6" s="29">
        <v>150</v>
      </c>
    </row>
    <row r="7" spans="1:18" ht="16" x14ac:dyDescent="0.2">
      <c r="A7" s="7" t="s">
        <v>100</v>
      </c>
      <c r="B7" s="7" t="s">
        <v>99</v>
      </c>
      <c r="C7" s="28">
        <v>400</v>
      </c>
      <c r="D7" s="28">
        <v>400</v>
      </c>
      <c r="E7" s="28">
        <v>400</v>
      </c>
      <c r="F7" s="28">
        <v>400</v>
      </c>
      <c r="G7" s="28">
        <v>400</v>
      </c>
      <c r="H7" s="28">
        <v>400</v>
      </c>
      <c r="I7" s="28">
        <v>400</v>
      </c>
      <c r="J7" s="28">
        <v>400</v>
      </c>
      <c r="K7" s="28">
        <v>400</v>
      </c>
      <c r="L7" s="28">
        <v>400</v>
      </c>
      <c r="M7" s="28">
        <v>400</v>
      </c>
      <c r="N7" s="28">
        <v>400</v>
      </c>
      <c r="O7" s="28">
        <v>400</v>
      </c>
      <c r="P7" s="28">
        <v>400</v>
      </c>
      <c r="Q7" s="28">
        <v>400</v>
      </c>
      <c r="R7" s="28">
        <v>400</v>
      </c>
    </row>
    <row r="8" spans="1:18" x14ac:dyDescent="0.2">
      <c r="O8" s="31"/>
      <c r="P8" s="31"/>
      <c r="Q8" s="31"/>
      <c r="R8" s="31"/>
    </row>
    <row r="9" spans="1:18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7</v>
      </c>
      <c r="J9" s="8">
        <v>8</v>
      </c>
      <c r="K9" s="8">
        <v>1</v>
      </c>
      <c r="L9" s="8">
        <v>2</v>
      </c>
      <c r="M9" s="8">
        <v>3</v>
      </c>
      <c r="N9" s="8">
        <v>4</v>
      </c>
      <c r="O9" s="29">
        <v>5</v>
      </c>
      <c r="P9" s="29">
        <v>6</v>
      </c>
      <c r="Q9" s="29">
        <v>7</v>
      </c>
      <c r="R9" s="29">
        <v>8</v>
      </c>
    </row>
    <row r="10" spans="1:18" ht="16" x14ac:dyDescent="0.2">
      <c r="A10" s="7" t="s">
        <v>35</v>
      </c>
      <c r="B10" s="7"/>
      <c r="C10" s="28">
        <v>1</v>
      </c>
      <c r="D10" s="28">
        <v>1</v>
      </c>
      <c r="E10" s="28">
        <v>1</v>
      </c>
      <c r="F10" s="28">
        <v>1</v>
      </c>
      <c r="G10" s="28">
        <v>1</v>
      </c>
      <c r="H10" s="28">
        <v>1</v>
      </c>
      <c r="I10" s="28">
        <v>1</v>
      </c>
      <c r="J10" s="28">
        <v>1</v>
      </c>
      <c r="K10" s="28">
        <v>2</v>
      </c>
      <c r="L10" s="28">
        <v>2</v>
      </c>
      <c r="M10" s="28">
        <v>2</v>
      </c>
      <c r="N10" s="28">
        <v>2</v>
      </c>
      <c r="O10" s="29">
        <v>2</v>
      </c>
      <c r="P10" s="29">
        <v>2</v>
      </c>
      <c r="Q10" s="29">
        <v>2</v>
      </c>
      <c r="R10" s="29">
        <v>2</v>
      </c>
    </row>
    <row r="11" spans="1:18" x14ac:dyDescent="0.2">
      <c r="O11" s="31"/>
      <c r="P11" s="31"/>
      <c r="Q11" s="31"/>
      <c r="R11" s="31"/>
    </row>
    <row r="12" spans="1:18" ht="16" x14ac:dyDescent="0.2">
      <c r="A12" s="7" t="s">
        <v>104</v>
      </c>
      <c r="B12" s="7" t="s">
        <v>99</v>
      </c>
      <c r="C12">
        <f>C7+(C10*C4)</f>
        <v>600</v>
      </c>
      <c r="D12">
        <f t="shared" ref="D12:R12" si="0">D7+(D10*D4)</f>
        <v>600</v>
      </c>
      <c r="E12">
        <f t="shared" si="0"/>
        <v>600</v>
      </c>
      <c r="F12">
        <f t="shared" si="0"/>
        <v>600</v>
      </c>
      <c r="G12">
        <f t="shared" si="0"/>
        <v>600</v>
      </c>
      <c r="H12">
        <f t="shared" si="0"/>
        <v>600</v>
      </c>
      <c r="I12">
        <f t="shared" si="0"/>
        <v>600</v>
      </c>
      <c r="J12">
        <f t="shared" si="0"/>
        <v>600</v>
      </c>
      <c r="K12">
        <f t="shared" si="0"/>
        <v>800</v>
      </c>
      <c r="L12">
        <f t="shared" si="0"/>
        <v>800</v>
      </c>
      <c r="M12">
        <f t="shared" si="0"/>
        <v>800</v>
      </c>
      <c r="N12">
        <f t="shared" si="0"/>
        <v>800</v>
      </c>
      <c r="O12">
        <f t="shared" si="0"/>
        <v>800</v>
      </c>
      <c r="P12">
        <f t="shared" si="0"/>
        <v>800</v>
      </c>
      <c r="Q12">
        <f t="shared" si="0"/>
        <v>800</v>
      </c>
      <c r="R12">
        <f t="shared" si="0"/>
        <v>800</v>
      </c>
    </row>
    <row r="13" spans="1:18" ht="16" x14ac:dyDescent="0.2">
      <c r="A13" s="7" t="s">
        <v>101</v>
      </c>
      <c r="B13" s="7" t="s">
        <v>99</v>
      </c>
      <c r="C13" s="7">
        <f>C12*C9</f>
        <v>600</v>
      </c>
      <c r="D13" s="7">
        <f t="shared" ref="D13:R13" si="1">D12*D9</f>
        <v>1200</v>
      </c>
      <c r="E13" s="7">
        <f t="shared" si="1"/>
        <v>1800</v>
      </c>
      <c r="F13" s="7">
        <f t="shared" si="1"/>
        <v>2400</v>
      </c>
      <c r="G13" s="7">
        <f t="shared" si="1"/>
        <v>3000</v>
      </c>
      <c r="H13" s="7">
        <f t="shared" si="1"/>
        <v>3600</v>
      </c>
      <c r="I13" s="7">
        <f t="shared" si="1"/>
        <v>4200</v>
      </c>
      <c r="J13" s="7">
        <f t="shared" si="1"/>
        <v>4800</v>
      </c>
      <c r="K13" s="7">
        <f t="shared" si="1"/>
        <v>800</v>
      </c>
      <c r="L13" s="7">
        <f t="shared" si="1"/>
        <v>1600</v>
      </c>
      <c r="M13" s="7">
        <f t="shared" si="1"/>
        <v>2400</v>
      </c>
      <c r="N13" s="7">
        <f t="shared" si="1"/>
        <v>3200</v>
      </c>
      <c r="O13" s="7">
        <f t="shared" si="1"/>
        <v>4000</v>
      </c>
      <c r="P13" s="7">
        <f t="shared" si="1"/>
        <v>4800</v>
      </c>
      <c r="Q13" s="7">
        <f t="shared" si="1"/>
        <v>5600</v>
      </c>
      <c r="R13" s="7">
        <f t="shared" si="1"/>
        <v>6400</v>
      </c>
    </row>
    <row r="14" spans="1:18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6" x14ac:dyDescent="0.2">
      <c r="A15" s="7" t="s">
        <v>98</v>
      </c>
      <c r="B15" s="7" t="s">
        <v>33</v>
      </c>
      <c r="C15" s="7">
        <f>C6+C3*C10</f>
        <v>200</v>
      </c>
      <c r="D15" s="7">
        <f t="shared" ref="D15:R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200</v>
      </c>
      <c r="J15" s="7">
        <f t="shared" si="2"/>
        <v>200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250</v>
      </c>
      <c r="P15" s="7">
        <f t="shared" si="2"/>
        <v>250</v>
      </c>
      <c r="Q15" s="7">
        <f t="shared" si="2"/>
        <v>250</v>
      </c>
      <c r="R15" s="7">
        <f t="shared" si="2"/>
        <v>250</v>
      </c>
    </row>
    <row r="16" spans="1:18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R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1400</v>
      </c>
      <c r="J16" s="7">
        <f t="shared" si="3"/>
        <v>1600</v>
      </c>
      <c r="K16" s="7">
        <f t="shared" si="3"/>
        <v>250</v>
      </c>
      <c r="L16" s="7">
        <f t="shared" si="3"/>
        <v>500</v>
      </c>
      <c r="M16" s="7">
        <f t="shared" si="3"/>
        <v>750</v>
      </c>
      <c r="N16" s="7">
        <f t="shared" si="3"/>
        <v>1000</v>
      </c>
      <c r="O16" s="7">
        <f t="shared" si="3"/>
        <v>1250</v>
      </c>
      <c r="P16" s="7">
        <f t="shared" si="3"/>
        <v>1500</v>
      </c>
      <c r="Q16" s="7">
        <f t="shared" si="3"/>
        <v>1750</v>
      </c>
      <c r="R16" s="7">
        <f t="shared" si="3"/>
        <v>2000</v>
      </c>
    </row>
    <row r="17" spans="1:23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23" ht="16" x14ac:dyDescent="0.2">
      <c r="A18" s="7" t="s">
        <v>103</v>
      </c>
      <c r="B18" s="7" t="s">
        <v>106</v>
      </c>
      <c r="C18" s="28">
        <v>100000</v>
      </c>
      <c r="D18" s="28">
        <v>100000</v>
      </c>
      <c r="E18" s="28">
        <v>100000</v>
      </c>
      <c r="F18" s="28">
        <v>100000</v>
      </c>
      <c r="G18" s="28">
        <v>100000</v>
      </c>
      <c r="H18" s="28">
        <v>100000</v>
      </c>
      <c r="I18" s="28">
        <v>100000</v>
      </c>
      <c r="J18" s="28">
        <v>100000</v>
      </c>
      <c r="K18" s="28">
        <v>100000</v>
      </c>
      <c r="L18" s="28">
        <v>100000</v>
      </c>
      <c r="M18" s="28">
        <v>100000</v>
      </c>
      <c r="N18" s="28">
        <v>100000</v>
      </c>
      <c r="O18" s="28">
        <v>100000</v>
      </c>
      <c r="P18" s="28">
        <v>100000</v>
      </c>
      <c r="Q18" s="28">
        <v>100000</v>
      </c>
      <c r="R18" s="28">
        <v>100000</v>
      </c>
    </row>
    <row r="19" spans="1:23" ht="16" x14ac:dyDescent="0.2">
      <c r="A19" s="7" t="s">
        <v>102</v>
      </c>
      <c r="B19" s="7" t="s">
        <v>33</v>
      </c>
      <c r="C19" s="7">
        <f>C13*C18/10000000</f>
        <v>6</v>
      </c>
      <c r="D19" s="7">
        <f t="shared" ref="D19:R19" si="4">D13*D18/10000000</f>
        <v>12</v>
      </c>
      <c r="E19" s="7">
        <f t="shared" si="4"/>
        <v>18</v>
      </c>
      <c r="F19" s="7">
        <f t="shared" si="4"/>
        <v>24</v>
      </c>
      <c r="G19" s="7">
        <f t="shared" si="4"/>
        <v>30</v>
      </c>
      <c r="H19" s="7">
        <f t="shared" si="4"/>
        <v>36</v>
      </c>
      <c r="I19" s="7">
        <f t="shared" si="4"/>
        <v>42</v>
      </c>
      <c r="J19" s="7">
        <f t="shared" si="4"/>
        <v>48</v>
      </c>
      <c r="K19" s="7">
        <f t="shared" si="4"/>
        <v>8</v>
      </c>
      <c r="L19" s="7">
        <f t="shared" si="4"/>
        <v>16</v>
      </c>
      <c r="M19" s="7">
        <f t="shared" si="4"/>
        <v>24</v>
      </c>
      <c r="N19" s="7">
        <f t="shared" si="4"/>
        <v>32</v>
      </c>
      <c r="O19" s="7">
        <f t="shared" si="4"/>
        <v>40</v>
      </c>
      <c r="P19" s="7">
        <f t="shared" si="4"/>
        <v>48</v>
      </c>
      <c r="Q19" s="7">
        <f t="shared" si="4"/>
        <v>56</v>
      </c>
      <c r="R19" s="7">
        <f t="shared" si="4"/>
        <v>64</v>
      </c>
    </row>
    <row r="20" spans="1:23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3" ht="16" x14ac:dyDescent="0.2">
      <c r="A21" s="33" t="s">
        <v>37</v>
      </c>
      <c r="B21" s="34" t="s">
        <v>33</v>
      </c>
      <c r="C21" s="35">
        <f>C19+C16</f>
        <v>206</v>
      </c>
      <c r="D21" s="35">
        <f t="shared" ref="D21:R21" si="5">D19+D16</f>
        <v>412</v>
      </c>
      <c r="E21" s="35">
        <f t="shared" si="5"/>
        <v>618</v>
      </c>
      <c r="F21" s="35">
        <f t="shared" si="5"/>
        <v>824</v>
      </c>
      <c r="G21" s="35">
        <f t="shared" si="5"/>
        <v>1030</v>
      </c>
      <c r="H21" s="35">
        <f t="shared" si="5"/>
        <v>1236</v>
      </c>
      <c r="I21" s="35">
        <f t="shared" si="5"/>
        <v>1442</v>
      </c>
      <c r="J21" s="35">
        <f t="shared" si="5"/>
        <v>1648</v>
      </c>
      <c r="K21" s="35">
        <f t="shared" si="5"/>
        <v>258</v>
      </c>
      <c r="L21" s="35">
        <f t="shared" si="5"/>
        <v>516</v>
      </c>
      <c r="M21" s="35">
        <f t="shared" si="5"/>
        <v>774</v>
      </c>
      <c r="N21" s="35">
        <f t="shared" si="5"/>
        <v>1032</v>
      </c>
      <c r="O21" s="35">
        <f t="shared" si="5"/>
        <v>1290</v>
      </c>
      <c r="P21" s="35">
        <f t="shared" si="5"/>
        <v>1548</v>
      </c>
      <c r="Q21" s="35">
        <f t="shared" si="5"/>
        <v>1806</v>
      </c>
      <c r="R21" s="35">
        <f t="shared" si="5"/>
        <v>2064</v>
      </c>
    </row>
    <row r="23" spans="1:23" ht="16" x14ac:dyDescent="0.2">
      <c r="A23" s="7" t="s">
        <v>107</v>
      </c>
      <c r="C23">
        <f>C10*C9</f>
        <v>1</v>
      </c>
      <c r="D23">
        <f t="shared" ref="D23:R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7</v>
      </c>
      <c r="J23">
        <f t="shared" si="6"/>
        <v>8</v>
      </c>
      <c r="K23">
        <f t="shared" si="6"/>
        <v>2</v>
      </c>
      <c r="L23">
        <f t="shared" si="6"/>
        <v>4</v>
      </c>
      <c r="M23">
        <f t="shared" si="6"/>
        <v>6</v>
      </c>
      <c r="N23">
        <f t="shared" si="6"/>
        <v>8</v>
      </c>
      <c r="O23">
        <f t="shared" si="6"/>
        <v>10</v>
      </c>
      <c r="P23">
        <f t="shared" si="6"/>
        <v>12</v>
      </c>
      <c r="Q23">
        <f t="shared" si="6"/>
        <v>14</v>
      </c>
      <c r="R23">
        <f t="shared" si="6"/>
        <v>16</v>
      </c>
    </row>
    <row r="24" spans="1:23" ht="16" x14ac:dyDescent="0.2">
      <c r="A24" s="7" t="s">
        <v>134</v>
      </c>
      <c r="C24">
        <f>C23*'Laser Count Analysis'!$J4</f>
        <v>16</v>
      </c>
      <c r="D24">
        <f>D23*'Laser Count Analysis'!$J4</f>
        <v>32</v>
      </c>
      <c r="E24">
        <f>E23*'Laser Count Analysis'!$J4</f>
        <v>48</v>
      </c>
      <c r="F24">
        <f>F23*'Laser Count Analysis'!$J4</f>
        <v>64</v>
      </c>
      <c r="G24">
        <f>G23*'Laser Count Analysis'!$J4</f>
        <v>80</v>
      </c>
      <c r="H24">
        <f>H23*'Laser Count Analysis'!$J4</f>
        <v>96</v>
      </c>
      <c r="I24">
        <f>I23*'Laser Count Analysis'!$J4</f>
        <v>112</v>
      </c>
      <c r="J24">
        <f>J23*'Laser Count Analysis'!$J4</f>
        <v>128</v>
      </c>
      <c r="K24">
        <f>K23*'Laser Count Analysis'!$J4</f>
        <v>32</v>
      </c>
      <c r="L24">
        <f>L23*'Laser Count Analysis'!$J4</f>
        <v>64</v>
      </c>
      <c r="M24">
        <f>M23*'Laser Count Analysis'!$J4</f>
        <v>96</v>
      </c>
      <c r="N24">
        <f>N23*'Laser Count Analysis'!$J4</f>
        <v>128</v>
      </c>
      <c r="O24">
        <f>O23*'Laser Count Analysis'!$J4</f>
        <v>160</v>
      </c>
      <c r="P24">
        <f>P23*'Laser Count Analysis'!$J4</f>
        <v>192</v>
      </c>
      <c r="Q24">
        <f>Q23*'Laser Count Analysis'!$J4</f>
        <v>224</v>
      </c>
      <c r="R24">
        <f>R23*'Laser Count Analysis'!$J4</f>
        <v>256</v>
      </c>
    </row>
    <row r="25" spans="1:23" x14ac:dyDescent="0.2">
      <c r="A25" s="32" t="s">
        <v>114</v>
      </c>
      <c r="B25" s="3"/>
      <c r="C25" s="3">
        <f>'Laser Count Analysis'!$J3</f>
        <v>30</v>
      </c>
      <c r="D25" s="3">
        <f>'Laser Count Analysis'!$J3</f>
        <v>30</v>
      </c>
      <c r="E25" s="3">
        <f>'Laser Count Analysis'!$J3</f>
        <v>30</v>
      </c>
      <c r="F25" s="3">
        <f>'Laser Count Analysis'!$J3</f>
        <v>30</v>
      </c>
      <c r="G25" s="3">
        <f>'Laser Count Analysis'!$J3</f>
        <v>30</v>
      </c>
      <c r="H25" s="3">
        <f>'Laser Count Analysis'!$J3</f>
        <v>30</v>
      </c>
      <c r="I25" s="3">
        <f>'Laser Count Analysis'!$J3</f>
        <v>30</v>
      </c>
      <c r="J25" s="3">
        <f>'Laser Count Analysis'!$J3</f>
        <v>30</v>
      </c>
      <c r="K25" s="3">
        <f>'Laser Count Analysis'!$J3</f>
        <v>30</v>
      </c>
      <c r="L25" s="3">
        <f>'Laser Count Analysis'!$J3</f>
        <v>30</v>
      </c>
      <c r="M25" s="3">
        <f>'Laser Count Analysis'!$J3</f>
        <v>30</v>
      </c>
      <c r="N25" s="3">
        <f>'Laser Count Analysis'!$J3</f>
        <v>30</v>
      </c>
      <c r="O25" s="3">
        <f>'Laser Count Analysis'!$J3</f>
        <v>30</v>
      </c>
      <c r="P25" s="3">
        <f>'Laser Count Analysis'!$J3</f>
        <v>30</v>
      </c>
      <c r="Q25" s="3">
        <f>'Laser Count Analysis'!$J3</f>
        <v>30</v>
      </c>
      <c r="R25" s="3">
        <f>'Laser Count Analysis'!$J3</f>
        <v>30</v>
      </c>
      <c r="S25" s="3"/>
      <c r="T25" s="3"/>
      <c r="U25" s="3"/>
      <c r="V25" s="3"/>
      <c r="W25" s="3"/>
    </row>
    <row r="26" spans="1:23" x14ac:dyDescent="0.2">
      <c r="A26" s="32" t="s">
        <v>115</v>
      </c>
      <c r="B26" s="1"/>
      <c r="C26" s="1">
        <f>24*60/'Laser Count Analysis'!$J2</f>
        <v>5.76</v>
      </c>
      <c r="D26" s="1">
        <f>24*60/'Laser Count Analysis'!$J2</f>
        <v>5.76</v>
      </c>
      <c r="E26" s="1">
        <f>24*60/'Laser Count Analysis'!$J2</f>
        <v>5.76</v>
      </c>
      <c r="F26" s="1">
        <f>24*60/'Laser Count Analysis'!$J2</f>
        <v>5.76</v>
      </c>
      <c r="G26" s="1">
        <f>24*60/'Laser Count Analysis'!$J2</f>
        <v>5.76</v>
      </c>
      <c r="H26" s="1">
        <f>24*60/'Laser Count Analysis'!$J2</f>
        <v>5.76</v>
      </c>
      <c r="I26" s="1">
        <f>24*60/'Laser Count Analysis'!$J2</f>
        <v>5.76</v>
      </c>
      <c r="J26" s="1">
        <f>24*60/'Laser Count Analysis'!$J2</f>
        <v>5.76</v>
      </c>
      <c r="K26" s="1">
        <f>24*60/'Laser Count Analysis'!$J2</f>
        <v>5.76</v>
      </c>
      <c r="L26" s="1">
        <f>24*60/'Laser Count Analysis'!$J2</f>
        <v>5.76</v>
      </c>
      <c r="M26" s="1">
        <f>24*60/'Laser Count Analysis'!$J2</f>
        <v>5.76</v>
      </c>
      <c r="N26" s="1">
        <f>24*60/'Laser Count Analysis'!$J2</f>
        <v>5.76</v>
      </c>
      <c r="O26" s="1">
        <f>24*60/'Laser Count Analysis'!$J2</f>
        <v>5.76</v>
      </c>
      <c r="P26" s="1">
        <f>24*60/'Laser Count Analysis'!$J2</f>
        <v>5.76</v>
      </c>
      <c r="Q26" s="1">
        <f>24*60/'Laser Count Analysis'!$J2</f>
        <v>5.76</v>
      </c>
      <c r="R26" s="1">
        <f>24*60/'Laser Count Analysis'!$J2</f>
        <v>5.76</v>
      </c>
      <c r="S26" s="1"/>
      <c r="T26" s="1"/>
      <c r="U26" s="1"/>
      <c r="V26" s="1"/>
      <c r="W26" s="1"/>
    </row>
    <row r="27" spans="1:23" x14ac:dyDescent="0.2">
      <c r="A27" s="32" t="s">
        <v>116</v>
      </c>
      <c r="B27" s="1"/>
      <c r="C27" s="1">
        <f t="shared" ref="C27" si="7">C25/60*C26</f>
        <v>2.88</v>
      </c>
      <c r="D27" s="1">
        <f t="shared" ref="D27" si="8">D25/60*D26</f>
        <v>2.88</v>
      </c>
      <c r="E27" s="1">
        <f t="shared" ref="E27" si="9">E25/60*E26</f>
        <v>2.88</v>
      </c>
      <c r="F27" s="1">
        <f t="shared" ref="F27" si="10">F25/60*F26</f>
        <v>2.88</v>
      </c>
      <c r="G27" s="1">
        <f t="shared" ref="G27" si="11">G25/60*G26</f>
        <v>2.88</v>
      </c>
      <c r="H27" s="1">
        <f t="shared" ref="H27" si="12">H25/60*H26</f>
        <v>2.88</v>
      </c>
      <c r="I27" s="1">
        <f t="shared" ref="I27" si="13">I25/60*I26</f>
        <v>2.88</v>
      </c>
      <c r="J27" s="1">
        <f t="shared" ref="J27" si="14">J25/60*J26</f>
        <v>2.88</v>
      </c>
      <c r="K27" s="1">
        <f t="shared" ref="K27" si="15">K25/60*K26</f>
        <v>2.88</v>
      </c>
      <c r="L27" s="1">
        <f t="shared" ref="L27" si="16">L25/60*L26</f>
        <v>2.88</v>
      </c>
      <c r="M27" s="1">
        <f t="shared" ref="M27" si="17">M25/60*M26</f>
        <v>2.88</v>
      </c>
      <c r="N27" s="1">
        <f t="shared" ref="N27" si="18">N25/60*N26</f>
        <v>2.88</v>
      </c>
      <c r="O27" s="1">
        <f t="shared" ref="O27" si="19">O25/60*O26</f>
        <v>2.88</v>
      </c>
      <c r="P27" s="1">
        <f t="shared" ref="P27" si="20">P25/60*P26</f>
        <v>2.88</v>
      </c>
      <c r="Q27" s="1">
        <f t="shared" ref="Q27" si="21">Q25/60*Q26</f>
        <v>2.88</v>
      </c>
      <c r="R27" s="1">
        <f t="shared" ref="R27" si="22">R25/60*R26</f>
        <v>2.88</v>
      </c>
      <c r="S27" s="1"/>
      <c r="T27" s="1"/>
      <c r="U27" s="1"/>
      <c r="V27" s="1"/>
      <c r="W27" s="1"/>
    </row>
    <row r="28" spans="1:23" x14ac:dyDescent="0.2">
      <c r="A28" s="32" t="s">
        <v>197</v>
      </c>
      <c r="B28" s="1"/>
      <c r="C28" s="26">
        <f>'Laser Count Analysis'!$G8*'Laser Count Analysis'!$G9*'Laser Count Analysis'!$G10</f>
        <v>0.05</v>
      </c>
      <c r="D28" s="26">
        <f>'Laser Count Analysis'!$G8*'Laser Count Analysis'!$G9*'Laser Count Analysis'!$G10</f>
        <v>0.05</v>
      </c>
      <c r="E28" s="26">
        <f>'Laser Count Analysis'!$G8*'Laser Count Analysis'!$G9*'Laser Count Analysis'!$G10</f>
        <v>0.05</v>
      </c>
      <c r="F28" s="26">
        <f>'Laser Count Analysis'!$G8*'Laser Count Analysis'!$G9*'Laser Count Analysis'!$G10</f>
        <v>0.05</v>
      </c>
      <c r="G28" s="26">
        <f>'Laser Count Analysis'!$G8*'Laser Count Analysis'!$G9*'Laser Count Analysis'!$G10</f>
        <v>0.05</v>
      </c>
      <c r="H28" s="26">
        <f>'Laser Count Analysis'!$G8*'Laser Count Analysis'!$G9*'Laser Count Analysis'!$G10</f>
        <v>0.05</v>
      </c>
      <c r="I28" s="26">
        <f>'Laser Count Analysis'!$G8*'Laser Count Analysis'!$G9*'Laser Count Analysis'!$G10</f>
        <v>0.05</v>
      </c>
      <c r="J28" s="26">
        <f>'Laser Count Analysis'!$G8*'Laser Count Analysis'!$G9*'Laser Count Analysis'!$G10</f>
        <v>0.05</v>
      </c>
      <c r="K28" s="26">
        <f>'Laser Count Analysis'!$G8*'Laser Count Analysis'!$G9*'Laser Count Analysis'!$G10</f>
        <v>0.05</v>
      </c>
      <c r="L28" s="26">
        <f>'Laser Count Analysis'!$G8*'Laser Count Analysis'!$G9*'Laser Count Analysis'!$G10</f>
        <v>0.05</v>
      </c>
      <c r="M28" s="26">
        <f>'Laser Count Analysis'!$G8*'Laser Count Analysis'!$G9*'Laser Count Analysis'!$G10</f>
        <v>0.05</v>
      </c>
      <c r="N28" s="26">
        <f>'Laser Count Analysis'!$G8*'Laser Count Analysis'!$G9*'Laser Count Analysis'!$G10</f>
        <v>0.05</v>
      </c>
      <c r="O28" s="26">
        <f>'Laser Count Analysis'!$G8*'Laser Count Analysis'!$G9*'Laser Count Analysis'!$G10</f>
        <v>0.05</v>
      </c>
      <c r="P28" s="26">
        <f>'Laser Count Analysis'!$G8*'Laser Count Analysis'!$G9*'Laser Count Analysis'!$G10</f>
        <v>0.05</v>
      </c>
      <c r="Q28" s="26">
        <f>'Laser Count Analysis'!$G8*'Laser Count Analysis'!$G9*'Laser Count Analysis'!$G10</f>
        <v>0.05</v>
      </c>
      <c r="R28" s="26">
        <f>'Laser Count Analysis'!$G8*'Laser Count Analysis'!$G9*'Laser Count Analysis'!$G10</f>
        <v>0.05</v>
      </c>
      <c r="S28" s="1"/>
      <c r="T28" s="1"/>
      <c r="U28" s="1"/>
      <c r="V28" s="1"/>
      <c r="W28" s="1"/>
    </row>
    <row r="29" spans="1:23" ht="16" x14ac:dyDescent="0.2">
      <c r="A29" s="7" t="s">
        <v>108</v>
      </c>
      <c r="C29" s="1">
        <f>C24*C27*C28</f>
        <v>2.3039999999999998</v>
      </c>
      <c r="D29" s="1">
        <f t="shared" ref="D29:R29" si="23">D24*D27*D28</f>
        <v>4.6079999999999997</v>
      </c>
      <c r="E29" s="1">
        <f t="shared" si="23"/>
        <v>6.9120000000000008</v>
      </c>
      <c r="F29" s="1">
        <f t="shared" si="23"/>
        <v>9.2159999999999993</v>
      </c>
      <c r="G29" s="1">
        <f t="shared" si="23"/>
        <v>11.52</v>
      </c>
      <c r="H29" s="1">
        <f t="shared" si="23"/>
        <v>13.824000000000002</v>
      </c>
      <c r="I29" s="1">
        <f t="shared" si="23"/>
        <v>16.128</v>
      </c>
      <c r="J29" s="1">
        <f t="shared" si="23"/>
        <v>18.431999999999999</v>
      </c>
      <c r="K29" s="1">
        <f t="shared" si="23"/>
        <v>4.6079999999999997</v>
      </c>
      <c r="L29" s="1">
        <f t="shared" si="23"/>
        <v>9.2159999999999993</v>
      </c>
      <c r="M29" s="1">
        <f t="shared" si="23"/>
        <v>13.824000000000002</v>
      </c>
      <c r="N29" s="1">
        <f t="shared" si="23"/>
        <v>18.431999999999999</v>
      </c>
      <c r="O29" s="1">
        <f t="shared" si="23"/>
        <v>23.04</v>
      </c>
      <c r="P29" s="1">
        <f t="shared" si="23"/>
        <v>27.648000000000003</v>
      </c>
      <c r="Q29" s="1">
        <f t="shared" si="23"/>
        <v>32.256</v>
      </c>
      <c r="R29" s="1">
        <f t="shared" si="23"/>
        <v>36.863999999999997</v>
      </c>
    </row>
    <row r="30" spans="1:23" ht="16" x14ac:dyDescent="0.2">
      <c r="A30" s="7" t="s">
        <v>112</v>
      </c>
      <c r="C30" s="3">
        <f>365*C29</f>
        <v>840.95999999999992</v>
      </c>
      <c r="D30" s="3">
        <f t="shared" ref="D30:R30" si="24">365*D29</f>
        <v>1681.9199999999998</v>
      </c>
      <c r="E30" s="3">
        <f t="shared" si="24"/>
        <v>2522.88</v>
      </c>
      <c r="F30" s="3">
        <f t="shared" si="24"/>
        <v>3363.8399999999997</v>
      </c>
      <c r="G30" s="3">
        <f t="shared" si="24"/>
        <v>4204.8</v>
      </c>
      <c r="H30" s="3">
        <f t="shared" si="24"/>
        <v>5045.76</v>
      </c>
      <c r="I30" s="3">
        <f t="shared" si="24"/>
        <v>5886.72</v>
      </c>
      <c r="J30" s="3">
        <f t="shared" si="24"/>
        <v>6727.6799999999994</v>
      </c>
      <c r="K30" s="3">
        <f t="shared" si="24"/>
        <v>1681.9199999999998</v>
      </c>
      <c r="L30" s="3">
        <f t="shared" si="24"/>
        <v>3363.8399999999997</v>
      </c>
      <c r="M30" s="3">
        <f t="shared" si="24"/>
        <v>5045.76</v>
      </c>
      <c r="N30" s="3">
        <f t="shared" si="24"/>
        <v>6727.6799999999994</v>
      </c>
      <c r="O30" s="3">
        <f t="shared" si="24"/>
        <v>8409.6</v>
      </c>
      <c r="P30" s="3">
        <f t="shared" si="24"/>
        <v>10091.52</v>
      </c>
      <c r="Q30" s="3">
        <f t="shared" si="24"/>
        <v>11773.44</v>
      </c>
      <c r="R30" s="3">
        <f t="shared" si="24"/>
        <v>13455.359999999999</v>
      </c>
    </row>
    <row r="31" spans="1:23" ht="16" x14ac:dyDescent="0.2">
      <c r="A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3" x14ac:dyDescent="0.2">
      <c r="A32" s="32" t="s">
        <v>109</v>
      </c>
      <c r="B32" t="s">
        <v>106</v>
      </c>
      <c r="C32" s="3">
        <f>C21/(C30)*1000000</f>
        <v>244958.14307458143</v>
      </c>
      <c r="D32" s="3">
        <f t="shared" ref="D32:R32" si="25">D21/(D30)*1000000</f>
        <v>244958.14307458143</v>
      </c>
      <c r="E32" s="3">
        <f t="shared" si="25"/>
        <v>244958.1430745814</v>
      </c>
      <c r="F32" s="3">
        <f t="shared" si="25"/>
        <v>244958.14307458143</v>
      </c>
      <c r="G32" s="3">
        <f t="shared" si="25"/>
        <v>244958.1430745814</v>
      </c>
      <c r="H32" s="3">
        <f t="shared" si="25"/>
        <v>244958.1430745814</v>
      </c>
      <c r="I32" s="3">
        <f t="shared" si="25"/>
        <v>244958.1430745814</v>
      </c>
      <c r="J32" s="3">
        <f t="shared" si="25"/>
        <v>244958.14307458143</v>
      </c>
      <c r="K32" s="3">
        <f t="shared" si="25"/>
        <v>153396.11872146119</v>
      </c>
      <c r="L32" s="3">
        <f t="shared" si="25"/>
        <v>153396.11872146119</v>
      </c>
      <c r="M32" s="3">
        <f t="shared" si="25"/>
        <v>153396.11872146119</v>
      </c>
      <c r="N32" s="3">
        <f t="shared" si="25"/>
        <v>153396.11872146119</v>
      </c>
      <c r="O32" s="3">
        <f t="shared" si="25"/>
        <v>153396.11872146119</v>
      </c>
      <c r="P32" s="3">
        <f t="shared" si="25"/>
        <v>153396.11872146119</v>
      </c>
      <c r="Q32" s="3">
        <f t="shared" si="25"/>
        <v>153396.11872146119</v>
      </c>
      <c r="R32" s="3">
        <f t="shared" si="25"/>
        <v>153396.11872146119</v>
      </c>
    </row>
    <row r="33" spans="1:18" x14ac:dyDescent="0.2">
      <c r="A33" s="32" t="s">
        <v>110</v>
      </c>
      <c r="B33" t="s">
        <v>106</v>
      </c>
      <c r="C33" s="3">
        <f>C21/(C30*2)*1000000</f>
        <v>122479.07153729071</v>
      </c>
      <c r="D33" s="3">
        <f t="shared" ref="D33:R33" si="26">D21/(D30*2)*1000000</f>
        <v>122479.07153729071</v>
      </c>
      <c r="E33" s="3">
        <f t="shared" si="26"/>
        <v>122479.0715372907</v>
      </c>
      <c r="F33" s="3">
        <f t="shared" si="26"/>
        <v>122479.07153729071</v>
      </c>
      <c r="G33" s="3">
        <f t="shared" si="26"/>
        <v>122479.0715372907</v>
      </c>
      <c r="H33" s="3">
        <f t="shared" si="26"/>
        <v>122479.0715372907</v>
      </c>
      <c r="I33" s="3">
        <f t="shared" si="26"/>
        <v>122479.0715372907</v>
      </c>
      <c r="J33" s="3">
        <f t="shared" si="26"/>
        <v>122479.07153729071</v>
      </c>
      <c r="K33" s="3">
        <f t="shared" si="26"/>
        <v>76698.059360730593</v>
      </c>
      <c r="L33" s="3">
        <f t="shared" si="26"/>
        <v>76698.059360730593</v>
      </c>
      <c r="M33" s="3">
        <f t="shared" si="26"/>
        <v>76698.059360730593</v>
      </c>
      <c r="N33" s="3">
        <f t="shared" si="26"/>
        <v>76698.059360730593</v>
      </c>
      <c r="O33" s="3">
        <f t="shared" si="26"/>
        <v>76698.059360730593</v>
      </c>
      <c r="P33" s="3">
        <f t="shared" si="26"/>
        <v>76698.059360730593</v>
      </c>
      <c r="Q33" s="3">
        <f t="shared" si="26"/>
        <v>76698.059360730593</v>
      </c>
      <c r="R33" s="3">
        <f t="shared" si="26"/>
        <v>76698.059360730593</v>
      </c>
    </row>
    <row r="34" spans="1:18" x14ac:dyDescent="0.2">
      <c r="A34" s="32" t="s">
        <v>111</v>
      </c>
      <c r="B34" t="s">
        <v>106</v>
      </c>
      <c r="C34" s="3">
        <f>C21/(C30*5)*1000000</f>
        <v>48991.628614916292</v>
      </c>
      <c r="D34" s="3">
        <f t="shared" ref="D34:R34" si="27">D21/(D30*5)*1000000</f>
        <v>48991.628614916292</v>
      </c>
      <c r="E34" s="3">
        <f t="shared" si="27"/>
        <v>48991.628614916277</v>
      </c>
      <c r="F34" s="3">
        <f t="shared" si="27"/>
        <v>48991.628614916292</v>
      </c>
      <c r="G34" s="3">
        <f t="shared" si="27"/>
        <v>48991.628614916284</v>
      </c>
      <c r="H34" s="3">
        <f t="shared" si="27"/>
        <v>48991.628614916277</v>
      </c>
      <c r="I34" s="3">
        <f t="shared" si="27"/>
        <v>48991.628614916277</v>
      </c>
      <c r="J34" s="3">
        <f t="shared" si="27"/>
        <v>48991.628614916292</v>
      </c>
      <c r="K34" s="3">
        <f t="shared" si="27"/>
        <v>30679.223744292245</v>
      </c>
      <c r="L34" s="3">
        <f t="shared" si="27"/>
        <v>30679.223744292245</v>
      </c>
      <c r="M34" s="3">
        <f t="shared" si="27"/>
        <v>30679.223744292234</v>
      </c>
      <c r="N34" s="3">
        <f t="shared" si="27"/>
        <v>30679.223744292245</v>
      </c>
      <c r="O34" s="3">
        <f t="shared" si="27"/>
        <v>30679.223744292238</v>
      </c>
      <c r="P34" s="3">
        <f t="shared" si="27"/>
        <v>30679.223744292234</v>
      </c>
      <c r="Q34" s="3">
        <f t="shared" si="27"/>
        <v>30679.223744292234</v>
      </c>
      <c r="R34" s="3">
        <f t="shared" si="27"/>
        <v>30679.223744292245</v>
      </c>
    </row>
    <row r="35" spans="1:18" x14ac:dyDescent="0.2">
      <c r="A35" s="32" t="s">
        <v>113</v>
      </c>
      <c r="B35" t="s">
        <v>106</v>
      </c>
      <c r="C35" s="3">
        <f>C21/(C30*10)*1000000</f>
        <v>24495.814307458146</v>
      </c>
      <c r="D35" s="3">
        <f t="shared" ref="D35:R35" si="28">D21/(D30*10)*1000000</f>
        <v>24495.814307458146</v>
      </c>
      <c r="E35" s="3">
        <f t="shared" si="28"/>
        <v>24495.814307458139</v>
      </c>
      <c r="F35" s="3">
        <f t="shared" si="28"/>
        <v>24495.814307458146</v>
      </c>
      <c r="G35" s="3">
        <f t="shared" si="28"/>
        <v>24495.814307458142</v>
      </c>
      <c r="H35" s="3">
        <f t="shared" si="28"/>
        <v>24495.814307458139</v>
      </c>
      <c r="I35" s="3">
        <f t="shared" si="28"/>
        <v>24495.814307458139</v>
      </c>
      <c r="J35" s="3">
        <f t="shared" si="28"/>
        <v>24495.814307458146</v>
      </c>
      <c r="K35" s="3">
        <f t="shared" si="28"/>
        <v>15339.611872146123</v>
      </c>
      <c r="L35" s="3">
        <f t="shared" si="28"/>
        <v>15339.611872146123</v>
      </c>
      <c r="M35" s="3">
        <f t="shared" si="28"/>
        <v>15339.611872146117</v>
      </c>
      <c r="N35" s="3">
        <f t="shared" si="28"/>
        <v>15339.611872146123</v>
      </c>
      <c r="O35" s="3">
        <f t="shared" si="28"/>
        <v>15339.611872146119</v>
      </c>
      <c r="P35" s="3">
        <f t="shared" si="28"/>
        <v>15339.611872146117</v>
      </c>
      <c r="Q35" s="3">
        <f t="shared" si="28"/>
        <v>15339.611872146117</v>
      </c>
      <c r="R35" s="3">
        <f t="shared" si="28"/>
        <v>15339.611872146123</v>
      </c>
    </row>
    <row r="40" spans="1:18" x14ac:dyDescent="0.2">
      <c r="C40" s="3"/>
      <c r="D40" s="3"/>
      <c r="G40" s="3"/>
      <c r="H40" s="3"/>
    </row>
    <row r="41" spans="1:18" x14ac:dyDescent="0.2">
      <c r="C41" s="3"/>
      <c r="D41" s="3"/>
      <c r="E41" s="3"/>
      <c r="G41" s="26"/>
      <c r="H41" s="3"/>
      <c r="I41" s="3"/>
    </row>
    <row r="42" spans="1:18" x14ac:dyDescent="0.2">
      <c r="C42" s="3"/>
      <c r="D42" s="3"/>
      <c r="G42" s="3"/>
      <c r="H42" s="3"/>
    </row>
    <row r="43" spans="1:18" x14ac:dyDescent="0.2">
      <c r="D43" s="3"/>
      <c r="E43" s="3"/>
      <c r="I43" s="3"/>
    </row>
    <row r="44" spans="1:18" x14ac:dyDescent="0.2">
      <c r="D44" s="3"/>
      <c r="E44" s="3"/>
      <c r="I44" s="3"/>
    </row>
    <row r="45" spans="1:18" x14ac:dyDescent="0.2">
      <c r="D45" s="3"/>
      <c r="E45" s="3"/>
      <c r="H45" s="3"/>
      <c r="I45" s="3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9412-7AE1-4643-8E20-5E6F7243B1E4}">
  <dimension ref="A1:AB82"/>
  <sheetViews>
    <sheetView tabSelected="1" topLeftCell="A23" zoomScale="125" zoomScaleNormal="125" workbookViewId="0">
      <selection activeCell="B40" sqref="B40"/>
    </sheetView>
  </sheetViews>
  <sheetFormatPr baseColWidth="10" defaultRowHeight="15" x14ac:dyDescent="0.2"/>
  <cols>
    <col min="1" max="1" width="35.83203125" customWidth="1"/>
    <col min="2" max="2" width="7.33203125" customWidth="1"/>
    <col min="3" max="3" width="9.33203125" customWidth="1"/>
    <col min="4" max="4" width="7.33203125" customWidth="1"/>
    <col min="5" max="5" width="9.33203125" customWidth="1"/>
    <col min="6" max="6" width="7.33203125" customWidth="1"/>
    <col min="7" max="7" width="9.33203125" customWidth="1"/>
    <col min="8" max="8" width="3.1640625" customWidth="1"/>
    <col min="9" max="9" width="7.33203125" hidden="1" customWidth="1"/>
    <col min="10" max="10" width="9.33203125" hidden="1" customWidth="1"/>
    <col min="11" max="11" width="7.33203125" hidden="1" customWidth="1"/>
    <col min="12" max="12" width="9.33203125" hidden="1" customWidth="1"/>
    <col min="13" max="13" width="7.33203125" hidden="1" customWidth="1"/>
    <col min="14" max="14" width="9.33203125" hidden="1" customWidth="1"/>
    <col min="15" max="15" width="3.5" customWidth="1"/>
    <col min="16" max="16" width="11.83203125" bestFit="1" customWidth="1"/>
    <col min="17" max="17" width="9.33203125" bestFit="1" customWidth="1"/>
    <col min="18" max="18" width="7.33203125" bestFit="1" customWidth="1"/>
    <col min="19" max="19" width="9.33203125" bestFit="1" customWidth="1"/>
    <col min="20" max="20" width="7.33203125" bestFit="1" customWidth="1"/>
    <col min="21" max="21" width="9.33203125" bestFit="1" customWidth="1"/>
    <col min="22" max="22" width="4" customWidth="1"/>
    <col min="23" max="23" width="11.83203125" hidden="1" customWidth="1"/>
    <col min="24" max="24" width="9.33203125" hidden="1" customWidth="1"/>
    <col min="25" max="25" width="7.33203125" hidden="1" customWidth="1"/>
    <col min="26" max="26" width="9.33203125" hidden="1" customWidth="1"/>
    <col min="27" max="27" width="7.33203125" hidden="1" customWidth="1"/>
    <col min="28" max="28" width="9.33203125" hidden="1" customWidth="1"/>
  </cols>
  <sheetData>
    <row r="1" spans="1:28" x14ac:dyDescent="0.2">
      <c r="B1" s="120" t="s">
        <v>203</v>
      </c>
      <c r="C1" s="120"/>
      <c r="D1" s="120"/>
      <c r="E1" s="120"/>
      <c r="F1" s="120"/>
      <c r="G1" s="120"/>
      <c r="I1" s="120" t="s">
        <v>204</v>
      </c>
      <c r="J1" s="120"/>
      <c r="K1" s="120"/>
      <c r="L1" s="120"/>
      <c r="M1" s="120"/>
      <c r="N1" s="120"/>
      <c r="P1" s="120" t="s">
        <v>203</v>
      </c>
      <c r="Q1" s="120"/>
      <c r="R1" s="120"/>
      <c r="S1" s="120"/>
      <c r="T1" s="120"/>
      <c r="U1" s="120"/>
      <c r="W1" s="120" t="s">
        <v>204</v>
      </c>
      <c r="X1" s="120"/>
      <c r="Y1" s="120"/>
      <c r="Z1" s="120"/>
      <c r="AA1" s="120"/>
      <c r="AB1" s="120"/>
    </row>
    <row r="2" spans="1:28" x14ac:dyDescent="0.2">
      <c r="B2" s="120" t="s">
        <v>76</v>
      </c>
      <c r="C2" s="120"/>
      <c r="D2" s="120" t="s">
        <v>78</v>
      </c>
      <c r="E2" s="120"/>
      <c r="F2" s="120" t="s">
        <v>77</v>
      </c>
      <c r="G2" s="120"/>
      <c r="I2" s="120" t="s">
        <v>76</v>
      </c>
      <c r="J2" s="120"/>
      <c r="K2" s="120" t="s">
        <v>78</v>
      </c>
      <c r="L2" s="120"/>
      <c r="M2" s="120" t="s">
        <v>77</v>
      </c>
      <c r="N2" s="120"/>
      <c r="P2" s="120" t="s">
        <v>76</v>
      </c>
      <c r="Q2" s="120"/>
      <c r="R2" s="120" t="s">
        <v>78</v>
      </c>
      <c r="S2" s="120"/>
      <c r="T2" s="120" t="s">
        <v>77</v>
      </c>
      <c r="U2" s="120"/>
      <c r="W2" s="120" t="s">
        <v>76</v>
      </c>
      <c r="X2" s="120"/>
      <c r="Y2" s="120" t="s">
        <v>78</v>
      </c>
      <c r="Z2" s="120"/>
      <c r="AA2" s="120" t="s">
        <v>77</v>
      </c>
      <c r="AB2" s="120"/>
    </row>
    <row r="3" spans="1:28" x14ac:dyDescent="0.2">
      <c r="A3" s="25" t="s">
        <v>147</v>
      </c>
      <c r="B3">
        <v>1737</v>
      </c>
      <c r="C3" t="s">
        <v>136</v>
      </c>
      <c r="D3">
        <v>1737</v>
      </c>
      <c r="E3" t="s">
        <v>136</v>
      </c>
      <c r="F3">
        <v>1737</v>
      </c>
      <c r="G3" s="31" t="s">
        <v>136</v>
      </c>
      <c r="I3">
        <v>1737</v>
      </c>
      <c r="J3" t="s">
        <v>136</v>
      </c>
      <c r="K3">
        <v>1737</v>
      </c>
      <c r="L3" t="s">
        <v>136</v>
      </c>
      <c r="M3">
        <v>1737</v>
      </c>
      <c r="N3" s="31" t="s">
        <v>136</v>
      </c>
      <c r="P3">
        <v>1737</v>
      </c>
      <c r="Q3" t="s">
        <v>136</v>
      </c>
      <c r="R3">
        <v>1737</v>
      </c>
      <c r="S3" t="s">
        <v>136</v>
      </c>
      <c r="T3">
        <v>1737</v>
      </c>
      <c r="U3" s="31" t="s">
        <v>136</v>
      </c>
      <c r="W3">
        <v>1737</v>
      </c>
      <c r="X3" t="s">
        <v>136</v>
      </c>
      <c r="Y3">
        <v>1737</v>
      </c>
      <c r="Z3" t="s">
        <v>136</v>
      </c>
      <c r="AA3">
        <v>1737</v>
      </c>
      <c r="AB3" s="31" t="s">
        <v>136</v>
      </c>
    </row>
    <row r="4" spans="1:28" x14ac:dyDescent="0.2">
      <c r="A4" s="25" t="s">
        <v>150</v>
      </c>
      <c r="B4" s="104">
        <v>1300</v>
      </c>
      <c r="C4" t="s">
        <v>136</v>
      </c>
      <c r="D4" s="5">
        <v>1300</v>
      </c>
      <c r="E4" t="s">
        <v>136</v>
      </c>
      <c r="F4" s="5">
        <v>1300</v>
      </c>
      <c r="G4" s="31" t="s">
        <v>136</v>
      </c>
      <c r="I4" s="5">
        <v>402</v>
      </c>
      <c r="J4" t="s">
        <v>136</v>
      </c>
      <c r="K4" s="5">
        <v>402</v>
      </c>
      <c r="L4" t="s">
        <v>136</v>
      </c>
      <c r="M4" s="5">
        <v>402</v>
      </c>
      <c r="N4" s="31" t="s">
        <v>136</v>
      </c>
      <c r="P4" s="5">
        <v>1300</v>
      </c>
      <c r="Q4" t="s">
        <v>136</v>
      </c>
      <c r="R4" s="5">
        <v>1300</v>
      </c>
      <c r="S4" t="s">
        <v>136</v>
      </c>
      <c r="T4" s="5">
        <v>1300</v>
      </c>
      <c r="U4" s="31" t="s">
        <v>136</v>
      </c>
      <c r="W4" s="5">
        <v>402</v>
      </c>
      <c r="X4" t="s">
        <v>136</v>
      </c>
      <c r="Y4" s="5">
        <v>402</v>
      </c>
      <c r="Z4" t="s">
        <v>136</v>
      </c>
      <c r="AA4" s="5">
        <v>402</v>
      </c>
      <c r="AB4" s="31" t="s">
        <v>136</v>
      </c>
    </row>
    <row r="5" spans="1:28" x14ac:dyDescent="0.2">
      <c r="A5" s="25" t="s">
        <v>217</v>
      </c>
      <c r="B5" s="5">
        <v>45</v>
      </c>
      <c r="C5" t="s">
        <v>46</v>
      </c>
      <c r="D5" s="5">
        <v>45</v>
      </c>
      <c r="E5" t="s">
        <v>46</v>
      </c>
      <c r="F5" s="5">
        <v>45</v>
      </c>
      <c r="G5" s="31" t="s">
        <v>46</v>
      </c>
      <c r="I5" s="5">
        <v>45</v>
      </c>
      <c r="J5" t="s">
        <v>46</v>
      </c>
      <c r="K5" s="5">
        <v>45</v>
      </c>
      <c r="L5" t="s">
        <v>46</v>
      </c>
      <c r="M5" s="5">
        <v>45</v>
      </c>
      <c r="N5" s="31" t="s">
        <v>46</v>
      </c>
      <c r="P5" s="5">
        <v>45</v>
      </c>
      <c r="Q5" t="s">
        <v>46</v>
      </c>
      <c r="R5" s="5">
        <v>45</v>
      </c>
      <c r="S5" t="s">
        <v>46</v>
      </c>
      <c r="T5" s="5">
        <v>45</v>
      </c>
      <c r="U5" s="31" t="s">
        <v>46</v>
      </c>
      <c r="W5" s="5">
        <v>45</v>
      </c>
      <c r="X5" t="s">
        <v>46</v>
      </c>
      <c r="Y5" s="5">
        <v>45</v>
      </c>
      <c r="Z5" t="s">
        <v>46</v>
      </c>
      <c r="AA5" s="5">
        <v>45</v>
      </c>
      <c r="AB5" s="31" t="s">
        <v>46</v>
      </c>
    </row>
    <row r="6" spans="1:28" hidden="1" x14ac:dyDescent="0.2">
      <c r="A6" s="25" t="s">
        <v>198</v>
      </c>
      <c r="B6" s="1">
        <f>RADIANS(B5)</f>
        <v>0.78539816339744828</v>
      </c>
      <c r="C6" t="s">
        <v>47</v>
      </c>
      <c r="D6" s="1">
        <f>RADIANS(D5)</f>
        <v>0.78539816339744828</v>
      </c>
      <c r="E6" t="s">
        <v>47</v>
      </c>
      <c r="F6" s="1">
        <f>RADIANS(F5)</f>
        <v>0.78539816339744828</v>
      </c>
      <c r="G6" s="31" t="s">
        <v>47</v>
      </c>
      <c r="I6" s="1">
        <f>RADIANS(I5)</f>
        <v>0.78539816339744828</v>
      </c>
      <c r="J6" t="s">
        <v>47</v>
      </c>
      <c r="K6" s="1">
        <f>RADIANS(K5)</f>
        <v>0.78539816339744828</v>
      </c>
      <c r="L6" t="s">
        <v>47</v>
      </c>
      <c r="M6" s="1">
        <f>RADIANS(M5)</f>
        <v>0.78539816339744828</v>
      </c>
      <c r="N6" s="31" t="s">
        <v>47</v>
      </c>
      <c r="P6" s="1">
        <f>RADIANS(P5)</f>
        <v>0.78539816339744828</v>
      </c>
      <c r="Q6" t="s">
        <v>47</v>
      </c>
      <c r="R6" s="1">
        <f>RADIANS(R5)</f>
        <v>0.78539816339744828</v>
      </c>
      <c r="S6" t="s">
        <v>47</v>
      </c>
      <c r="T6" s="1">
        <f>RADIANS(T5)</f>
        <v>0.78539816339744828</v>
      </c>
      <c r="U6" s="31" t="s">
        <v>47</v>
      </c>
      <c r="W6" s="1">
        <f>RADIANS(W5)</f>
        <v>0.78539816339744828</v>
      </c>
      <c r="X6" t="s">
        <v>47</v>
      </c>
      <c r="Y6" s="1">
        <f>RADIANS(Y5)</f>
        <v>0.78539816339744828</v>
      </c>
      <c r="Z6" t="s">
        <v>47</v>
      </c>
      <c r="AA6" s="1">
        <f>RADIANS(AA5)</f>
        <v>0.78539816339744828</v>
      </c>
      <c r="AB6" s="31" t="s">
        <v>47</v>
      </c>
    </row>
    <row r="7" spans="1:28" hidden="1" x14ac:dyDescent="0.2">
      <c r="A7" s="25" t="s">
        <v>148</v>
      </c>
      <c r="B7" s="2">
        <f>DEGREES(B8)</f>
        <v>34.886037989134344</v>
      </c>
      <c r="C7" t="s">
        <v>46</v>
      </c>
      <c r="D7" s="2">
        <f>DEGREES(D8)</f>
        <v>34.886037989134344</v>
      </c>
      <c r="E7" t="s">
        <v>46</v>
      </c>
      <c r="F7" s="2">
        <f>DEGREES(F8)</f>
        <v>34.886037989134344</v>
      </c>
      <c r="G7" s="31" t="s">
        <v>46</v>
      </c>
      <c r="I7" s="2">
        <f>DEGREES(I8)</f>
        <v>54.29785804085757</v>
      </c>
      <c r="J7" t="s">
        <v>46</v>
      </c>
      <c r="K7" s="2">
        <f>DEGREES(K8)</f>
        <v>54.29785804085757</v>
      </c>
      <c r="L7" t="s">
        <v>46</v>
      </c>
      <c r="M7" s="2">
        <f>DEGREES(M8)</f>
        <v>54.29785804085757</v>
      </c>
      <c r="N7" s="31" t="s">
        <v>46</v>
      </c>
      <c r="P7" s="2">
        <f>DEGREES(P8)</f>
        <v>34.886037989134344</v>
      </c>
      <c r="Q7" t="s">
        <v>46</v>
      </c>
      <c r="R7" s="2">
        <f>DEGREES(R8)</f>
        <v>34.886037989134344</v>
      </c>
      <c r="S7" t="s">
        <v>46</v>
      </c>
      <c r="T7" s="2">
        <f>DEGREES(T8)</f>
        <v>34.886037989134344</v>
      </c>
      <c r="U7" s="31" t="s">
        <v>46</v>
      </c>
      <c r="W7" s="2">
        <f>DEGREES(W8)</f>
        <v>54.29785804085757</v>
      </c>
      <c r="X7" t="s">
        <v>46</v>
      </c>
      <c r="Y7" s="2">
        <f>DEGREES(Y8)</f>
        <v>54.29785804085757</v>
      </c>
      <c r="Z7" t="s">
        <v>46</v>
      </c>
      <c r="AA7" s="2">
        <f>DEGREES(AA8)</f>
        <v>54.29785804085757</v>
      </c>
      <c r="AB7" s="31" t="s">
        <v>46</v>
      </c>
    </row>
    <row r="8" spans="1:28" hidden="1" x14ac:dyDescent="0.2">
      <c r="A8" s="25" t="s">
        <v>148</v>
      </c>
      <c r="B8" s="1">
        <f>ASIN((B3/(B3+B4)))</f>
        <v>0.60887622588621604</v>
      </c>
      <c r="C8" t="s">
        <v>47</v>
      </c>
      <c r="D8" s="1">
        <f>ASIN((D3/(D3+D4)))</f>
        <v>0.60887622588621604</v>
      </c>
      <c r="E8" t="s">
        <v>47</v>
      </c>
      <c r="F8" s="1">
        <f>ASIN((F3/(F3+F4)))</f>
        <v>0.60887622588621604</v>
      </c>
      <c r="G8" s="31" t="s">
        <v>47</v>
      </c>
      <c r="I8" s="1">
        <f>ASIN((I3/(I3+I4)))</f>
        <v>0.9476763995934423</v>
      </c>
      <c r="J8" t="s">
        <v>47</v>
      </c>
      <c r="K8" s="1">
        <f>ASIN((K3/(K3+K4)))</f>
        <v>0.9476763995934423</v>
      </c>
      <c r="L8" t="s">
        <v>47</v>
      </c>
      <c r="M8" s="1">
        <f>ASIN((M3/(M3+M4)))</f>
        <v>0.9476763995934423</v>
      </c>
      <c r="N8" s="31" t="s">
        <v>47</v>
      </c>
      <c r="P8" s="1">
        <f>ASIN((P3/(P3+P4)))</f>
        <v>0.60887622588621604</v>
      </c>
      <c r="Q8" t="s">
        <v>47</v>
      </c>
      <c r="R8" s="1">
        <f>ASIN((R3/(R3+R4)))</f>
        <v>0.60887622588621604</v>
      </c>
      <c r="S8" t="s">
        <v>47</v>
      </c>
      <c r="T8" s="1">
        <f>ASIN((T3/(T3+T4)))</f>
        <v>0.60887622588621604</v>
      </c>
      <c r="U8" s="31" t="s">
        <v>47</v>
      </c>
      <c r="W8" s="1">
        <f>ASIN((W3/(W3+W4)))</f>
        <v>0.9476763995934423</v>
      </c>
      <c r="X8" t="s">
        <v>47</v>
      </c>
      <c r="Y8" s="1">
        <f>ASIN((Y3/(Y3+Y4)))</f>
        <v>0.9476763995934423</v>
      </c>
      <c r="Z8" t="s">
        <v>47</v>
      </c>
      <c r="AA8" s="1">
        <f>ASIN((AA3/(AA3+AA4)))</f>
        <v>0.9476763995934423</v>
      </c>
      <c r="AB8" s="31" t="s">
        <v>47</v>
      </c>
    </row>
    <row r="9" spans="1:28" hidden="1" x14ac:dyDescent="0.2">
      <c r="A9" s="25" t="s">
        <v>151</v>
      </c>
      <c r="B9" s="2">
        <f>DEGREES(B10)</f>
        <v>23.855218395304895</v>
      </c>
      <c r="C9" t="s">
        <v>46</v>
      </c>
      <c r="D9" s="2">
        <f>DEGREES(D10)</f>
        <v>23.855218395304895</v>
      </c>
      <c r="E9" t="s">
        <v>46</v>
      </c>
      <c r="F9" s="2">
        <f>DEGREES(F10)</f>
        <v>23.855218395304895</v>
      </c>
      <c r="G9" s="31" t="s">
        <v>46</v>
      </c>
      <c r="I9" s="2">
        <f>DEGREES(I10)</f>
        <v>35.044630679556739</v>
      </c>
      <c r="J9" t="s">
        <v>46</v>
      </c>
      <c r="K9" s="2">
        <f>DEGREES(K10)</f>
        <v>35.044630679556739</v>
      </c>
      <c r="L9" t="s">
        <v>46</v>
      </c>
      <c r="M9" s="2">
        <f>DEGREES(M10)</f>
        <v>35.044630679556739</v>
      </c>
      <c r="N9" s="31" t="s">
        <v>46</v>
      </c>
      <c r="P9" s="2">
        <f>DEGREES(P10)</f>
        <v>23.855218395304895</v>
      </c>
      <c r="Q9" t="s">
        <v>46</v>
      </c>
      <c r="R9" s="2">
        <f>DEGREES(R10)</f>
        <v>23.855218395304895</v>
      </c>
      <c r="S9" t="s">
        <v>46</v>
      </c>
      <c r="T9" s="2">
        <f>DEGREES(T10)</f>
        <v>23.855218395304895</v>
      </c>
      <c r="U9" s="31" t="s">
        <v>46</v>
      </c>
      <c r="W9" s="2">
        <f>DEGREES(W10)</f>
        <v>35.044630679556739</v>
      </c>
      <c r="X9" t="s">
        <v>46</v>
      </c>
      <c r="Y9" s="2">
        <f>DEGREES(Y10)</f>
        <v>35.044630679556739</v>
      </c>
      <c r="Z9" t="s">
        <v>46</v>
      </c>
      <c r="AA9" s="2">
        <f>DEGREES(AA10)</f>
        <v>35.044630679556739</v>
      </c>
      <c r="AB9" s="31" t="s">
        <v>46</v>
      </c>
    </row>
    <row r="10" spans="1:28" hidden="1" x14ac:dyDescent="0.2">
      <c r="A10" s="25" t="s">
        <v>151</v>
      </c>
      <c r="B10" s="2">
        <f>ASIN(COS(B6)*SIN(B8))</f>
        <v>0.41635210478038864</v>
      </c>
      <c r="C10" t="s">
        <v>47</v>
      </c>
      <c r="D10" s="2">
        <f>ASIN(COS(D6)*SIN(D8))</f>
        <v>0.41635210478038864</v>
      </c>
      <c r="E10" t="s">
        <v>47</v>
      </c>
      <c r="F10" s="2">
        <f>ASIN(COS(F6)*SIN(F8))</f>
        <v>0.41635210478038864</v>
      </c>
      <c r="G10" s="31" t="s">
        <v>47</v>
      </c>
      <c r="I10" s="2">
        <f>ASIN(COS(I6)*SIN(I8))</f>
        <v>0.61164419050368302</v>
      </c>
      <c r="J10" t="s">
        <v>47</v>
      </c>
      <c r="K10" s="2">
        <f>ASIN(COS(K6)*SIN(K8))</f>
        <v>0.61164419050368302</v>
      </c>
      <c r="L10" t="s">
        <v>47</v>
      </c>
      <c r="M10" s="2">
        <f>ASIN(COS(M6)*SIN(M8))</f>
        <v>0.61164419050368302</v>
      </c>
      <c r="N10" s="31" t="s">
        <v>47</v>
      </c>
      <c r="P10" s="2">
        <f>ASIN(COS(P6)*SIN(P8))</f>
        <v>0.41635210478038864</v>
      </c>
      <c r="Q10" t="s">
        <v>47</v>
      </c>
      <c r="R10" s="2">
        <f>ASIN(COS(R6)*SIN(R8))</f>
        <v>0.41635210478038864</v>
      </c>
      <c r="S10" t="s">
        <v>47</v>
      </c>
      <c r="T10" s="2">
        <f>ASIN(COS(T6)*SIN(T8))</f>
        <v>0.41635210478038864</v>
      </c>
      <c r="U10" s="31" t="s">
        <v>47</v>
      </c>
      <c r="W10" s="2">
        <f>ASIN(COS(W6)*SIN(W8))</f>
        <v>0.61164419050368302</v>
      </c>
      <c r="X10" t="s">
        <v>47</v>
      </c>
      <c r="Y10" s="2">
        <f>ASIN(COS(Y6)*SIN(Y8))</f>
        <v>0.61164419050368302</v>
      </c>
      <c r="Z10" t="s">
        <v>47</v>
      </c>
      <c r="AA10" s="2">
        <f>ASIN(COS(AA6)*SIN(AA8))</f>
        <v>0.61164419050368302</v>
      </c>
      <c r="AB10" s="31" t="s">
        <v>47</v>
      </c>
    </row>
    <row r="11" spans="1:28" hidden="1" x14ac:dyDescent="0.2">
      <c r="A11" s="25" t="s">
        <v>152</v>
      </c>
      <c r="B11" s="2">
        <f>DEGREES(B12)</f>
        <v>21.144781604695105</v>
      </c>
      <c r="C11" t="s">
        <v>46</v>
      </c>
      <c r="D11" s="2">
        <f>DEGREES(D12)</f>
        <v>21.144781604695105</v>
      </c>
      <c r="E11" t="s">
        <v>46</v>
      </c>
      <c r="F11" s="2">
        <f>DEGREES(F12)</f>
        <v>21.144781604695105</v>
      </c>
      <c r="G11" s="31" t="s">
        <v>46</v>
      </c>
      <c r="I11" s="2">
        <f>DEGREES(I12)</f>
        <v>9.9553693204432605</v>
      </c>
      <c r="J11" t="s">
        <v>46</v>
      </c>
      <c r="K11" s="2">
        <f>DEGREES(K12)</f>
        <v>9.9553693204432605</v>
      </c>
      <c r="L11" t="s">
        <v>46</v>
      </c>
      <c r="M11" s="2">
        <f>DEGREES(M12)</f>
        <v>9.9553693204432605</v>
      </c>
      <c r="N11" s="31" t="s">
        <v>46</v>
      </c>
      <c r="P11" s="2">
        <f>DEGREES(P12)</f>
        <v>21.144781604695105</v>
      </c>
      <c r="Q11" t="s">
        <v>46</v>
      </c>
      <c r="R11" s="2">
        <f>DEGREES(R12)</f>
        <v>21.144781604695105</v>
      </c>
      <c r="S11" t="s">
        <v>46</v>
      </c>
      <c r="T11" s="2">
        <f>DEGREES(T12)</f>
        <v>21.144781604695105</v>
      </c>
      <c r="U11" s="31" t="s">
        <v>46</v>
      </c>
      <c r="W11" s="2">
        <f>DEGREES(W12)</f>
        <v>9.9553693204432605</v>
      </c>
      <c r="X11" t="s">
        <v>46</v>
      </c>
      <c r="Y11" s="2">
        <f>DEGREES(Y12)</f>
        <v>9.9553693204432605</v>
      </c>
      <c r="Z11" t="s">
        <v>46</v>
      </c>
      <c r="AA11" s="2">
        <f>DEGREES(AA12)</f>
        <v>9.9553693204432605</v>
      </c>
      <c r="AB11" s="31" t="s">
        <v>46</v>
      </c>
    </row>
    <row r="12" spans="1:28" hidden="1" x14ac:dyDescent="0.2">
      <c r="A12" s="25" t="s">
        <v>152</v>
      </c>
      <c r="B12" s="2">
        <f>RADIANS(90-B5-B9)</f>
        <v>0.36904605861705964</v>
      </c>
      <c r="C12" t="s">
        <v>47</v>
      </c>
      <c r="D12" s="2">
        <f>RADIANS(90-D5-D9)</f>
        <v>0.36904605861705964</v>
      </c>
      <c r="E12" t="s">
        <v>47</v>
      </c>
      <c r="F12" s="2">
        <f>RADIANS(90-F5-F9)</f>
        <v>0.36904605861705964</v>
      </c>
      <c r="G12" s="31" t="s">
        <v>47</v>
      </c>
      <c r="I12" s="2">
        <f>RADIANS(90-I5-I9)</f>
        <v>0.17375397289376532</v>
      </c>
      <c r="J12" t="s">
        <v>47</v>
      </c>
      <c r="K12" s="2">
        <f>RADIANS(90-K5-K9)</f>
        <v>0.17375397289376532</v>
      </c>
      <c r="L12" t="s">
        <v>47</v>
      </c>
      <c r="M12" s="2">
        <f>RADIANS(90-M5-M9)</f>
        <v>0.17375397289376532</v>
      </c>
      <c r="N12" s="31" t="s">
        <v>47</v>
      </c>
      <c r="P12" s="2">
        <f>RADIANS(90-P5-P9)</f>
        <v>0.36904605861705964</v>
      </c>
      <c r="Q12" t="s">
        <v>47</v>
      </c>
      <c r="R12" s="2">
        <f>RADIANS(90-R5-R9)</f>
        <v>0.36904605861705964</v>
      </c>
      <c r="S12" t="s">
        <v>47</v>
      </c>
      <c r="T12" s="2">
        <f>RADIANS(90-T5-T9)</f>
        <v>0.36904605861705964</v>
      </c>
      <c r="U12" s="31" t="s">
        <v>47</v>
      </c>
      <c r="W12" s="2">
        <f>RADIANS(90-W5-W9)</f>
        <v>0.17375397289376532</v>
      </c>
      <c r="X12" t="s">
        <v>47</v>
      </c>
      <c r="Y12" s="2">
        <f>RADIANS(90-Y5-Y9)</f>
        <v>0.17375397289376532</v>
      </c>
      <c r="Z12" t="s">
        <v>47</v>
      </c>
      <c r="AA12" s="2">
        <f>RADIANS(90-AA5-AA9)</f>
        <v>0.17375397289376532</v>
      </c>
      <c r="AB12" s="31" t="s">
        <v>47</v>
      </c>
    </row>
    <row r="13" spans="1:28" x14ac:dyDescent="0.2">
      <c r="A13" s="25" t="s">
        <v>131</v>
      </c>
      <c r="B13" s="82">
        <v>250.43</v>
      </c>
      <c r="C13" t="s">
        <v>8</v>
      </c>
      <c r="D13" s="82">
        <v>250.43</v>
      </c>
      <c r="E13" t="s">
        <v>8</v>
      </c>
      <c r="F13" s="82">
        <v>250.43</v>
      </c>
      <c r="G13" t="s">
        <v>8</v>
      </c>
      <c r="I13" s="82">
        <v>148</v>
      </c>
      <c r="J13" t="s">
        <v>8</v>
      </c>
      <c r="K13" s="82">
        <v>148</v>
      </c>
      <c r="L13" t="s">
        <v>8</v>
      </c>
      <c r="M13" s="82">
        <v>148</v>
      </c>
      <c r="N13" t="s">
        <v>8</v>
      </c>
      <c r="P13" s="82">
        <v>250.43</v>
      </c>
      <c r="Q13" t="s">
        <v>8</v>
      </c>
      <c r="R13" s="82">
        <v>250.43</v>
      </c>
      <c r="S13" t="s">
        <v>8</v>
      </c>
      <c r="T13" s="82">
        <v>250.43</v>
      </c>
      <c r="U13" t="s">
        <v>8</v>
      </c>
      <c r="W13" s="82">
        <v>148</v>
      </c>
      <c r="X13" t="s">
        <v>8</v>
      </c>
      <c r="Y13" s="82">
        <v>148</v>
      </c>
      <c r="Z13" t="s">
        <v>8</v>
      </c>
      <c r="AA13" s="82">
        <v>148</v>
      </c>
      <c r="AB13" t="s">
        <v>8</v>
      </c>
    </row>
    <row r="14" spans="1:28" x14ac:dyDescent="0.2">
      <c r="A14" s="25" t="s">
        <v>210</v>
      </c>
      <c r="B14" s="82">
        <v>29.4</v>
      </c>
      <c r="C14" t="s">
        <v>8</v>
      </c>
      <c r="D14" s="82">
        <v>29.4</v>
      </c>
      <c r="E14" t="s">
        <v>8</v>
      </c>
      <c r="F14" s="82">
        <v>29.4</v>
      </c>
      <c r="G14" t="s">
        <v>8</v>
      </c>
      <c r="I14" s="82">
        <v>8</v>
      </c>
      <c r="J14" t="s">
        <v>8</v>
      </c>
      <c r="K14" s="82">
        <v>8</v>
      </c>
      <c r="L14" t="s">
        <v>8</v>
      </c>
      <c r="M14" s="82">
        <v>8</v>
      </c>
      <c r="N14" t="s">
        <v>8</v>
      </c>
      <c r="P14" s="82">
        <v>29.4</v>
      </c>
      <c r="Q14" t="s">
        <v>8</v>
      </c>
      <c r="R14" s="82">
        <v>29.4</v>
      </c>
      <c r="S14" t="s">
        <v>8</v>
      </c>
      <c r="T14" s="82">
        <v>29.4</v>
      </c>
      <c r="U14" t="s">
        <v>8</v>
      </c>
      <c r="W14" s="82">
        <v>8</v>
      </c>
      <c r="X14" t="s">
        <v>8</v>
      </c>
      <c r="Y14" s="82">
        <v>8</v>
      </c>
      <c r="Z14" t="s">
        <v>8</v>
      </c>
      <c r="AA14" s="82">
        <v>8</v>
      </c>
      <c r="AB14" t="s">
        <v>8</v>
      </c>
    </row>
    <row r="15" spans="1:28" x14ac:dyDescent="0.2">
      <c r="A15" s="25" t="s">
        <v>92</v>
      </c>
      <c r="B15" s="46">
        <f>24*60/B13</f>
        <v>5.7501098111248652</v>
      </c>
      <c r="C15" s="1"/>
      <c r="D15" s="46">
        <f>24*60/D13</f>
        <v>5.7501098111248652</v>
      </c>
      <c r="E15" s="1"/>
      <c r="F15" s="46">
        <f>24*60/F13</f>
        <v>5.7501098111248652</v>
      </c>
      <c r="G15" s="1"/>
      <c r="H15" s="1"/>
      <c r="I15" s="46">
        <f>24*60/I13</f>
        <v>9.7297297297297298</v>
      </c>
      <c r="J15" s="1"/>
      <c r="K15" s="46">
        <f>24*60/K13</f>
        <v>9.7297297297297298</v>
      </c>
      <c r="L15" s="1"/>
      <c r="M15" s="46">
        <f>24*60/M13</f>
        <v>9.7297297297297298</v>
      </c>
      <c r="N15" s="1"/>
      <c r="O15" s="1"/>
      <c r="P15" s="46">
        <f>24*60/P13</f>
        <v>5.7501098111248652</v>
      </c>
      <c r="Q15" s="1"/>
      <c r="R15" s="46">
        <f>24*60/R13</f>
        <v>5.7501098111248652</v>
      </c>
      <c r="S15" s="1"/>
      <c r="T15" s="46">
        <f>24*60/T13</f>
        <v>5.7501098111248652</v>
      </c>
      <c r="W15" s="52">
        <f>24*60/W13</f>
        <v>9.7297297297297298</v>
      </c>
      <c r="Y15" s="52">
        <f>24*60/Y13</f>
        <v>9.7297297297297298</v>
      </c>
      <c r="AA15" s="52">
        <f>24*60/AA13</f>
        <v>9.7297297297297298</v>
      </c>
    </row>
    <row r="16" spans="1:28" x14ac:dyDescent="0.2">
      <c r="A16" s="25" t="s">
        <v>211</v>
      </c>
      <c r="B16" s="46">
        <f t="shared" ref="B16:D16" si="0">B14/60*B15</f>
        <v>2.8175538074511839</v>
      </c>
      <c r="C16" t="s">
        <v>212</v>
      </c>
      <c r="D16" s="52">
        <f t="shared" si="0"/>
        <v>2.8175538074511839</v>
      </c>
      <c r="E16" t="s">
        <v>212</v>
      </c>
      <c r="F16" s="52">
        <f t="shared" ref="F16" si="1">F14/60*F15</f>
        <v>2.8175538074511839</v>
      </c>
      <c r="G16" t="s">
        <v>212</v>
      </c>
      <c r="I16" s="52">
        <f t="shared" ref="I16" si="2">I14/60*I15</f>
        <v>1.2972972972972974</v>
      </c>
      <c r="J16" t="s">
        <v>212</v>
      </c>
      <c r="K16" s="52">
        <f t="shared" ref="K16" si="3">K14/60*K15</f>
        <v>1.2972972972972974</v>
      </c>
      <c r="L16" t="s">
        <v>212</v>
      </c>
      <c r="M16" s="52">
        <f t="shared" ref="M16" si="4">M14/60*M15</f>
        <v>1.2972972972972974</v>
      </c>
      <c r="N16" t="s">
        <v>212</v>
      </c>
      <c r="P16" s="52">
        <f t="shared" ref="P16" si="5">P14/60*P15</f>
        <v>2.8175538074511839</v>
      </c>
      <c r="Q16" t="s">
        <v>212</v>
      </c>
      <c r="R16" s="52">
        <f t="shared" ref="R16" si="6">R14/60*R15</f>
        <v>2.8175538074511839</v>
      </c>
      <c r="S16" t="s">
        <v>212</v>
      </c>
      <c r="T16" s="52">
        <f t="shared" ref="T16" si="7">T14/60*T15</f>
        <v>2.8175538074511839</v>
      </c>
      <c r="U16" t="s">
        <v>212</v>
      </c>
      <c r="W16" s="52">
        <f t="shared" ref="W16" si="8">W14/60*W15</f>
        <v>1.2972972972972974</v>
      </c>
      <c r="X16" t="s">
        <v>212</v>
      </c>
      <c r="Y16" s="52">
        <f t="shared" ref="Y16" si="9">Y14/60*Y15</f>
        <v>1.2972972972972974</v>
      </c>
      <c r="Z16" t="s">
        <v>212</v>
      </c>
      <c r="AA16" s="52">
        <f t="shared" ref="AA16" si="10">AA14/60*AA15</f>
        <v>1.2972972972972974</v>
      </c>
      <c r="AB16" t="s">
        <v>212</v>
      </c>
    </row>
    <row r="17" spans="1:28" x14ac:dyDescent="0.2">
      <c r="A17" s="25" t="s">
        <v>199</v>
      </c>
      <c r="B17" s="3">
        <f>B3*(SIN(B12)/SIN(B10))</f>
        <v>1549.3056106363081</v>
      </c>
      <c r="C17" t="s">
        <v>136</v>
      </c>
      <c r="D17" s="3">
        <f>D3*(SIN(D12)/SIN(D10))</f>
        <v>1549.3056106363081</v>
      </c>
      <c r="E17" t="s">
        <v>136</v>
      </c>
      <c r="F17" s="3">
        <f>F3*(SIN(F12)/SIN(F10))</f>
        <v>1549.3056106363081</v>
      </c>
      <c r="G17" s="31" t="s">
        <v>136</v>
      </c>
      <c r="I17" s="3">
        <f>I3*(SIN(I12)/SIN(I10))</f>
        <v>522.96553132902216</v>
      </c>
      <c r="J17" t="s">
        <v>136</v>
      </c>
      <c r="K17" s="3">
        <f>K3*(SIN(K12)/SIN(K10))</f>
        <v>522.96553132902216</v>
      </c>
      <c r="L17" t="s">
        <v>136</v>
      </c>
      <c r="M17" s="3">
        <f>M3*(SIN(M12)/SIN(M10))</f>
        <v>522.96553132902216</v>
      </c>
      <c r="N17" s="31" t="s">
        <v>136</v>
      </c>
      <c r="P17" s="3">
        <f>P3*(SIN(P12)/SIN(P10))</f>
        <v>1549.3056106363081</v>
      </c>
      <c r="Q17" t="s">
        <v>136</v>
      </c>
      <c r="R17" s="3">
        <f>R3*(SIN(R12)/SIN(R10))</f>
        <v>1549.3056106363081</v>
      </c>
      <c r="S17" t="s">
        <v>136</v>
      </c>
      <c r="T17" s="3">
        <f>T3*(SIN(T12)/SIN(T10))</f>
        <v>1549.3056106363081</v>
      </c>
      <c r="U17" s="31" t="s">
        <v>136</v>
      </c>
      <c r="W17" s="3">
        <f>W3*(SIN(W12)/SIN(W10))</f>
        <v>522.96553132902216</v>
      </c>
      <c r="X17" t="s">
        <v>136</v>
      </c>
      <c r="Y17" s="3">
        <f>Y3*(SIN(Y12)/SIN(Y10))</f>
        <v>522.96553132902216</v>
      </c>
      <c r="Z17" t="s">
        <v>136</v>
      </c>
      <c r="AA17" s="3">
        <f>AA3*(SIN(AA12)/SIN(AA10))</f>
        <v>522.96553132902216</v>
      </c>
      <c r="AB17" s="31" t="s">
        <v>136</v>
      </c>
    </row>
    <row r="18" spans="1:28" x14ac:dyDescent="0.2">
      <c r="A18" s="25"/>
      <c r="B18" s="3"/>
      <c r="D18" s="3"/>
      <c r="F18" s="3"/>
      <c r="G18" s="31"/>
      <c r="I18" s="3"/>
      <c r="K18" s="3"/>
      <c r="M18" s="3"/>
      <c r="N18" s="31"/>
      <c r="P18" s="3"/>
      <c r="R18" s="3"/>
      <c r="T18" s="3"/>
      <c r="U18" s="31"/>
      <c r="W18" s="3"/>
      <c r="Y18" s="3"/>
      <c r="AA18" s="3"/>
      <c r="AB18" s="31"/>
    </row>
    <row r="19" spans="1:28" x14ac:dyDescent="0.2">
      <c r="A19" s="25" t="s">
        <v>201</v>
      </c>
      <c r="B19" s="5">
        <v>326</v>
      </c>
      <c r="C19" t="s">
        <v>202</v>
      </c>
      <c r="D19" s="5">
        <v>200</v>
      </c>
      <c r="E19" t="s">
        <v>202</v>
      </c>
      <c r="F19" s="5">
        <v>102</v>
      </c>
      <c r="G19" t="s">
        <v>202</v>
      </c>
      <c r="I19" s="5">
        <v>766</v>
      </c>
      <c r="J19" t="s">
        <v>202</v>
      </c>
      <c r="K19" s="5">
        <v>200</v>
      </c>
      <c r="L19" t="s">
        <v>202</v>
      </c>
      <c r="M19" s="5">
        <v>106</v>
      </c>
      <c r="N19" t="s">
        <v>202</v>
      </c>
      <c r="P19" s="94">
        <f>ATAN((P20/100)/(P17*1000))*1000000000</f>
        <v>325.95247608544832</v>
      </c>
      <c r="Q19" s="91" t="s">
        <v>202</v>
      </c>
      <c r="R19" s="91">
        <f>ATAN((R20/100)/(R17*1000))*1000000000</f>
        <v>200.08963878513109</v>
      </c>
      <c r="S19" s="91" t="s">
        <v>202</v>
      </c>
      <c r="T19" s="91">
        <f>ATAN((T20/100)/(T17*1000))*1000000000</f>
        <v>102.46525857141896</v>
      </c>
      <c r="U19" s="93" t="s">
        <v>202</v>
      </c>
      <c r="V19" s="3"/>
      <c r="W19" s="94">
        <f>ATAN((W20/100)/(W17*1000))*1000000000</f>
        <v>765.8248507929834</v>
      </c>
      <c r="X19" s="91" t="s">
        <v>202</v>
      </c>
      <c r="Y19" s="91">
        <f>ATAN((Y20/100)/(Y17*1000))*1000000000</f>
        <v>200.77805076973257</v>
      </c>
      <c r="Z19" s="91" t="s">
        <v>202</v>
      </c>
      <c r="AA19" s="91">
        <f>ATAN((AA20/100)/(AA17*1000))*1000000000</f>
        <v>-218.94368393461269</v>
      </c>
      <c r="AB19" s="93" t="s">
        <v>202</v>
      </c>
    </row>
    <row r="20" spans="1:28" x14ac:dyDescent="0.2">
      <c r="A20" s="25" t="s">
        <v>205</v>
      </c>
      <c r="B20" s="46">
        <f>TAN(B19*0.000000001)*(B17*1000)*100</f>
        <v>50.507362906745435</v>
      </c>
      <c r="C20" t="s">
        <v>154</v>
      </c>
      <c r="D20" s="46">
        <f>TAN(D19*0.000000001)*(D17*1000)*100</f>
        <v>30.986112212726582</v>
      </c>
      <c r="E20" t="s">
        <v>154</v>
      </c>
      <c r="F20" s="46">
        <f>TAN(F19*0.000000001)*(F17*1000)*100</f>
        <v>15.802917228490399</v>
      </c>
      <c r="G20" s="31" t="s">
        <v>154</v>
      </c>
      <c r="I20" s="46">
        <f>TAN(I19*0.000000001)*(I17*1000)*100</f>
        <v>40.059159699810934</v>
      </c>
      <c r="J20" t="s">
        <v>154</v>
      </c>
      <c r="K20" s="46">
        <f>TAN(K19*0.000000001)*(K17*1000)*100</f>
        <v>10.459310626580583</v>
      </c>
      <c r="L20" t="s">
        <v>154</v>
      </c>
      <c r="M20" s="46">
        <f>TAN(M19*0.000000001)*(M17*1000)*100</f>
        <v>5.5434346320876555</v>
      </c>
      <c r="N20" s="31" t="s">
        <v>154</v>
      </c>
      <c r="P20" s="46">
        <f>(P26-P21)/2</f>
        <v>50.5</v>
      </c>
      <c r="Q20" t="s">
        <v>154</v>
      </c>
      <c r="R20" s="46">
        <f>(R26-R21)/2</f>
        <v>31</v>
      </c>
      <c r="S20" t="s">
        <v>154</v>
      </c>
      <c r="T20" s="46">
        <f>(T26-T21)/2</f>
        <v>15.875</v>
      </c>
      <c r="U20" s="31" t="s">
        <v>154</v>
      </c>
      <c r="W20" s="46">
        <f>(W26-W21)/2</f>
        <v>40.049999999999997</v>
      </c>
      <c r="X20" t="s">
        <v>154</v>
      </c>
      <c r="Y20" s="46">
        <f>(Y26-Y21)/2</f>
        <v>10.5</v>
      </c>
      <c r="Z20" t="s">
        <v>154</v>
      </c>
      <c r="AA20" s="46">
        <f>(AA26-AA21)/2</f>
        <v>-11.450000000000003</v>
      </c>
      <c r="AB20" s="31" t="s">
        <v>154</v>
      </c>
    </row>
    <row r="21" spans="1:28" s="2" customFormat="1" x14ac:dyDescent="0.2">
      <c r="A21" s="52" t="s">
        <v>153</v>
      </c>
      <c r="B21" s="85">
        <v>21</v>
      </c>
      <c r="C21" s="2" t="s">
        <v>154</v>
      </c>
      <c r="D21" s="85">
        <v>60</v>
      </c>
      <c r="E21" s="2" t="s">
        <v>154</v>
      </c>
      <c r="F21" s="85">
        <v>90.25</v>
      </c>
      <c r="G21" s="81" t="s">
        <v>154</v>
      </c>
      <c r="I21" s="85">
        <v>31</v>
      </c>
      <c r="J21" s="2" t="s">
        <v>154</v>
      </c>
      <c r="K21" s="85">
        <v>90</v>
      </c>
      <c r="L21" s="2" t="s">
        <v>154</v>
      </c>
      <c r="M21" s="85">
        <v>134</v>
      </c>
      <c r="N21" s="81" t="s">
        <v>154</v>
      </c>
      <c r="P21" s="85">
        <v>21</v>
      </c>
      <c r="Q21" s="2" t="s">
        <v>154</v>
      </c>
      <c r="R21" s="85">
        <v>60</v>
      </c>
      <c r="S21" s="2" t="s">
        <v>154</v>
      </c>
      <c r="T21" s="85">
        <v>90.25</v>
      </c>
      <c r="U21" s="81" t="s">
        <v>154</v>
      </c>
      <c r="W21" s="85">
        <v>31</v>
      </c>
      <c r="X21" s="2" t="s">
        <v>154</v>
      </c>
      <c r="Y21" s="85">
        <v>90</v>
      </c>
      <c r="Z21" s="2" t="s">
        <v>154</v>
      </c>
      <c r="AA21" s="85">
        <v>134</v>
      </c>
      <c r="AB21" s="81" t="s">
        <v>154</v>
      </c>
    </row>
    <row r="22" spans="1:28" x14ac:dyDescent="0.2">
      <c r="A22" s="25" t="s">
        <v>156</v>
      </c>
      <c r="B22" s="1">
        <f>PI()*(B21/100/2)^2</f>
        <v>3.4636059005827467E-2</v>
      </c>
      <c r="C22" t="s">
        <v>1</v>
      </c>
      <c r="D22" s="1">
        <f>PI()*(D21/100/2)^2</f>
        <v>0.28274333882308139</v>
      </c>
      <c r="E22" t="s">
        <v>1</v>
      </c>
      <c r="F22" s="1">
        <f>PI()*(F21/100/2)^2</f>
        <v>0.6397117128257428</v>
      </c>
      <c r="G22" s="31" t="s">
        <v>1</v>
      </c>
      <c r="I22" s="1">
        <f>PI()*(I21/100/2)^2</f>
        <v>7.5476763502494784E-2</v>
      </c>
      <c r="J22" t="s">
        <v>1</v>
      </c>
      <c r="K22" s="1">
        <f>PI()*(K21/100/2)^2</f>
        <v>0.63617251235193317</v>
      </c>
      <c r="L22" t="s">
        <v>1</v>
      </c>
      <c r="M22" s="1">
        <f>PI()*(M21/100/2)^2</f>
        <v>1.4102609421964585</v>
      </c>
      <c r="N22" s="31" t="s">
        <v>1</v>
      </c>
      <c r="P22" s="1">
        <f>PI()*(P21/100/2)^2</f>
        <v>3.4636059005827467E-2</v>
      </c>
      <c r="Q22" t="s">
        <v>1</v>
      </c>
      <c r="R22" s="1">
        <f>PI()*(R21/100/2)^2</f>
        <v>0.28274333882308139</v>
      </c>
      <c r="S22" t="s">
        <v>1</v>
      </c>
      <c r="T22" s="1">
        <f>PI()*(T21/100/2)^2</f>
        <v>0.6397117128257428</v>
      </c>
      <c r="U22" s="31" t="s">
        <v>1</v>
      </c>
      <c r="W22" s="1">
        <f>PI()*(W21/100/2)^2</f>
        <v>7.5476763502494784E-2</v>
      </c>
      <c r="X22" t="s">
        <v>1</v>
      </c>
      <c r="Y22" s="1">
        <f>PI()*(Y21/100/2)^2</f>
        <v>0.63617251235193317</v>
      </c>
      <c r="Z22" t="s">
        <v>1</v>
      </c>
      <c r="AA22" s="1">
        <f>PI()*(AA21/100/2)^2</f>
        <v>1.4102609421964585</v>
      </c>
      <c r="AB22" s="31" t="s">
        <v>1</v>
      </c>
    </row>
    <row r="23" spans="1:28" x14ac:dyDescent="0.2">
      <c r="A23" s="25" t="s">
        <v>200</v>
      </c>
      <c r="B23" s="46">
        <f>PI()*(B21/100/2)^2*COS(RADIANS(90)-B6)</f>
        <v>2.4491392196597992E-2</v>
      </c>
      <c r="C23" t="s">
        <v>1</v>
      </c>
      <c r="D23" s="46">
        <f>PI()*(D21/100/2)^2*COS(RADIANS(90)-D6)</f>
        <v>0.19992973221712648</v>
      </c>
      <c r="E23" t="s">
        <v>1</v>
      </c>
      <c r="F23" s="46">
        <f>PI()*(F21/100/2)^2*COS(RADIANS(90)-F6)</f>
        <v>0.45234449014354405</v>
      </c>
      <c r="G23" s="31" t="s">
        <v>1</v>
      </c>
      <c r="I23" s="46">
        <f>PI()*(I21/100/2)^2*COS(RADIANS(90)-I6)</f>
        <v>5.3370131294627379E-2</v>
      </c>
      <c r="J23" t="s">
        <v>1</v>
      </c>
      <c r="K23" s="46">
        <f>PI()*(K21/100/2)^2*COS(RADIANS(90)-K6)</f>
        <v>0.44984189748853465</v>
      </c>
      <c r="L23" t="s">
        <v>1</v>
      </c>
      <c r="M23" s="46">
        <f>PI()*(M21/100/2)^2*COS(RADIANS(90)-M6)</f>
        <v>0.99720507546964554</v>
      </c>
      <c r="N23" s="31" t="s">
        <v>1</v>
      </c>
      <c r="P23" s="46">
        <f>PI()*(P21/100/2)^2*COS(RADIANS(90)-P6)</f>
        <v>2.4491392196597992E-2</v>
      </c>
      <c r="Q23" t="s">
        <v>1</v>
      </c>
      <c r="R23" s="46">
        <f>PI()*(R21/100/2)^2*COS(RADIANS(90)-R6)</f>
        <v>0.19992973221712648</v>
      </c>
      <c r="S23" t="s">
        <v>1</v>
      </c>
      <c r="T23" s="46">
        <f>PI()*(T21/100/2)^2*COS(RADIANS(90)-T6)</f>
        <v>0.45234449014354405</v>
      </c>
      <c r="U23" s="31" t="s">
        <v>1</v>
      </c>
      <c r="W23" s="46">
        <f>PI()*(W21/100/2)^2*COS(RADIANS(90)-W6)</f>
        <v>5.3370131294627379E-2</v>
      </c>
      <c r="X23" t="s">
        <v>1</v>
      </c>
      <c r="Y23" s="46">
        <f>PI()*(Y21/100/2)^2*COS(RADIANS(90)-Y6)</f>
        <v>0.44984189748853465</v>
      </c>
      <c r="Z23" t="s">
        <v>1</v>
      </c>
      <c r="AA23" s="46">
        <f>PI()*(AA21/100/2)^2*COS(RADIANS(90)-AA6)</f>
        <v>0.99720507546964554</v>
      </c>
      <c r="AB23" s="31" t="s">
        <v>1</v>
      </c>
    </row>
    <row r="24" spans="1:28" x14ac:dyDescent="0.2">
      <c r="A24" s="25"/>
      <c r="B24" s="46"/>
      <c r="D24" s="46"/>
      <c r="F24" s="46"/>
      <c r="G24" s="31"/>
      <c r="I24" s="46"/>
      <c r="K24" s="46"/>
      <c r="M24" s="46"/>
      <c r="N24" s="31"/>
      <c r="P24" s="46"/>
      <c r="R24" s="46"/>
      <c r="T24" s="46"/>
      <c r="U24" s="31"/>
      <c r="W24" s="46"/>
      <c r="Y24" s="46"/>
      <c r="AA24" s="46"/>
      <c r="AB24" s="31"/>
    </row>
    <row r="25" spans="1:28" s="2" customFormat="1" x14ac:dyDescent="0.2">
      <c r="A25" s="52" t="s">
        <v>232</v>
      </c>
      <c r="B25" s="2">
        <f>B26</f>
        <v>122.01472581349087</v>
      </c>
      <c r="C25" s="2" t="s">
        <v>154</v>
      </c>
      <c r="D25" s="2">
        <f>D26</f>
        <v>121.97222442545316</v>
      </c>
      <c r="E25" s="2" t="s">
        <v>154</v>
      </c>
      <c r="F25" s="2">
        <f>F26</f>
        <v>121.8558344569808</v>
      </c>
      <c r="G25" s="81" t="s">
        <v>154</v>
      </c>
      <c r="I25" s="2">
        <f>I26</f>
        <v>111.11831939962187</v>
      </c>
      <c r="J25" s="2" t="s">
        <v>154</v>
      </c>
      <c r="K25" s="2">
        <f>K26</f>
        <v>110.91862125316116</v>
      </c>
      <c r="L25" s="2" t="s">
        <v>154</v>
      </c>
      <c r="M25" s="2">
        <f>M26</f>
        <v>145.08686926417531</v>
      </c>
      <c r="N25" s="81" t="s">
        <v>154</v>
      </c>
      <c r="P25" s="87">
        <f>P26</f>
        <v>122</v>
      </c>
      <c r="Q25" s="86" t="s">
        <v>154</v>
      </c>
      <c r="R25" s="86">
        <f>R26</f>
        <v>122</v>
      </c>
      <c r="S25" s="86" t="s">
        <v>154</v>
      </c>
      <c r="T25" s="86">
        <f>T26</f>
        <v>122</v>
      </c>
      <c r="U25" s="79" t="s">
        <v>154</v>
      </c>
      <c r="W25" s="87">
        <f>W26</f>
        <v>111.1</v>
      </c>
      <c r="X25" s="86" t="s">
        <v>154</v>
      </c>
      <c r="Y25" s="86">
        <f>Y26</f>
        <v>111</v>
      </c>
      <c r="Z25" s="86" t="s">
        <v>154</v>
      </c>
      <c r="AA25" s="86">
        <f>AA26</f>
        <v>111.1</v>
      </c>
      <c r="AB25" s="79" t="s">
        <v>154</v>
      </c>
    </row>
    <row r="26" spans="1:28" s="2" customFormat="1" x14ac:dyDescent="0.2">
      <c r="A26" s="52" t="s">
        <v>231</v>
      </c>
      <c r="B26" s="77">
        <f>B21+2*B20</f>
        <v>122.01472581349087</v>
      </c>
      <c r="C26" s="86" t="s">
        <v>154</v>
      </c>
      <c r="D26" s="78">
        <f>D21+2*D20</f>
        <v>121.97222442545316</v>
      </c>
      <c r="E26" s="86" t="s">
        <v>154</v>
      </c>
      <c r="F26" s="78">
        <f>F21+2*F20</f>
        <v>121.8558344569808</v>
      </c>
      <c r="G26" s="79" t="s">
        <v>154</v>
      </c>
      <c r="I26" s="77">
        <f>I21+2*I20</f>
        <v>111.11831939962187</v>
      </c>
      <c r="J26" s="86" t="s">
        <v>154</v>
      </c>
      <c r="K26" s="78">
        <f>K21+2*K20</f>
        <v>110.91862125316116</v>
      </c>
      <c r="L26" s="86" t="s">
        <v>154</v>
      </c>
      <c r="M26" s="78">
        <f>M21+2*M20</f>
        <v>145.08686926417531</v>
      </c>
      <c r="N26" s="79" t="s">
        <v>154</v>
      </c>
      <c r="P26" s="80">
        <v>122</v>
      </c>
      <c r="Q26" s="2" t="s">
        <v>154</v>
      </c>
      <c r="R26" s="80">
        <v>122</v>
      </c>
      <c r="S26" s="2" t="s">
        <v>154</v>
      </c>
      <c r="T26" s="80">
        <v>122</v>
      </c>
      <c r="U26" s="81" t="s">
        <v>154</v>
      </c>
      <c r="W26" s="80">
        <v>111.1</v>
      </c>
      <c r="X26" s="2" t="s">
        <v>154</v>
      </c>
      <c r="Y26" s="80">
        <v>111</v>
      </c>
      <c r="Z26" s="2" t="s">
        <v>154</v>
      </c>
      <c r="AA26" s="80">
        <v>111.1</v>
      </c>
      <c r="AB26" s="81" t="s">
        <v>154</v>
      </c>
    </row>
    <row r="27" spans="1:28" x14ac:dyDescent="0.2">
      <c r="A27" s="25" t="s">
        <v>171</v>
      </c>
      <c r="B27" s="1">
        <f>PI()*(B25/100/2)^2</f>
        <v>1.1692688447277229</v>
      </c>
      <c r="C27" t="s">
        <v>1</v>
      </c>
      <c r="D27" s="1">
        <f>PI()*(D25/100/2)^2</f>
        <v>1.1684544037930913</v>
      </c>
      <c r="E27" t="s">
        <v>1</v>
      </c>
      <c r="F27" s="1">
        <f>PI()*(F25/100/2)^2</f>
        <v>1.1662255113428566</v>
      </c>
      <c r="G27" s="31" t="s">
        <v>1</v>
      </c>
      <c r="I27" s="1">
        <f>PI()*(I25/100/2)^2</f>
        <v>0.96975317466790178</v>
      </c>
      <c r="J27" t="s">
        <v>1</v>
      </c>
      <c r="K27" s="1">
        <f>PI()*(K25/100/2)^2</f>
        <v>0.96627069050555303</v>
      </c>
      <c r="L27" t="s">
        <v>1</v>
      </c>
      <c r="M27" s="1">
        <f>PI()*(M25/100/2)^2</f>
        <v>1.6532788130813512</v>
      </c>
      <c r="N27" s="31" t="s">
        <v>1</v>
      </c>
      <c r="P27" s="1">
        <f>PI()*(P25/100/2)^2</f>
        <v>1.168986626400762</v>
      </c>
      <c r="Q27" t="s">
        <v>1</v>
      </c>
      <c r="R27" s="1">
        <f>PI()*(R25/100/2)^2</f>
        <v>1.168986626400762</v>
      </c>
      <c r="S27" t="s">
        <v>1</v>
      </c>
      <c r="T27" s="1">
        <f>PI()*(T25/100/2)^2</f>
        <v>1.168986626400762</v>
      </c>
      <c r="U27" s="31" t="s">
        <v>1</v>
      </c>
      <c r="W27" s="1">
        <f>PI()*(W25/100/2)^2</f>
        <v>0.96943344644290175</v>
      </c>
      <c r="X27" t="s">
        <v>1</v>
      </c>
      <c r="Y27" s="1">
        <f>PI()*(Y25/100/2)^2</f>
        <v>0.96768907712199614</v>
      </c>
      <c r="Z27" t="s">
        <v>1</v>
      </c>
      <c r="AA27" s="1">
        <f>PI()*(AA25/100/2)^2</f>
        <v>0.96943344644290175</v>
      </c>
      <c r="AB27" s="31" t="s">
        <v>1</v>
      </c>
    </row>
    <row r="28" spans="1:28" x14ac:dyDescent="0.2">
      <c r="G28" s="31"/>
      <c r="N28" s="31"/>
      <c r="U28" s="31"/>
      <c r="AB28" s="31"/>
    </row>
    <row r="29" spans="1:28" x14ac:dyDescent="0.2">
      <c r="A29" s="25" t="s">
        <v>236</v>
      </c>
      <c r="B29" s="71">
        <v>0.5</v>
      </c>
      <c r="D29" s="71">
        <v>0.5</v>
      </c>
      <c r="F29" s="71">
        <v>0.5</v>
      </c>
      <c r="G29" s="31"/>
      <c r="I29" s="71">
        <v>0.5</v>
      </c>
      <c r="K29" s="71">
        <v>0.5</v>
      </c>
      <c r="M29" s="71">
        <v>0.5</v>
      </c>
      <c r="N29" s="31"/>
      <c r="P29" s="71">
        <v>0.5</v>
      </c>
      <c r="R29" s="71">
        <v>0.5</v>
      </c>
      <c r="T29" s="71">
        <v>0.5</v>
      </c>
      <c r="U29" s="31"/>
      <c r="W29" s="71">
        <v>0.5</v>
      </c>
      <c r="Y29" s="71">
        <v>0.5</v>
      </c>
      <c r="AA29" s="71">
        <v>0.5</v>
      </c>
      <c r="AB29" s="31"/>
    </row>
    <row r="30" spans="1:28" x14ac:dyDescent="0.2">
      <c r="A30" s="25" t="s">
        <v>234</v>
      </c>
      <c r="B30" s="110">
        <f>B23/B27</f>
        <v>2.094590333697045E-2</v>
      </c>
      <c r="C30" s="110"/>
      <c r="D30" s="110">
        <f t="shared" ref="D30:AA30" si="11">D23/D27</f>
        <v>0.17110614806029678</v>
      </c>
      <c r="E30" s="110"/>
      <c r="F30" s="110">
        <f t="shared" si="11"/>
        <v>0.38787051538830564</v>
      </c>
      <c r="G30" s="110"/>
      <c r="H30" s="110"/>
      <c r="I30" s="110">
        <f t="shared" si="11"/>
        <v>5.5034758007267495E-2</v>
      </c>
      <c r="J30" s="110"/>
      <c r="K30" s="110">
        <f t="shared" si="11"/>
        <v>0.46554438824298527</v>
      </c>
      <c r="L30" s="110"/>
      <c r="M30" s="110">
        <f t="shared" si="11"/>
        <v>0.60316812117798368</v>
      </c>
      <c r="N30" s="110"/>
      <c r="O30" s="110"/>
      <c r="P30" s="110">
        <f t="shared" si="11"/>
        <v>2.0950960125185936E-2</v>
      </c>
      <c r="Q30" s="110"/>
      <c r="R30" s="110">
        <f t="shared" si="11"/>
        <v>0.17102824591988519</v>
      </c>
      <c r="S30" s="110"/>
      <c r="T30" s="110">
        <f t="shared" si="11"/>
        <v>0.38695437563412077</v>
      </c>
      <c r="U30" s="110"/>
      <c r="V30" s="110"/>
      <c r="W30" s="110">
        <f t="shared" si="11"/>
        <v>5.5052908985610084E-2</v>
      </c>
      <c r="X30" s="110"/>
      <c r="Y30" s="110">
        <f t="shared" si="11"/>
        <v>0.46486201831109775</v>
      </c>
      <c r="Z30" s="110"/>
      <c r="AA30" s="110">
        <f t="shared" si="11"/>
        <v>1.028647277570879</v>
      </c>
      <c r="AB30" s="31"/>
    </row>
    <row r="31" spans="1:28" x14ac:dyDescent="0.2">
      <c r="A31" s="25" t="s">
        <v>235</v>
      </c>
      <c r="B31" s="26">
        <f>B22/B27</f>
        <v>2.9621980575299477E-2</v>
      </c>
      <c r="C31" s="26"/>
      <c r="D31" s="26">
        <f t="shared" ref="D31:AA31" si="12">D22/D27</f>
        <v>0.24198063519229057</v>
      </c>
      <c r="E31" s="26"/>
      <c r="F31" s="26">
        <f t="shared" si="12"/>
        <v>0.54853174330678411</v>
      </c>
      <c r="G31" s="26"/>
      <c r="H31" s="26"/>
      <c r="I31" s="26">
        <f t="shared" si="12"/>
        <v>7.7830901175798967E-2</v>
      </c>
      <c r="J31" s="26"/>
      <c r="K31" s="26">
        <f t="shared" si="12"/>
        <v>0.65837918773991544</v>
      </c>
      <c r="L31" s="26"/>
      <c r="M31" s="26">
        <f t="shared" si="12"/>
        <v>0.85300853736100302</v>
      </c>
      <c r="N31" s="26"/>
      <c r="O31" s="26"/>
      <c r="P31" s="26">
        <f t="shared" si="12"/>
        <v>2.9629131953775867E-2</v>
      </c>
      <c r="Q31" s="26"/>
      <c r="R31" s="26">
        <f t="shared" si="12"/>
        <v>0.24187046492878259</v>
      </c>
      <c r="S31" s="26"/>
      <c r="T31" s="26">
        <f t="shared" si="12"/>
        <v>0.54723612604138672</v>
      </c>
      <c r="U31" s="26"/>
      <c r="V31" s="26"/>
      <c r="W31" s="26">
        <f t="shared" si="12"/>
        <v>7.7856570535541403E-2</v>
      </c>
      <c r="X31" s="26"/>
      <c r="Y31" s="26">
        <f t="shared" si="12"/>
        <v>0.65741417092768439</v>
      </c>
      <c r="Z31" s="26"/>
      <c r="AA31" s="26">
        <f t="shared" si="12"/>
        <v>1.4547269308388988</v>
      </c>
      <c r="AB31" s="31"/>
    </row>
    <row r="32" spans="1:28" x14ac:dyDescent="0.2">
      <c r="A32" s="25" t="s">
        <v>215</v>
      </c>
      <c r="B32" s="74">
        <f>B29*(2*B30+B31)/3</f>
        <v>1.1918964541540062E-2</v>
      </c>
      <c r="C32" s="75"/>
      <c r="D32" s="74">
        <f>D29*(2*D30+D31)/3</f>
        <v>9.736548855214737E-2</v>
      </c>
      <c r="E32" s="75"/>
      <c r="F32" s="74">
        <f>F29*(2*F30+F31)/3</f>
        <v>0.22071212901389922</v>
      </c>
      <c r="G32" s="76"/>
      <c r="H32" s="26"/>
      <c r="I32" s="74" t="e">
        <f>(2*#REF!+#REF!)/3</f>
        <v>#REF!</v>
      </c>
      <c r="J32" s="75"/>
      <c r="K32" s="75" t="e">
        <f>(2*#REF!+#REF!)/3</f>
        <v>#REF!</v>
      </c>
      <c r="L32" s="75"/>
      <c r="M32" s="75" t="e">
        <f>(2*#REF!+#REF!)/3</f>
        <v>#REF!</v>
      </c>
      <c r="N32" s="116"/>
      <c r="O32" s="117"/>
      <c r="P32" s="74">
        <f>P29*(2*P30+P31)/3</f>
        <v>1.1921842034024624E-2</v>
      </c>
      <c r="Q32" s="75"/>
      <c r="R32" s="74">
        <f>R29*(2*R30+R31)/3</f>
        <v>9.7321159461425499E-2</v>
      </c>
      <c r="S32" s="75"/>
      <c r="T32" s="74">
        <f>T29*(2*T30+T31)/3</f>
        <v>0.22019081288493805</v>
      </c>
      <c r="U32" s="76"/>
      <c r="W32" s="74" t="e">
        <f>(2*#REF!+#REF!)/3</f>
        <v>#REF!</v>
      </c>
      <c r="X32" s="75"/>
      <c r="Y32" s="75" t="e">
        <f>(2*#REF!+#REF!)/3</f>
        <v>#REF!</v>
      </c>
      <c r="Z32" s="75"/>
      <c r="AA32" s="75" t="e">
        <f>(2*#REF!+#REF!)/3</f>
        <v>#REF!</v>
      </c>
      <c r="AB32" s="76"/>
    </row>
    <row r="34" spans="1:28" x14ac:dyDescent="0.2">
      <c r="A34" s="25" t="s">
        <v>207</v>
      </c>
      <c r="B34" s="5">
        <v>13.73</v>
      </c>
      <c r="C34" t="s">
        <v>206</v>
      </c>
      <c r="D34" s="5">
        <v>13.73</v>
      </c>
      <c r="E34" t="s">
        <v>206</v>
      </c>
      <c r="F34" s="5">
        <v>13.73</v>
      </c>
      <c r="G34" t="s">
        <v>206</v>
      </c>
      <c r="I34" s="5">
        <v>13.73</v>
      </c>
      <c r="J34" t="s">
        <v>206</v>
      </c>
      <c r="K34" s="5">
        <v>13.73</v>
      </c>
      <c r="L34" t="s">
        <v>206</v>
      </c>
      <c r="M34" s="5">
        <v>13.73</v>
      </c>
      <c r="N34" t="s">
        <v>206</v>
      </c>
      <c r="P34" s="5">
        <v>13.73</v>
      </c>
      <c r="Q34" t="s">
        <v>206</v>
      </c>
      <c r="R34" s="5">
        <v>13.73</v>
      </c>
      <c r="S34" t="s">
        <v>206</v>
      </c>
      <c r="T34" s="5">
        <v>13.73</v>
      </c>
      <c r="U34" t="s">
        <v>206</v>
      </c>
      <c r="W34" s="5">
        <v>13.73</v>
      </c>
      <c r="X34" t="s">
        <v>206</v>
      </c>
      <c r="Y34" s="5">
        <v>13.73</v>
      </c>
      <c r="Z34" t="s">
        <v>206</v>
      </c>
      <c r="AA34" s="5">
        <v>13.73</v>
      </c>
      <c r="AB34" t="s">
        <v>206</v>
      </c>
    </row>
    <row r="35" spans="1:28" x14ac:dyDescent="0.2">
      <c r="A35" s="25" t="s">
        <v>246</v>
      </c>
      <c r="B35" s="112">
        <f>B34*B27</f>
        <v>16.054061238111636</v>
      </c>
      <c r="C35" s="113" t="s">
        <v>6</v>
      </c>
      <c r="D35" s="113">
        <f>D34*D27</f>
        <v>16.042878964079144</v>
      </c>
      <c r="E35" s="113" t="s">
        <v>6</v>
      </c>
      <c r="F35" s="113">
        <f>F34*F27</f>
        <v>16.01227627073742</v>
      </c>
      <c r="G35" s="114" t="s">
        <v>6</v>
      </c>
      <c r="H35" s="1"/>
      <c r="I35" s="68">
        <f>I34*I27</f>
        <v>13.314711088190291</v>
      </c>
      <c r="J35" s="69" t="s">
        <v>6</v>
      </c>
      <c r="K35" s="69">
        <f>K34*K27</f>
        <v>13.266896580641243</v>
      </c>
      <c r="L35" s="69" t="s">
        <v>6</v>
      </c>
      <c r="M35" s="69">
        <f>M34*M27</f>
        <v>22.699518103606952</v>
      </c>
      <c r="N35" s="70" t="s">
        <v>6</v>
      </c>
      <c r="P35" s="112">
        <f>P34*P27</f>
        <v>16.050186380482462</v>
      </c>
      <c r="Q35" s="113" t="s">
        <v>6</v>
      </c>
      <c r="R35" s="113">
        <f>R34*R27</f>
        <v>16.050186380482462</v>
      </c>
      <c r="S35" s="113" t="s">
        <v>6</v>
      </c>
      <c r="T35" s="113">
        <f>T34*T27</f>
        <v>16.050186380482462</v>
      </c>
      <c r="U35" s="114" t="s">
        <v>6</v>
      </c>
      <c r="W35" s="68">
        <f>W34*W27</f>
        <v>13.310321219661041</v>
      </c>
      <c r="X35" s="69" t="s">
        <v>6</v>
      </c>
      <c r="Y35" s="69">
        <f>Y34*Y27</f>
        <v>13.286371028885007</v>
      </c>
      <c r="Z35" s="69" t="s">
        <v>6</v>
      </c>
      <c r="AA35" s="69">
        <f>AA34*AA27</f>
        <v>13.310321219661041</v>
      </c>
      <c r="AB35" s="70" t="s">
        <v>6</v>
      </c>
    </row>
    <row r="36" spans="1:28" x14ac:dyDescent="0.2">
      <c r="A36" s="25" t="s">
        <v>247</v>
      </c>
      <c r="B36" s="111">
        <f>FLOOR(B35,1)</f>
        <v>16</v>
      </c>
      <c r="C36" s="69" t="s">
        <v>6</v>
      </c>
      <c r="D36" s="115">
        <f>FLOOR(D35,1)</f>
        <v>16</v>
      </c>
      <c r="E36" s="69" t="s">
        <v>6</v>
      </c>
      <c r="F36" s="115">
        <f>FLOOR(F35,1)</f>
        <v>16</v>
      </c>
      <c r="G36" s="70" t="s">
        <v>6</v>
      </c>
      <c r="H36" s="1"/>
      <c r="I36" s="1"/>
      <c r="J36" s="1"/>
      <c r="K36" s="1"/>
      <c r="L36" s="1"/>
      <c r="M36" s="1"/>
      <c r="N36" s="1"/>
      <c r="P36" s="111">
        <f>FLOOR(P35,1)</f>
        <v>16</v>
      </c>
      <c r="Q36" s="69" t="s">
        <v>6</v>
      </c>
      <c r="R36" s="115">
        <f>FLOOR(R35,1)</f>
        <v>16</v>
      </c>
      <c r="S36" s="69" t="s">
        <v>6</v>
      </c>
      <c r="T36" s="115">
        <f>FLOOR(T35,1)</f>
        <v>16</v>
      </c>
      <c r="U36" s="70" t="s">
        <v>6</v>
      </c>
      <c r="W36" s="1"/>
      <c r="X36" s="1"/>
      <c r="Y36" s="1"/>
      <c r="Z36" s="1"/>
      <c r="AA36" s="1"/>
      <c r="AB36" s="1"/>
    </row>
    <row r="37" spans="1:28" x14ac:dyDescent="0.2">
      <c r="A37" s="25" t="s">
        <v>209</v>
      </c>
      <c r="B37" s="4">
        <v>0.5</v>
      </c>
      <c r="D37" s="4">
        <v>0.5</v>
      </c>
      <c r="F37" s="4">
        <v>0.5</v>
      </c>
      <c r="I37" s="4">
        <v>0.5</v>
      </c>
      <c r="K37" s="4">
        <v>0.5</v>
      </c>
      <c r="M37" s="4">
        <v>0.5</v>
      </c>
      <c r="P37" s="4">
        <v>0.5</v>
      </c>
      <c r="R37" s="4">
        <v>0.5</v>
      </c>
      <c r="T37" s="4">
        <v>0.5</v>
      </c>
      <c r="W37" s="4">
        <v>0.5</v>
      </c>
      <c r="Y37" s="4">
        <v>0.5</v>
      </c>
      <c r="AA37" s="4">
        <v>0.5</v>
      </c>
    </row>
    <row r="38" spans="1:28" x14ac:dyDescent="0.2">
      <c r="A38" s="25" t="s">
        <v>241</v>
      </c>
      <c r="B38" s="88">
        <f>B36*B37*B32*B16</f>
        <v>0.26865859139913484</v>
      </c>
      <c r="C38" s="83" t="s">
        <v>213</v>
      </c>
      <c r="D38" s="89">
        <f>D36*D37*D32*D16</f>
        <v>2.19466002387558</v>
      </c>
      <c r="E38" s="83" t="s">
        <v>213</v>
      </c>
      <c r="F38" s="89">
        <f>F36*F37*F32*F16</f>
        <v>4.9749463956301492</v>
      </c>
      <c r="G38" s="84" t="s">
        <v>213</v>
      </c>
      <c r="I38" s="52" t="e">
        <f>I35*I37*I32*I16</f>
        <v>#REF!</v>
      </c>
      <c r="J38" t="s">
        <v>213</v>
      </c>
      <c r="K38" s="52" t="e">
        <f>K35*K37*K32*K16</f>
        <v>#REF!</v>
      </c>
      <c r="L38" t="s">
        <v>213</v>
      </c>
      <c r="M38" s="52" t="e">
        <f>M35*M37*M32*M16</f>
        <v>#REF!</v>
      </c>
      <c r="N38" t="s">
        <v>213</v>
      </c>
      <c r="P38" s="88">
        <f>P36*P37*P32*P16</f>
        <v>0.26872345131838116</v>
      </c>
      <c r="Q38" s="83" t="s">
        <v>213</v>
      </c>
      <c r="R38" s="89">
        <f>R36*R37*R32*R16</f>
        <v>2.1936608270888258</v>
      </c>
      <c r="S38" s="83" t="s">
        <v>213</v>
      </c>
      <c r="T38" s="89">
        <f>T36*T37*T32*T16</f>
        <v>4.9631957056778271</v>
      </c>
      <c r="U38" s="84" t="s">
        <v>213</v>
      </c>
      <c r="W38" s="88" t="e">
        <f>W35*W37*W32*W16</f>
        <v>#REF!</v>
      </c>
      <c r="X38" s="83" t="s">
        <v>213</v>
      </c>
      <c r="Y38" s="88" t="e">
        <f>Y35*Y37*Y32*Y16</f>
        <v>#REF!</v>
      </c>
      <c r="Z38" s="83" t="s">
        <v>213</v>
      </c>
      <c r="AA38" s="88" t="e">
        <f>AA35*AA37*AA32*AA16</f>
        <v>#REF!</v>
      </c>
      <c r="AB38" s="84" t="s">
        <v>213</v>
      </c>
    </row>
    <row r="39" spans="1:28" x14ac:dyDescent="0.2">
      <c r="A39" s="25" t="s">
        <v>208</v>
      </c>
      <c r="B39" s="4">
        <v>0.85</v>
      </c>
      <c r="D39" s="4">
        <v>0.85</v>
      </c>
      <c r="F39" s="4">
        <v>0.85</v>
      </c>
      <c r="I39" s="4">
        <v>0.85</v>
      </c>
      <c r="K39" s="4">
        <v>0.85</v>
      </c>
      <c r="M39" s="4">
        <v>0.85</v>
      </c>
      <c r="P39" s="4">
        <v>0.85</v>
      </c>
      <c r="R39" s="4">
        <v>0.85</v>
      </c>
      <c r="T39" s="4">
        <v>0.85</v>
      </c>
      <c r="W39" s="4">
        <v>0.85</v>
      </c>
      <c r="Y39" s="4">
        <v>0.85</v>
      </c>
      <c r="AA39" s="4">
        <v>0.85</v>
      </c>
    </row>
    <row r="40" spans="1:28" x14ac:dyDescent="0.2">
      <c r="A40" s="25" t="s">
        <v>242</v>
      </c>
      <c r="B40" s="88">
        <f>B35*B37*B32*B39*B16</f>
        <v>0.22913139104353406</v>
      </c>
      <c r="C40" s="83" t="s">
        <v>213</v>
      </c>
      <c r="D40" s="89">
        <f>D35*D37*D32*D39*D16</f>
        <v>1.8704603350492579</v>
      </c>
      <c r="E40" s="83" t="s">
        <v>213</v>
      </c>
      <c r="F40" s="89">
        <f>F35*F37*F32*F39*F16</f>
        <v>4.2319489813186495</v>
      </c>
      <c r="G40" s="84" t="s">
        <v>213</v>
      </c>
      <c r="I40" s="88" t="e">
        <f>I35*I37*I32*I39*I16</f>
        <v>#REF!</v>
      </c>
      <c r="J40" s="83" t="s">
        <v>213</v>
      </c>
      <c r="K40" s="89" t="e">
        <f>K35*K37*K32*K39*K16</f>
        <v>#REF!</v>
      </c>
      <c r="L40" s="83" t="s">
        <v>213</v>
      </c>
      <c r="M40" s="89" t="e">
        <f>M35*M37*M32*M39*M16</f>
        <v>#REF!</v>
      </c>
      <c r="N40" s="84" t="s">
        <v>213</v>
      </c>
      <c r="P40" s="88">
        <f>P35*P37*P32*P39*P16</f>
        <v>0.22913139104353406</v>
      </c>
      <c r="Q40" s="83" t="s">
        <v>213</v>
      </c>
      <c r="R40" s="89">
        <f>R35*R37*R32*R39*R16</f>
        <v>1.8704603350492572</v>
      </c>
      <c r="S40" s="83" t="s">
        <v>213</v>
      </c>
      <c r="T40" s="89">
        <f>T35*T37*T32*T39*T16</f>
        <v>4.2319489813186504</v>
      </c>
      <c r="U40" s="84" t="s">
        <v>213</v>
      </c>
      <c r="W40" s="88" t="e">
        <f>W35*W37*W32*W39*W16</f>
        <v>#REF!</v>
      </c>
      <c r="X40" s="83" t="s">
        <v>213</v>
      </c>
      <c r="Y40" s="89" t="e">
        <f>Y35*Y37*Y32*Y39*Y16</f>
        <v>#REF!</v>
      </c>
      <c r="Z40" s="83" t="s">
        <v>213</v>
      </c>
      <c r="AA40" s="89" t="e">
        <f>AA35*AA37*AA32*AA39*AA16</f>
        <v>#REF!</v>
      </c>
      <c r="AB40" s="84" t="s">
        <v>213</v>
      </c>
    </row>
    <row r="41" spans="1:28" x14ac:dyDescent="0.2">
      <c r="A41" s="25" t="s">
        <v>216</v>
      </c>
      <c r="B41" s="90">
        <f>B40/24*1000</f>
        <v>9.5471412934805855</v>
      </c>
      <c r="C41" s="91" t="s">
        <v>214</v>
      </c>
      <c r="D41" s="92">
        <f>D40/24*1000</f>
        <v>77.935847293719078</v>
      </c>
      <c r="E41" s="91" t="s">
        <v>214</v>
      </c>
      <c r="F41" s="92">
        <f>F40/24*1000</f>
        <v>176.33120755494372</v>
      </c>
      <c r="G41" s="93" t="s">
        <v>214</v>
      </c>
      <c r="H41" s="3"/>
      <c r="I41" s="90" t="e">
        <f>I40/24*1000</f>
        <v>#REF!</v>
      </c>
      <c r="J41" s="91" t="s">
        <v>214</v>
      </c>
      <c r="K41" s="92" t="e">
        <f>K40/24*1000</f>
        <v>#REF!</v>
      </c>
      <c r="L41" s="91" t="s">
        <v>214</v>
      </c>
      <c r="M41" s="92" t="e">
        <f>M40/24*1000</f>
        <v>#REF!</v>
      </c>
      <c r="N41" s="93" t="s">
        <v>214</v>
      </c>
      <c r="P41" s="90">
        <f>P40/24*1000</f>
        <v>9.5471412934805855</v>
      </c>
      <c r="Q41" s="91" t="s">
        <v>214</v>
      </c>
      <c r="R41" s="92">
        <f>R40/24*1000</f>
        <v>77.93584729371905</v>
      </c>
      <c r="S41" s="91" t="s">
        <v>214</v>
      </c>
      <c r="T41" s="92">
        <f>T40/24*1000</f>
        <v>176.33120755494377</v>
      </c>
      <c r="U41" s="93" t="s">
        <v>214</v>
      </c>
      <c r="W41" s="90" t="e">
        <f>W40/24*1000</f>
        <v>#REF!</v>
      </c>
      <c r="X41" s="91" t="s">
        <v>214</v>
      </c>
      <c r="Y41" s="92" t="e">
        <f>Y40/24*1000</f>
        <v>#REF!</v>
      </c>
      <c r="Z41" s="91" t="s">
        <v>214</v>
      </c>
      <c r="AA41" s="92" t="e">
        <f>AA40/24*1000</f>
        <v>#REF!</v>
      </c>
      <c r="AB41" s="93" t="s">
        <v>214</v>
      </c>
    </row>
    <row r="43" spans="1:28" x14ac:dyDescent="0.2">
      <c r="A43" s="25" t="s">
        <v>218</v>
      </c>
      <c r="B43" s="5">
        <v>1</v>
      </c>
      <c r="D43" s="5">
        <v>1</v>
      </c>
      <c r="F43" s="5">
        <v>1</v>
      </c>
      <c r="I43" s="5">
        <v>1</v>
      </c>
      <c r="K43" s="5">
        <v>1</v>
      </c>
      <c r="M43" s="5">
        <v>1</v>
      </c>
      <c r="P43" s="5">
        <v>1</v>
      </c>
      <c r="R43" s="5">
        <v>1</v>
      </c>
      <c r="T43" s="5">
        <v>1</v>
      </c>
      <c r="W43" s="5">
        <v>1</v>
      </c>
      <c r="Y43" s="5">
        <v>1</v>
      </c>
      <c r="AA43" s="5">
        <v>1</v>
      </c>
    </row>
    <row r="44" spans="1:28" x14ac:dyDescent="0.2">
      <c r="A44" s="25" t="s">
        <v>119</v>
      </c>
      <c r="B44" s="4">
        <v>0.15</v>
      </c>
      <c r="D44" s="4">
        <v>0.15</v>
      </c>
      <c r="F44" s="4">
        <v>0.15</v>
      </c>
      <c r="I44" s="4">
        <v>0.15</v>
      </c>
      <c r="K44" s="4">
        <v>0.15</v>
      </c>
      <c r="M44" s="4">
        <v>0.15</v>
      </c>
      <c r="P44" s="4">
        <v>0.15</v>
      </c>
      <c r="R44" s="4">
        <v>0.15</v>
      </c>
      <c r="T44" s="4">
        <v>0.15</v>
      </c>
      <c r="W44" s="4">
        <v>0.15</v>
      </c>
      <c r="Y44" s="4">
        <v>0.15</v>
      </c>
      <c r="AA44" s="4">
        <v>0.15</v>
      </c>
    </row>
    <row r="45" spans="1:28" x14ac:dyDescent="0.2">
      <c r="A45" s="25" t="s">
        <v>120</v>
      </c>
      <c r="B45" s="106">
        <f>B43*B36/B44*B37</f>
        <v>53.333333333333336</v>
      </c>
      <c r="C45" s="83" t="s">
        <v>6</v>
      </c>
      <c r="D45" s="106">
        <f>D43*D36/D44*D37</f>
        <v>53.333333333333336</v>
      </c>
      <c r="E45" s="83" t="s">
        <v>6</v>
      </c>
      <c r="F45" s="86">
        <f>F43*F35/F44*F37</f>
        <v>53.374254235791405</v>
      </c>
      <c r="G45" s="84" t="s">
        <v>6</v>
      </c>
      <c r="I45" s="87">
        <f>I43*I35/I44*I37</f>
        <v>44.382370293967639</v>
      </c>
      <c r="J45" s="83" t="s">
        <v>6</v>
      </c>
      <c r="K45" s="86">
        <f>K43*K35/K44*K37</f>
        <v>44.222988602137477</v>
      </c>
      <c r="L45" s="83" t="s">
        <v>6</v>
      </c>
      <c r="M45" s="86">
        <f>M43*M35/M44*M37</f>
        <v>75.665060345356508</v>
      </c>
      <c r="N45" s="84" t="s">
        <v>6</v>
      </c>
      <c r="P45" s="106">
        <f>P43*P36/P44*P37</f>
        <v>53.333333333333336</v>
      </c>
      <c r="Q45" s="83" t="s">
        <v>6</v>
      </c>
      <c r="R45" s="106">
        <f>R43*R36/R44*R37</f>
        <v>53.333333333333336</v>
      </c>
      <c r="S45" s="83" t="s">
        <v>6</v>
      </c>
      <c r="T45" s="106">
        <f>T43*T36/T44*T37</f>
        <v>53.333333333333336</v>
      </c>
      <c r="U45" s="84" t="s">
        <v>6</v>
      </c>
      <c r="W45" s="87">
        <f>W43*W35/W44*W37</f>
        <v>44.36773739887014</v>
      </c>
      <c r="X45" s="83" t="s">
        <v>6</v>
      </c>
      <c r="Y45" s="86">
        <f>Y43*Y35/Y44*Y37</f>
        <v>44.287903429616691</v>
      </c>
      <c r="Z45" s="83" t="s">
        <v>6</v>
      </c>
      <c r="AA45" s="86">
        <f>AA43*AA35/AA44*AA37</f>
        <v>44.36773739887014</v>
      </c>
      <c r="AB45" s="84" t="s">
        <v>6</v>
      </c>
    </row>
    <row r="46" spans="1:28" x14ac:dyDescent="0.2">
      <c r="A46" s="25" t="s">
        <v>230</v>
      </c>
      <c r="B46" s="107">
        <f>B45*B14/60</f>
        <v>26.133333333333333</v>
      </c>
      <c r="C46" t="s">
        <v>213</v>
      </c>
      <c r="D46" s="2">
        <f>D45*D14/60</f>
        <v>26.133333333333333</v>
      </c>
      <c r="E46" t="s">
        <v>213</v>
      </c>
      <c r="F46" s="2">
        <f>F45*F14/60</f>
        <v>26.153384575537789</v>
      </c>
      <c r="G46" t="s">
        <v>213</v>
      </c>
      <c r="I46" s="2">
        <f>I45*I14/60</f>
        <v>5.9176493725290182</v>
      </c>
      <c r="J46" t="s">
        <v>213</v>
      </c>
      <c r="K46" s="2">
        <f>K45*K14/60</f>
        <v>5.8963984802849971</v>
      </c>
      <c r="L46" t="s">
        <v>213</v>
      </c>
      <c r="M46" s="2">
        <f>M45*M14/60</f>
        <v>10.088674712714202</v>
      </c>
      <c r="N46" t="s">
        <v>213</v>
      </c>
      <c r="P46" s="2">
        <f>P45*P14/60</f>
        <v>26.133333333333333</v>
      </c>
      <c r="Q46" t="s">
        <v>213</v>
      </c>
      <c r="R46" s="2">
        <f>R45*R14/60</f>
        <v>26.133333333333333</v>
      </c>
      <c r="S46" t="s">
        <v>213</v>
      </c>
      <c r="T46" s="2">
        <f>T45*T14/60</f>
        <v>26.133333333333333</v>
      </c>
      <c r="U46" t="s">
        <v>213</v>
      </c>
      <c r="W46" s="2">
        <f>W45*W14/60</f>
        <v>5.9156983198493522</v>
      </c>
      <c r="X46" t="s">
        <v>213</v>
      </c>
      <c r="Y46" s="2">
        <f>Y45*Y14/60</f>
        <v>5.9050537906155585</v>
      </c>
      <c r="Z46" t="s">
        <v>213</v>
      </c>
      <c r="AA46" s="2">
        <f>AA45*AA14/60</f>
        <v>5.9156983198493522</v>
      </c>
      <c r="AB46" t="s">
        <v>213</v>
      </c>
    </row>
    <row r="47" spans="1:28" x14ac:dyDescent="0.2">
      <c r="A47" s="25" t="s">
        <v>139</v>
      </c>
      <c r="B47" s="105">
        <v>0.85</v>
      </c>
      <c r="D47" s="4">
        <v>0.85</v>
      </c>
      <c r="F47" s="4">
        <v>0.85</v>
      </c>
      <c r="I47" s="4">
        <v>0.85</v>
      </c>
      <c r="K47" s="4">
        <v>0.85</v>
      </c>
      <c r="M47" s="4">
        <v>0.85</v>
      </c>
      <c r="P47" s="4">
        <v>0.85</v>
      </c>
      <c r="R47" s="4">
        <v>0.85</v>
      </c>
      <c r="T47" s="4">
        <v>0.85</v>
      </c>
      <c r="W47" s="4">
        <v>0.85</v>
      </c>
      <c r="Y47" s="4">
        <v>0.85</v>
      </c>
      <c r="AA47" s="4">
        <v>0.85</v>
      </c>
    </row>
    <row r="48" spans="1:28" x14ac:dyDescent="0.2">
      <c r="A48" s="25" t="s">
        <v>128</v>
      </c>
      <c r="B48" s="2">
        <f>B46/B47</f>
        <v>30.745098039215687</v>
      </c>
      <c r="C48" t="s">
        <v>213</v>
      </c>
      <c r="D48" s="2">
        <f>D46/D47</f>
        <v>30.745098039215687</v>
      </c>
      <c r="E48" t="s">
        <v>213</v>
      </c>
      <c r="F48" s="2">
        <f>F46/F47</f>
        <v>30.768687735926811</v>
      </c>
      <c r="G48" t="s">
        <v>213</v>
      </c>
      <c r="I48" s="2">
        <f>I46/I47</f>
        <v>6.9619404382694334</v>
      </c>
      <c r="J48" t="s">
        <v>213</v>
      </c>
      <c r="K48" s="2">
        <f>K46/K47</f>
        <v>6.9369393885705852</v>
      </c>
      <c r="L48" t="s">
        <v>213</v>
      </c>
      <c r="M48" s="2">
        <f>M46/M47</f>
        <v>11.869029073781414</v>
      </c>
      <c r="N48" t="s">
        <v>213</v>
      </c>
      <c r="P48" s="2">
        <f>P46/P47</f>
        <v>30.745098039215687</v>
      </c>
      <c r="Q48" t="s">
        <v>213</v>
      </c>
      <c r="R48" s="2">
        <f>R46/R47</f>
        <v>30.745098039215687</v>
      </c>
      <c r="S48" t="s">
        <v>213</v>
      </c>
      <c r="T48" s="2">
        <f>T46/T47</f>
        <v>30.745098039215687</v>
      </c>
      <c r="U48" t="s">
        <v>213</v>
      </c>
      <c r="W48" s="2">
        <f>W46/W47</f>
        <v>6.959645082175709</v>
      </c>
      <c r="X48" t="s">
        <v>213</v>
      </c>
      <c r="Y48" s="2">
        <f>Y46/Y47</f>
        <v>6.9471221066065398</v>
      </c>
      <c r="Z48" t="s">
        <v>213</v>
      </c>
      <c r="AA48" s="2">
        <f>AA46/AA47</f>
        <v>6.959645082175709</v>
      </c>
      <c r="AB48" t="s">
        <v>213</v>
      </c>
    </row>
    <row r="49" spans="1:28" x14ac:dyDescent="0.2">
      <c r="A49" s="25" t="s">
        <v>130</v>
      </c>
      <c r="B49" s="104">
        <v>260</v>
      </c>
      <c r="C49" t="s">
        <v>219</v>
      </c>
      <c r="D49" s="5">
        <v>260</v>
      </c>
      <c r="E49" t="s">
        <v>219</v>
      </c>
      <c r="F49" s="5">
        <v>260</v>
      </c>
      <c r="G49" t="s">
        <v>219</v>
      </c>
      <c r="I49" s="5">
        <v>260</v>
      </c>
      <c r="J49" t="s">
        <v>219</v>
      </c>
      <c r="K49" s="5">
        <v>260</v>
      </c>
      <c r="L49" t="s">
        <v>219</v>
      </c>
      <c r="M49" s="5">
        <v>260</v>
      </c>
      <c r="N49" t="s">
        <v>219</v>
      </c>
      <c r="P49" s="5">
        <v>260</v>
      </c>
      <c r="Q49" t="s">
        <v>219</v>
      </c>
      <c r="R49" s="5">
        <v>260</v>
      </c>
      <c r="S49" t="s">
        <v>219</v>
      </c>
      <c r="T49" s="5">
        <v>260</v>
      </c>
      <c r="U49" t="s">
        <v>219</v>
      </c>
      <c r="W49" s="5">
        <v>260</v>
      </c>
      <c r="X49" t="s">
        <v>219</v>
      </c>
      <c r="Y49" s="5">
        <v>260</v>
      </c>
      <c r="Z49" t="s">
        <v>219</v>
      </c>
      <c r="AA49" s="5">
        <v>260</v>
      </c>
      <c r="AB49" t="s">
        <v>219</v>
      </c>
    </row>
    <row r="50" spans="1:28" x14ac:dyDescent="0.2">
      <c r="A50" s="25" t="s">
        <v>129</v>
      </c>
      <c r="B50" s="87">
        <f t="shared" ref="B50:D50" si="13">B48*1000/B49</f>
        <v>118.25037707390649</v>
      </c>
      <c r="C50" s="83" t="s">
        <v>99</v>
      </c>
      <c r="D50" s="86">
        <f t="shared" si="13"/>
        <v>118.25037707390649</v>
      </c>
      <c r="E50" s="83" t="s">
        <v>99</v>
      </c>
      <c r="F50" s="86">
        <f t="shared" ref="F50" si="14">F48*1000/F49</f>
        <v>118.34110667664159</v>
      </c>
      <c r="G50" s="84" t="s">
        <v>99</v>
      </c>
      <c r="I50" s="87">
        <f t="shared" ref="I50" si="15">I48*1000/I49</f>
        <v>26.776693993343976</v>
      </c>
      <c r="J50" s="83" t="s">
        <v>99</v>
      </c>
      <c r="K50" s="86">
        <f t="shared" ref="K50" si="16">K48*1000/K49</f>
        <v>26.680536109886866</v>
      </c>
      <c r="L50" s="83" t="s">
        <v>99</v>
      </c>
      <c r="M50" s="86">
        <f t="shared" ref="M50" si="17">M48*1000/M49</f>
        <v>45.650111822236205</v>
      </c>
      <c r="N50" s="84" t="s">
        <v>99</v>
      </c>
      <c r="P50" s="87">
        <f t="shared" ref="P50" si="18">P48*1000/P49</f>
        <v>118.25037707390649</v>
      </c>
      <c r="Q50" s="83" t="s">
        <v>99</v>
      </c>
      <c r="R50" s="86">
        <f t="shared" ref="R50" si="19">R48*1000/R49</f>
        <v>118.25037707390649</v>
      </c>
      <c r="S50" s="83" t="s">
        <v>99</v>
      </c>
      <c r="T50" s="86">
        <f t="shared" ref="T50" si="20">T48*1000/T49</f>
        <v>118.25037707390649</v>
      </c>
      <c r="U50" s="84" t="s">
        <v>99</v>
      </c>
      <c r="W50" s="87">
        <f t="shared" ref="W50" si="21">W48*1000/W49</f>
        <v>26.767865700675802</v>
      </c>
      <c r="X50" s="83" t="s">
        <v>99</v>
      </c>
      <c r="Y50" s="86">
        <f t="shared" ref="Y50" si="22">Y48*1000/Y49</f>
        <v>26.719700410025155</v>
      </c>
      <c r="Z50" s="83" t="s">
        <v>99</v>
      </c>
      <c r="AA50" s="86">
        <f t="shared" ref="AA50" si="23">AA48*1000/AA49</f>
        <v>26.767865700675802</v>
      </c>
      <c r="AB50" s="84" t="s">
        <v>99</v>
      </c>
    </row>
    <row r="51" spans="1:28" x14ac:dyDescent="0.2">
      <c r="A51" s="25"/>
    </row>
    <row r="52" spans="1:28" x14ac:dyDescent="0.2">
      <c r="A52" s="25" t="s">
        <v>125</v>
      </c>
      <c r="B52" s="105">
        <v>0.75</v>
      </c>
      <c r="D52" s="4">
        <v>0.75</v>
      </c>
      <c r="F52" s="4">
        <v>0.75</v>
      </c>
      <c r="I52" s="4">
        <v>0.75</v>
      </c>
      <c r="K52" s="4">
        <v>0.75</v>
      </c>
      <c r="M52" s="4">
        <v>0.75</v>
      </c>
      <c r="P52" s="4">
        <v>0.75</v>
      </c>
      <c r="R52" s="4">
        <v>0.75</v>
      </c>
      <c r="T52" s="4">
        <v>0.75</v>
      </c>
      <c r="W52" s="4">
        <v>0.75</v>
      </c>
      <c r="Y52" s="4">
        <v>0.75</v>
      </c>
      <c r="AA52" s="4">
        <v>0.75</v>
      </c>
    </row>
    <row r="53" spans="1:28" x14ac:dyDescent="0.2">
      <c r="A53" s="25" t="s">
        <v>126</v>
      </c>
      <c r="B53">
        <f>B13*B52</f>
        <v>187.82249999999999</v>
      </c>
      <c r="C53" t="s">
        <v>8</v>
      </c>
      <c r="D53">
        <f>D13*D52</f>
        <v>187.82249999999999</v>
      </c>
      <c r="E53" t="s">
        <v>8</v>
      </c>
      <c r="F53">
        <f>F13*F52</f>
        <v>187.82249999999999</v>
      </c>
      <c r="G53" t="s">
        <v>8</v>
      </c>
      <c r="I53">
        <f>I13*I52</f>
        <v>111</v>
      </c>
      <c r="J53" t="s">
        <v>8</v>
      </c>
      <c r="K53">
        <f>K13*K52</f>
        <v>111</v>
      </c>
      <c r="L53" t="s">
        <v>8</v>
      </c>
      <c r="M53">
        <f>M13*M52</f>
        <v>111</v>
      </c>
      <c r="N53" t="s">
        <v>8</v>
      </c>
      <c r="P53">
        <f>P13*P52</f>
        <v>187.82249999999999</v>
      </c>
      <c r="Q53" t="s">
        <v>8</v>
      </c>
      <c r="R53">
        <f>R13*R52</f>
        <v>187.82249999999999</v>
      </c>
      <c r="S53" t="s">
        <v>8</v>
      </c>
      <c r="T53">
        <f>T13*T52</f>
        <v>187.82249999999999</v>
      </c>
      <c r="U53" t="s">
        <v>8</v>
      </c>
      <c r="W53">
        <f>W13*W52</f>
        <v>111</v>
      </c>
      <c r="X53" t="s">
        <v>8</v>
      </c>
      <c r="Y53">
        <f>Y13*Y52</f>
        <v>111</v>
      </c>
      <c r="Z53" t="s">
        <v>8</v>
      </c>
      <c r="AA53">
        <f>AA13*AA52</f>
        <v>111</v>
      </c>
      <c r="AB53" t="s">
        <v>8</v>
      </c>
    </row>
    <row r="54" spans="1:28" x14ac:dyDescent="0.2">
      <c r="A54" s="25" t="s">
        <v>123</v>
      </c>
      <c r="B54" s="104">
        <v>1373</v>
      </c>
      <c r="C54" t="s">
        <v>3</v>
      </c>
      <c r="D54" s="5">
        <v>1373</v>
      </c>
      <c r="E54" t="s">
        <v>3</v>
      </c>
      <c r="F54" s="5">
        <v>1373</v>
      </c>
      <c r="G54" t="s">
        <v>3</v>
      </c>
      <c r="I54" s="5">
        <v>1373</v>
      </c>
      <c r="J54" t="s">
        <v>3</v>
      </c>
      <c r="K54" s="5">
        <v>1373</v>
      </c>
      <c r="L54" t="s">
        <v>3</v>
      </c>
      <c r="M54" s="5">
        <v>1373</v>
      </c>
      <c r="N54" t="s">
        <v>3</v>
      </c>
      <c r="P54" s="5">
        <v>1373</v>
      </c>
      <c r="Q54" t="s">
        <v>3</v>
      </c>
      <c r="R54" s="5">
        <v>1373</v>
      </c>
      <c r="S54" t="s">
        <v>3</v>
      </c>
      <c r="T54" s="5">
        <v>1373</v>
      </c>
      <c r="U54" t="s">
        <v>3</v>
      </c>
      <c r="W54" s="5">
        <v>1373</v>
      </c>
      <c r="X54" t="s">
        <v>3</v>
      </c>
      <c r="Y54" s="5">
        <v>1373</v>
      </c>
      <c r="Z54" t="s">
        <v>3</v>
      </c>
      <c r="AA54" s="5">
        <v>1373</v>
      </c>
      <c r="AB54" t="s">
        <v>3</v>
      </c>
    </row>
    <row r="55" spans="1:28" x14ac:dyDescent="0.2">
      <c r="A55" s="25" t="s">
        <v>124</v>
      </c>
      <c r="B55" s="105">
        <v>0.4</v>
      </c>
      <c r="D55" s="4">
        <v>0.4</v>
      </c>
      <c r="F55" s="4">
        <v>0.4</v>
      </c>
      <c r="I55" s="4">
        <v>0.4</v>
      </c>
      <c r="K55" s="4">
        <v>0.4</v>
      </c>
      <c r="M55" s="4">
        <v>0.4</v>
      </c>
      <c r="P55" s="4">
        <v>0.4</v>
      </c>
      <c r="R55" s="4">
        <v>0.4</v>
      </c>
      <c r="T55" s="4">
        <v>0.4</v>
      </c>
      <c r="W55" s="4">
        <v>0.4</v>
      </c>
      <c r="Y55" s="4">
        <v>0.4</v>
      </c>
      <c r="AA55" s="4">
        <v>0.4</v>
      </c>
    </row>
    <row r="56" spans="1:28" x14ac:dyDescent="0.2">
      <c r="A56" s="25" t="s">
        <v>127</v>
      </c>
      <c r="B56" s="87">
        <f>B48/(B53/60*B54/1000)/B55</f>
        <v>17.883354564142795</v>
      </c>
      <c r="C56" s="83" t="s">
        <v>1</v>
      </c>
      <c r="D56" s="86">
        <f>D48/(D53/60*D54/1000)/D55</f>
        <v>17.883354564142795</v>
      </c>
      <c r="E56" s="83" t="s">
        <v>1</v>
      </c>
      <c r="F56" s="86">
        <f>F48/(F53/60*F54/1000)/F55</f>
        <v>17.897075870537964</v>
      </c>
      <c r="G56" s="84" t="s">
        <v>1</v>
      </c>
      <c r="I56" s="87">
        <f>I48/(I53/60*I54/1000)/I55</f>
        <v>6.8521686957633037</v>
      </c>
      <c r="J56" s="83" t="s">
        <v>1</v>
      </c>
      <c r="K56" s="86">
        <f>K48/(K53/60*K54/1000)/K55</f>
        <v>6.8275618477693198</v>
      </c>
      <c r="L56" s="83" t="s">
        <v>1</v>
      </c>
      <c r="M56" s="86">
        <f>M48/(M53/60*M54/1000)/M55</f>
        <v>11.681885271728325</v>
      </c>
      <c r="N56" s="84" t="s">
        <v>1</v>
      </c>
      <c r="P56" s="87">
        <f>P48/(P53/60*P54/1000)/P55</f>
        <v>17.883354564142795</v>
      </c>
      <c r="Q56" s="83" t="s">
        <v>1</v>
      </c>
      <c r="R56" s="86">
        <f>R48/(R53/60*R54/1000)/R55</f>
        <v>17.883354564142795</v>
      </c>
      <c r="S56" s="83" t="s">
        <v>1</v>
      </c>
      <c r="T56" s="86">
        <f>T48/(T53/60*T54/1000)/T55</f>
        <v>17.883354564142795</v>
      </c>
      <c r="U56" s="84" t="s">
        <v>1</v>
      </c>
      <c r="W56" s="87">
        <f>W48/(W53/60*W54/1000)/W55</f>
        <v>6.8499095314813756</v>
      </c>
      <c r="X56" s="83" t="s">
        <v>1</v>
      </c>
      <c r="Y56" s="86">
        <f>Y48/(Y53/60*Y54/1000)/Y55</f>
        <v>6.8375840107542549</v>
      </c>
      <c r="Z56" s="83" t="s">
        <v>1</v>
      </c>
      <c r="AA56" s="86">
        <f>AA48/(AA53/60*AA54/1000)/AA55</f>
        <v>6.8499095314813756</v>
      </c>
      <c r="AB56" s="84" t="s">
        <v>1</v>
      </c>
    </row>
    <row r="58" spans="1:28" x14ac:dyDescent="0.2">
      <c r="A58" s="25" t="s">
        <v>220</v>
      </c>
      <c r="B58" s="5">
        <v>1</v>
      </c>
      <c r="D58" s="5">
        <v>1</v>
      </c>
      <c r="F58" s="5">
        <v>1</v>
      </c>
      <c r="I58" s="5">
        <v>1</v>
      </c>
      <c r="K58" s="5">
        <v>1</v>
      </c>
      <c r="M58" s="5">
        <v>1</v>
      </c>
      <c r="P58" s="5">
        <v>1</v>
      </c>
      <c r="R58" s="5">
        <v>1</v>
      </c>
      <c r="T58" s="5">
        <v>1</v>
      </c>
      <c r="W58" s="5">
        <v>1</v>
      </c>
      <c r="Y58" s="5">
        <v>1</v>
      </c>
      <c r="AA58" s="5">
        <v>1</v>
      </c>
    </row>
    <row r="59" spans="1:28" x14ac:dyDescent="0.2">
      <c r="A59" s="25" t="s">
        <v>245</v>
      </c>
      <c r="B59" s="94">
        <f>B60/24*1000</f>
        <v>11.194107974963952</v>
      </c>
      <c r="C59" s="83" t="s">
        <v>214</v>
      </c>
      <c r="D59" s="91">
        <f t="shared" ref="D59" si="24">D60/24*1000</f>
        <v>91.444167661482496</v>
      </c>
      <c r="E59" s="83" t="s">
        <v>214</v>
      </c>
      <c r="F59" s="91">
        <f t="shared" ref="F59" si="25">F60/24*1000</f>
        <v>207.28943315125622</v>
      </c>
      <c r="G59" s="84" t="s">
        <v>214</v>
      </c>
      <c r="H59" s="3"/>
      <c r="I59" s="94" t="e">
        <f>I60/24*1000</f>
        <v>#REF!</v>
      </c>
      <c r="J59" s="83" t="s">
        <v>214</v>
      </c>
      <c r="K59" s="91" t="e">
        <f t="shared" ref="K59" si="26">K60/24*1000</f>
        <v>#REF!</v>
      </c>
      <c r="L59" s="83" t="s">
        <v>214</v>
      </c>
      <c r="M59" s="91" t="e">
        <f t="shared" ref="M59" si="27">M60/24*1000</f>
        <v>#REF!</v>
      </c>
      <c r="N59" s="84" t="s">
        <v>214</v>
      </c>
      <c r="P59" s="94">
        <f>P60/24*1000</f>
        <v>11.196810471599214</v>
      </c>
      <c r="Q59" s="83" t="s">
        <v>214</v>
      </c>
      <c r="R59" s="91">
        <f t="shared" ref="R59" si="28">R60/24*1000</f>
        <v>91.40253446203441</v>
      </c>
      <c r="S59" s="83" t="s">
        <v>214</v>
      </c>
      <c r="T59" s="91">
        <f t="shared" ref="T59" si="29">T60/24*1000</f>
        <v>206.79982106990946</v>
      </c>
      <c r="U59" s="84" t="s">
        <v>214</v>
      </c>
      <c r="W59" s="94" t="e">
        <f>W60/24*1000</f>
        <v>#REF!</v>
      </c>
      <c r="X59" s="83" t="s">
        <v>214</v>
      </c>
      <c r="Y59" s="91" t="e">
        <f t="shared" ref="Y59" si="30">Y60/24*1000</f>
        <v>#REF!</v>
      </c>
      <c r="Z59" s="83" t="s">
        <v>214</v>
      </c>
      <c r="AA59" s="91" t="e">
        <f t="shared" ref="AA59" si="31">AA60/24*1000</f>
        <v>#REF!</v>
      </c>
      <c r="AB59" s="84" t="s">
        <v>214</v>
      </c>
    </row>
    <row r="60" spans="1:28" x14ac:dyDescent="0.2">
      <c r="A60" s="95" t="s">
        <v>243</v>
      </c>
      <c r="B60" s="2">
        <f>B58*B43*B38</f>
        <v>0.26865859139913484</v>
      </c>
      <c r="C60" t="s">
        <v>213</v>
      </c>
      <c r="D60" s="2">
        <f>D58*D43*D38</f>
        <v>2.19466002387558</v>
      </c>
      <c r="E60" t="s">
        <v>213</v>
      </c>
      <c r="F60" s="2">
        <f>F58*F43*F38</f>
        <v>4.9749463956301492</v>
      </c>
      <c r="G60" t="s">
        <v>213</v>
      </c>
      <c r="H60" s="2"/>
      <c r="I60" s="2" t="e">
        <f>I58*I43*I38</f>
        <v>#REF!</v>
      </c>
      <c r="J60" t="s">
        <v>213</v>
      </c>
      <c r="K60" s="2" t="e">
        <f>K58*K43*K38</f>
        <v>#REF!</v>
      </c>
      <c r="L60" t="s">
        <v>213</v>
      </c>
      <c r="M60" s="2" t="e">
        <f>M58*M43*M38</f>
        <v>#REF!</v>
      </c>
      <c r="N60" t="s">
        <v>213</v>
      </c>
      <c r="P60" s="2">
        <f>P58*P43*P38</f>
        <v>0.26872345131838116</v>
      </c>
      <c r="Q60" t="s">
        <v>213</v>
      </c>
      <c r="R60" s="2">
        <f>R58*R43*R38</f>
        <v>2.1936608270888258</v>
      </c>
      <c r="S60" t="s">
        <v>213</v>
      </c>
      <c r="T60" s="2">
        <f>T58*T43*T38</f>
        <v>4.9631957056778271</v>
      </c>
      <c r="U60" t="s">
        <v>213</v>
      </c>
      <c r="W60" s="2" t="e">
        <f>W58*W43*W38</f>
        <v>#REF!</v>
      </c>
      <c r="X60" t="s">
        <v>213</v>
      </c>
      <c r="Y60" s="2" t="e">
        <f>Y58*Y43*Y38</f>
        <v>#REF!</v>
      </c>
      <c r="Z60" t="s">
        <v>213</v>
      </c>
      <c r="AA60" s="2" t="e">
        <f>AA58*AA43*AA38</f>
        <v>#REF!</v>
      </c>
      <c r="AB60" t="s">
        <v>213</v>
      </c>
    </row>
    <row r="61" spans="1:28" x14ac:dyDescent="0.2">
      <c r="A61" s="95" t="s">
        <v>244</v>
      </c>
      <c r="B61" s="94">
        <f>B60*365</f>
        <v>98.060385860684221</v>
      </c>
      <c r="C61" s="91" t="s">
        <v>213</v>
      </c>
      <c r="D61" s="91">
        <f t="shared" ref="D61" si="32">D60*365</f>
        <v>801.05090871458674</v>
      </c>
      <c r="E61" s="91" t="s">
        <v>213</v>
      </c>
      <c r="F61" s="91">
        <f t="shared" ref="F61" si="33">F60*365</f>
        <v>1815.8554344050044</v>
      </c>
      <c r="G61" s="93" t="s">
        <v>213</v>
      </c>
      <c r="H61" s="3"/>
      <c r="I61" s="94" t="e">
        <f>I60*365</f>
        <v>#REF!</v>
      </c>
      <c r="J61" s="91" t="s">
        <v>213</v>
      </c>
      <c r="K61" s="91" t="e">
        <f t="shared" ref="K61" si="34">K60*365</f>
        <v>#REF!</v>
      </c>
      <c r="L61" s="91" t="s">
        <v>213</v>
      </c>
      <c r="M61" s="91" t="e">
        <f t="shared" ref="M61" si="35">M60*365</f>
        <v>#REF!</v>
      </c>
      <c r="N61" s="84" t="s">
        <v>213</v>
      </c>
      <c r="P61" s="94">
        <f>P60*365</f>
        <v>98.084059731209123</v>
      </c>
      <c r="Q61" s="91" t="s">
        <v>213</v>
      </c>
      <c r="R61" s="91">
        <f t="shared" ref="R61" si="36">R60*365</f>
        <v>800.68620188742148</v>
      </c>
      <c r="S61" s="91" t="s">
        <v>213</v>
      </c>
      <c r="T61" s="91">
        <f t="shared" ref="T61" si="37">T60*365</f>
        <v>1811.5664325724069</v>
      </c>
      <c r="U61" s="93" t="s">
        <v>213</v>
      </c>
      <c r="W61" s="94" t="e">
        <f>W60*365</f>
        <v>#REF!</v>
      </c>
      <c r="X61" s="91" t="s">
        <v>213</v>
      </c>
      <c r="Y61" s="91" t="e">
        <f t="shared" ref="Y61" si="38">Y60*365</f>
        <v>#REF!</v>
      </c>
      <c r="Z61" s="91" t="s">
        <v>213</v>
      </c>
      <c r="AA61" s="91" t="e">
        <f t="shared" ref="AA61" si="39">AA60*365</f>
        <v>#REF!</v>
      </c>
      <c r="AB61" s="93" t="s">
        <v>213</v>
      </c>
    </row>
    <row r="63" spans="1:28" x14ac:dyDescent="0.2">
      <c r="A63" s="95" t="s">
        <v>96</v>
      </c>
      <c r="B63" s="96">
        <v>50</v>
      </c>
      <c r="C63" s="31" t="s">
        <v>33</v>
      </c>
      <c r="D63" s="96">
        <v>50</v>
      </c>
      <c r="E63" s="31" t="s">
        <v>33</v>
      </c>
      <c r="F63" s="96">
        <v>50</v>
      </c>
      <c r="G63" s="31" t="s">
        <v>33</v>
      </c>
      <c r="H63" s="31"/>
      <c r="I63" s="96">
        <v>50</v>
      </c>
      <c r="J63" s="31" t="s">
        <v>33</v>
      </c>
      <c r="K63" s="96">
        <v>50</v>
      </c>
      <c r="L63" s="31" t="s">
        <v>33</v>
      </c>
      <c r="M63" s="96">
        <v>50</v>
      </c>
      <c r="N63" s="31" t="s">
        <v>33</v>
      </c>
      <c r="P63" s="96">
        <v>50</v>
      </c>
      <c r="Q63" s="31" t="s">
        <v>33</v>
      </c>
      <c r="R63" s="96">
        <v>50</v>
      </c>
      <c r="S63" s="31" t="s">
        <v>33</v>
      </c>
      <c r="T63" s="96">
        <v>50</v>
      </c>
      <c r="U63" s="31" t="s">
        <v>33</v>
      </c>
      <c r="W63" s="96">
        <v>50</v>
      </c>
      <c r="X63" s="31" t="s">
        <v>33</v>
      </c>
      <c r="Y63" s="96">
        <v>50</v>
      </c>
      <c r="Z63" s="31" t="s">
        <v>33</v>
      </c>
      <c r="AA63" s="96">
        <v>50</v>
      </c>
      <c r="AB63" s="31" t="s">
        <v>33</v>
      </c>
    </row>
    <row r="64" spans="1:28" x14ac:dyDescent="0.2">
      <c r="A64" s="95" t="s">
        <v>105</v>
      </c>
      <c r="B64" s="96">
        <v>200</v>
      </c>
      <c r="C64" s="31" t="s">
        <v>99</v>
      </c>
      <c r="D64" s="96">
        <v>200</v>
      </c>
      <c r="E64" s="31" t="s">
        <v>99</v>
      </c>
      <c r="F64" s="96">
        <v>200</v>
      </c>
      <c r="G64" s="31" t="s">
        <v>99</v>
      </c>
      <c r="H64" s="31"/>
      <c r="I64" s="96">
        <v>200</v>
      </c>
      <c r="J64" s="31" t="s">
        <v>99</v>
      </c>
      <c r="K64" s="96">
        <v>200</v>
      </c>
      <c r="L64" s="31" t="s">
        <v>99</v>
      </c>
      <c r="M64" s="96">
        <v>200</v>
      </c>
      <c r="N64" s="31" t="s">
        <v>99</v>
      </c>
      <c r="P64" s="96">
        <v>200</v>
      </c>
      <c r="Q64" s="31" t="s">
        <v>99</v>
      </c>
      <c r="R64" s="96">
        <v>200</v>
      </c>
      <c r="S64" s="31" t="s">
        <v>99</v>
      </c>
      <c r="T64" s="96">
        <v>200</v>
      </c>
      <c r="U64" s="31" t="s">
        <v>99</v>
      </c>
      <c r="W64" s="96">
        <v>200</v>
      </c>
      <c r="X64" s="31" t="s">
        <v>99</v>
      </c>
      <c r="Y64" s="96">
        <v>200</v>
      </c>
      <c r="Z64" s="31" t="s">
        <v>99</v>
      </c>
      <c r="AA64" s="96">
        <v>200</v>
      </c>
      <c r="AB64" s="31" t="s">
        <v>99</v>
      </c>
    </row>
    <row r="65" spans="1:28" x14ac:dyDescent="0.2">
      <c r="A65" s="95" t="s">
        <v>97</v>
      </c>
      <c r="B65" s="108">
        <v>150</v>
      </c>
      <c r="C65" s="31" t="s">
        <v>33</v>
      </c>
      <c r="D65" s="96">
        <v>150</v>
      </c>
      <c r="E65" s="31" t="s">
        <v>33</v>
      </c>
      <c r="F65" s="96">
        <v>150</v>
      </c>
      <c r="G65" s="31" t="s">
        <v>33</v>
      </c>
      <c r="H65" s="31"/>
      <c r="I65" s="96">
        <v>150</v>
      </c>
      <c r="J65" s="31" t="s">
        <v>33</v>
      </c>
      <c r="K65" s="96">
        <v>150</v>
      </c>
      <c r="L65" s="31" t="s">
        <v>33</v>
      </c>
      <c r="M65" s="96">
        <v>150</v>
      </c>
      <c r="N65" s="31" t="s">
        <v>33</v>
      </c>
      <c r="P65" s="96">
        <v>150</v>
      </c>
      <c r="Q65" s="31" t="s">
        <v>33</v>
      </c>
      <c r="R65" s="96">
        <v>150</v>
      </c>
      <c r="S65" s="31" t="s">
        <v>33</v>
      </c>
      <c r="T65" s="96">
        <v>150</v>
      </c>
      <c r="U65" s="31" t="s">
        <v>33</v>
      </c>
      <c r="W65" s="96">
        <v>150</v>
      </c>
      <c r="X65" s="31" t="s">
        <v>33</v>
      </c>
      <c r="Y65" s="96">
        <v>150</v>
      </c>
      <c r="Z65" s="31" t="s">
        <v>33</v>
      </c>
      <c r="AA65" s="96">
        <v>150</v>
      </c>
      <c r="AB65" s="31" t="s">
        <v>33</v>
      </c>
    </row>
    <row r="66" spans="1:28" x14ac:dyDescent="0.2">
      <c r="A66" s="95" t="s">
        <v>233</v>
      </c>
      <c r="B66" s="109">
        <v>400</v>
      </c>
      <c r="C66" s="31" t="s">
        <v>99</v>
      </c>
      <c r="D66" s="97">
        <v>400</v>
      </c>
      <c r="E66" s="31" t="s">
        <v>99</v>
      </c>
      <c r="F66" s="97">
        <v>400</v>
      </c>
      <c r="G66" s="31" t="s">
        <v>99</v>
      </c>
      <c r="H66" s="31"/>
      <c r="I66" s="97">
        <v>400</v>
      </c>
      <c r="J66" s="31" t="s">
        <v>99</v>
      </c>
      <c r="K66" s="97">
        <v>400</v>
      </c>
      <c r="L66" s="31" t="s">
        <v>99</v>
      </c>
      <c r="M66" s="97">
        <v>400</v>
      </c>
      <c r="N66" s="31" t="s">
        <v>99</v>
      </c>
      <c r="P66" s="97">
        <v>400</v>
      </c>
      <c r="Q66" s="31" t="s">
        <v>99</v>
      </c>
      <c r="R66" s="97">
        <v>400</v>
      </c>
      <c r="S66" s="31" t="s">
        <v>99</v>
      </c>
      <c r="T66" s="97">
        <v>400</v>
      </c>
      <c r="U66" s="31" t="s">
        <v>99</v>
      </c>
      <c r="W66" s="97">
        <v>400</v>
      </c>
      <c r="X66" s="31" t="s">
        <v>99</v>
      </c>
      <c r="Y66" s="97">
        <v>400</v>
      </c>
      <c r="Z66" s="31" t="s">
        <v>99</v>
      </c>
      <c r="AA66" s="97">
        <v>400</v>
      </c>
      <c r="AB66" s="31" t="s">
        <v>99</v>
      </c>
    </row>
    <row r="67" spans="1:28" x14ac:dyDescent="0.2">
      <c r="A67" s="25"/>
    </row>
    <row r="68" spans="1:28" x14ac:dyDescent="0.2">
      <c r="A68" s="95" t="s">
        <v>104</v>
      </c>
      <c r="B68" s="98">
        <f>B66+(B43*B64)</f>
        <v>600</v>
      </c>
      <c r="C68" s="99" t="s">
        <v>99</v>
      </c>
      <c r="D68" s="83">
        <f>D66+(D43*D64)</f>
        <v>600</v>
      </c>
      <c r="E68" s="99" t="s">
        <v>99</v>
      </c>
      <c r="F68" s="83">
        <f>F66+(F43*F64)</f>
        <v>600</v>
      </c>
      <c r="G68" s="73" t="s">
        <v>99</v>
      </c>
      <c r="I68" s="98">
        <f>I66+(I43*I64)</f>
        <v>600</v>
      </c>
      <c r="J68" s="99" t="s">
        <v>99</v>
      </c>
      <c r="K68" s="83">
        <f>K66+(K43*K64)</f>
        <v>600</v>
      </c>
      <c r="L68" s="99" t="s">
        <v>99</v>
      </c>
      <c r="M68" s="83">
        <f>M66+(M43*M64)</f>
        <v>600</v>
      </c>
      <c r="N68" s="73" t="s">
        <v>99</v>
      </c>
      <c r="P68" s="98">
        <f>P66+(P43*P64)</f>
        <v>600</v>
      </c>
      <c r="Q68" s="99" t="s">
        <v>99</v>
      </c>
      <c r="R68" s="83">
        <f>R66+(R43*R64)</f>
        <v>600</v>
      </c>
      <c r="S68" s="99" t="s">
        <v>99</v>
      </c>
      <c r="T68" s="83">
        <f>T66+(T43*T64)</f>
        <v>600</v>
      </c>
      <c r="U68" s="73" t="s">
        <v>99</v>
      </c>
      <c r="W68" s="98">
        <f>W66+(W43*W64)</f>
        <v>600</v>
      </c>
      <c r="X68" s="99" t="s">
        <v>99</v>
      </c>
      <c r="Y68" s="83">
        <f>Y66+(Y43*Y64)</f>
        <v>600</v>
      </c>
      <c r="Z68" s="99" t="s">
        <v>99</v>
      </c>
      <c r="AA68" s="83">
        <f>AA66+(AA43*AA64)</f>
        <v>600</v>
      </c>
      <c r="AB68" s="73" t="s">
        <v>99</v>
      </c>
    </row>
    <row r="69" spans="1:28" x14ac:dyDescent="0.2">
      <c r="A69" s="95" t="s">
        <v>101</v>
      </c>
      <c r="B69" s="31">
        <f>B68*B58</f>
        <v>600</v>
      </c>
      <c r="C69" s="31" t="s">
        <v>99</v>
      </c>
      <c r="D69" s="31">
        <f t="shared" ref="D69" si="40">D68*D58</f>
        <v>600</v>
      </c>
      <c r="E69" s="31" t="s">
        <v>99</v>
      </c>
      <c r="F69" s="31">
        <f t="shared" ref="F69" si="41">F68*F58</f>
        <v>600</v>
      </c>
      <c r="G69" s="31" t="s">
        <v>99</v>
      </c>
      <c r="H69" s="31"/>
      <c r="I69" s="31">
        <f>I68*I58</f>
        <v>600</v>
      </c>
      <c r="J69" s="31" t="s">
        <v>99</v>
      </c>
      <c r="K69" s="31">
        <f t="shared" ref="K69" si="42">K68*K58</f>
        <v>600</v>
      </c>
      <c r="L69" s="31" t="s">
        <v>99</v>
      </c>
      <c r="M69" s="31">
        <f t="shared" ref="M69" si="43">M68*M58</f>
        <v>600</v>
      </c>
      <c r="N69" s="31" t="s">
        <v>99</v>
      </c>
      <c r="P69" s="31">
        <f>P68*P58</f>
        <v>600</v>
      </c>
      <c r="Q69" s="31" t="s">
        <v>99</v>
      </c>
      <c r="R69" s="31">
        <f t="shared" ref="R69" si="44">R68*R58</f>
        <v>600</v>
      </c>
      <c r="S69" s="31" t="s">
        <v>99</v>
      </c>
      <c r="T69" s="31">
        <f t="shared" ref="T69" si="45">T68*T58</f>
        <v>600</v>
      </c>
      <c r="U69" s="31" t="s">
        <v>99</v>
      </c>
      <c r="W69" s="31">
        <f>W68*W58</f>
        <v>600</v>
      </c>
      <c r="X69" s="31" t="s">
        <v>99</v>
      </c>
      <c r="Y69" s="31">
        <f t="shared" ref="Y69" si="46">Y68*Y58</f>
        <v>600</v>
      </c>
      <c r="Z69" s="31" t="s">
        <v>99</v>
      </c>
      <c r="AA69" s="31">
        <f t="shared" ref="AA69" si="47">AA68*AA58</f>
        <v>600</v>
      </c>
      <c r="AB69" s="31" t="s">
        <v>99</v>
      </c>
    </row>
    <row r="70" spans="1:28" x14ac:dyDescent="0.2">
      <c r="A70" s="95" t="s">
        <v>98</v>
      </c>
      <c r="B70" s="100">
        <f>B65+B63*B43</f>
        <v>200</v>
      </c>
      <c r="C70" s="99" t="s">
        <v>33</v>
      </c>
      <c r="D70" s="99">
        <f>D65+D63*D43</f>
        <v>200</v>
      </c>
      <c r="E70" s="99" t="s">
        <v>33</v>
      </c>
      <c r="F70" s="99">
        <f>F65+F63*F43</f>
        <v>200</v>
      </c>
      <c r="G70" s="73" t="s">
        <v>33</v>
      </c>
      <c r="H70" s="31"/>
      <c r="I70" s="100">
        <f>I65+I63*I43</f>
        <v>200</v>
      </c>
      <c r="J70" s="99" t="s">
        <v>33</v>
      </c>
      <c r="K70" s="99">
        <f>K65+K63*K43</f>
        <v>200</v>
      </c>
      <c r="L70" s="99" t="s">
        <v>33</v>
      </c>
      <c r="M70" s="99">
        <f>M65+M63*M43</f>
        <v>200</v>
      </c>
      <c r="N70" s="73" t="s">
        <v>33</v>
      </c>
      <c r="P70" s="100">
        <f>P65+P63*P43</f>
        <v>200</v>
      </c>
      <c r="Q70" s="99" t="s">
        <v>33</v>
      </c>
      <c r="R70" s="99">
        <f>R65+R63*R43</f>
        <v>200</v>
      </c>
      <c r="S70" s="99" t="s">
        <v>33</v>
      </c>
      <c r="T70" s="99">
        <f>T65+T63*T43</f>
        <v>200</v>
      </c>
      <c r="U70" s="73" t="s">
        <v>33</v>
      </c>
      <c r="W70" s="100">
        <f>W65+W63*W43</f>
        <v>200</v>
      </c>
      <c r="X70" s="99" t="s">
        <v>33</v>
      </c>
      <c r="Y70" s="99">
        <f>Y65+Y63*Y43</f>
        <v>200</v>
      </c>
      <c r="Z70" s="99" t="s">
        <v>33</v>
      </c>
      <c r="AA70" s="99">
        <f>AA65+AA63*AA43</f>
        <v>200</v>
      </c>
      <c r="AB70" s="73" t="s">
        <v>33</v>
      </c>
    </row>
    <row r="71" spans="1:28" x14ac:dyDescent="0.2">
      <c r="A71" s="95" t="s">
        <v>36</v>
      </c>
      <c r="B71" s="100">
        <f>B70*B58</f>
        <v>200</v>
      </c>
      <c r="C71" s="99" t="s">
        <v>33</v>
      </c>
      <c r="D71" s="99">
        <f t="shared" ref="D71" si="48">D70*D58</f>
        <v>200</v>
      </c>
      <c r="E71" s="99" t="s">
        <v>33</v>
      </c>
      <c r="F71" s="99">
        <f t="shared" ref="F71" si="49">F70*F58</f>
        <v>200</v>
      </c>
      <c r="G71" s="73" t="s">
        <v>33</v>
      </c>
      <c r="H71" s="31"/>
      <c r="I71" s="100">
        <f>I70*I58</f>
        <v>200</v>
      </c>
      <c r="J71" s="99" t="s">
        <v>33</v>
      </c>
      <c r="K71" s="99">
        <f t="shared" ref="K71" si="50">K70*K58</f>
        <v>200</v>
      </c>
      <c r="L71" s="99" t="s">
        <v>33</v>
      </c>
      <c r="M71" s="99">
        <f t="shared" ref="M71" si="51">M70*M58</f>
        <v>200</v>
      </c>
      <c r="N71" s="73" t="s">
        <v>33</v>
      </c>
      <c r="P71" s="100">
        <f>P70*P58</f>
        <v>200</v>
      </c>
      <c r="Q71" s="99" t="s">
        <v>33</v>
      </c>
      <c r="R71" s="99">
        <f t="shared" ref="R71" si="52">R70*R58</f>
        <v>200</v>
      </c>
      <c r="S71" s="99" t="s">
        <v>33</v>
      </c>
      <c r="T71" s="99">
        <f t="shared" ref="T71" si="53">T70*T58</f>
        <v>200</v>
      </c>
      <c r="U71" s="73" t="s">
        <v>33</v>
      </c>
      <c r="W71" s="100">
        <f>W70*W58</f>
        <v>200</v>
      </c>
      <c r="X71" s="99" t="s">
        <v>33</v>
      </c>
      <c r="Y71" s="99">
        <f t="shared" ref="Y71" si="54">Y70*Y58</f>
        <v>200</v>
      </c>
      <c r="Z71" s="99" t="s">
        <v>33</v>
      </c>
      <c r="AA71" s="99">
        <f t="shared" ref="AA71" si="55">AA70*AA58</f>
        <v>200</v>
      </c>
      <c r="AB71" s="73" t="s">
        <v>33</v>
      </c>
    </row>
    <row r="72" spans="1:28" x14ac:dyDescent="0.2">
      <c r="A72" s="95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P72" s="31"/>
      <c r="Q72" s="31"/>
      <c r="R72" s="31"/>
      <c r="S72" s="31"/>
      <c r="T72" s="31"/>
      <c r="U72" s="31"/>
      <c r="W72" s="31"/>
      <c r="X72" s="31"/>
      <c r="Y72" s="31"/>
      <c r="Z72" s="31"/>
      <c r="AA72" s="31"/>
      <c r="AB72" s="31"/>
    </row>
    <row r="73" spans="1:28" x14ac:dyDescent="0.2">
      <c r="A73" s="95" t="s">
        <v>103</v>
      </c>
      <c r="B73" s="97">
        <v>100000</v>
      </c>
      <c r="C73" s="31" t="s">
        <v>221</v>
      </c>
      <c r="D73" s="97">
        <v>100000</v>
      </c>
      <c r="E73" s="31" t="s">
        <v>221</v>
      </c>
      <c r="F73" s="97">
        <v>100000</v>
      </c>
      <c r="G73" s="31" t="s">
        <v>221</v>
      </c>
      <c r="H73" s="31"/>
      <c r="I73" s="97">
        <v>100000</v>
      </c>
      <c r="J73" s="31" t="s">
        <v>221</v>
      </c>
      <c r="K73" s="97">
        <v>100000</v>
      </c>
      <c r="L73" s="31" t="s">
        <v>221</v>
      </c>
      <c r="M73" s="97">
        <v>100000</v>
      </c>
      <c r="N73" s="31" t="s">
        <v>221</v>
      </c>
      <c r="P73" s="97">
        <v>100000</v>
      </c>
      <c r="Q73" s="31" t="s">
        <v>221</v>
      </c>
      <c r="R73" s="97">
        <v>100000</v>
      </c>
      <c r="S73" s="31" t="s">
        <v>221</v>
      </c>
      <c r="T73" s="97">
        <v>100000</v>
      </c>
      <c r="U73" s="31" t="s">
        <v>221</v>
      </c>
      <c r="W73" s="97">
        <v>100000</v>
      </c>
      <c r="X73" s="31" t="s">
        <v>221</v>
      </c>
      <c r="Y73" s="97">
        <v>100000</v>
      </c>
      <c r="Z73" s="31" t="s">
        <v>221</v>
      </c>
      <c r="AA73" s="97">
        <v>100000</v>
      </c>
      <c r="AB73" s="31" t="s">
        <v>221</v>
      </c>
    </row>
    <row r="74" spans="1:28" x14ac:dyDescent="0.2">
      <c r="A74" s="95" t="s">
        <v>102</v>
      </c>
      <c r="B74" s="31">
        <f>B69*B73/10000000</f>
        <v>6</v>
      </c>
      <c r="C74" s="31" t="s">
        <v>33</v>
      </c>
      <c r="D74" s="31">
        <f>D69*D73/10000000</f>
        <v>6</v>
      </c>
      <c r="E74" s="31" t="s">
        <v>33</v>
      </c>
      <c r="F74" s="31">
        <f>F69*F73/10000000</f>
        <v>6</v>
      </c>
      <c r="G74" s="31" t="s">
        <v>33</v>
      </c>
      <c r="H74" s="31"/>
      <c r="I74" s="31">
        <f>I69*I73/10000000</f>
        <v>6</v>
      </c>
      <c r="J74" s="31" t="s">
        <v>33</v>
      </c>
      <c r="K74" s="31">
        <f>K69*K73/10000000</f>
        <v>6</v>
      </c>
      <c r="L74" s="31" t="s">
        <v>33</v>
      </c>
      <c r="M74" s="31">
        <f>M69*M73/10000000</f>
        <v>6</v>
      </c>
      <c r="N74" s="31" t="s">
        <v>33</v>
      </c>
      <c r="P74" s="31">
        <f>P69*P73/10000000</f>
        <v>6</v>
      </c>
      <c r="Q74" s="31" t="s">
        <v>33</v>
      </c>
      <c r="R74" s="31">
        <f>R69*R73/10000000</f>
        <v>6</v>
      </c>
      <c r="S74" s="31" t="s">
        <v>33</v>
      </c>
      <c r="T74" s="31">
        <f>T69*T73/10000000</f>
        <v>6</v>
      </c>
      <c r="U74" s="31" t="s">
        <v>33</v>
      </c>
      <c r="W74" s="31">
        <f>W69*W73/10000000</f>
        <v>6</v>
      </c>
      <c r="X74" s="31" t="s">
        <v>33</v>
      </c>
      <c r="Y74" s="31">
        <f>Y69*Y73/10000000</f>
        <v>6</v>
      </c>
      <c r="Z74" s="31" t="s">
        <v>33</v>
      </c>
      <c r="AA74" s="31">
        <f>AA69*AA73/10000000</f>
        <v>6</v>
      </c>
      <c r="AB74" s="31" t="s">
        <v>33</v>
      </c>
    </row>
    <row r="75" spans="1:28" x14ac:dyDescent="0.2">
      <c r="A75" s="25"/>
      <c r="B75" s="31"/>
      <c r="I75" s="31"/>
      <c r="P75" s="31"/>
      <c r="W75" s="31"/>
    </row>
    <row r="76" spans="1:28" x14ac:dyDescent="0.2">
      <c r="A76" s="25" t="s">
        <v>222</v>
      </c>
      <c r="B76" s="101">
        <f>B74+B71</f>
        <v>206</v>
      </c>
      <c r="C76" s="99" t="s">
        <v>33</v>
      </c>
      <c r="D76" s="102">
        <f t="shared" ref="D76" si="56">D74+D71</f>
        <v>206</v>
      </c>
      <c r="E76" s="99" t="s">
        <v>33</v>
      </c>
      <c r="F76" s="102">
        <f t="shared" ref="F76" si="57">F74+F71</f>
        <v>206</v>
      </c>
      <c r="G76" s="73" t="s">
        <v>33</v>
      </c>
      <c r="H76" s="103"/>
      <c r="I76" s="101">
        <f>I74+I71</f>
        <v>206</v>
      </c>
      <c r="J76" s="99" t="s">
        <v>33</v>
      </c>
      <c r="K76" s="102">
        <f t="shared" ref="K76" si="58">K74+K71</f>
        <v>206</v>
      </c>
      <c r="L76" s="99" t="s">
        <v>33</v>
      </c>
      <c r="M76" s="102">
        <f t="shared" ref="M76" si="59">M74+M71</f>
        <v>206</v>
      </c>
      <c r="N76" s="73" t="s">
        <v>33</v>
      </c>
      <c r="P76" s="101">
        <f>P74+P71</f>
        <v>206</v>
      </c>
      <c r="Q76" s="99" t="s">
        <v>33</v>
      </c>
      <c r="R76" s="102">
        <f t="shared" ref="R76" si="60">R74+R71</f>
        <v>206</v>
      </c>
      <c r="S76" s="99" t="s">
        <v>33</v>
      </c>
      <c r="T76" s="102">
        <f t="shared" ref="T76" si="61">T74+T71</f>
        <v>206</v>
      </c>
      <c r="U76" s="73" t="s">
        <v>33</v>
      </c>
      <c r="W76" s="101">
        <f>W74+W71</f>
        <v>206</v>
      </c>
      <c r="X76" s="99" t="s">
        <v>33</v>
      </c>
      <c r="Y76" s="102">
        <f t="shared" ref="Y76" si="62">Y74+Y71</f>
        <v>206</v>
      </c>
      <c r="Z76" s="99" t="s">
        <v>33</v>
      </c>
      <c r="AA76" s="102">
        <f t="shared" ref="AA76" si="63">AA74+AA71</f>
        <v>206</v>
      </c>
      <c r="AB76" s="73" t="s">
        <v>33</v>
      </c>
    </row>
    <row r="77" spans="1:28" x14ac:dyDescent="0.2">
      <c r="A77" s="95" t="s">
        <v>223</v>
      </c>
      <c r="B77" s="3">
        <f>B$76*1000000/B$61</f>
        <v>2100746.3736953586</v>
      </c>
      <c r="C77" s="31" t="s">
        <v>224</v>
      </c>
      <c r="D77" s="3">
        <f t="shared" ref="D77:K77" si="64">D$76*1000000/D$61</f>
        <v>257162.18252665075</v>
      </c>
      <c r="E77" s="31" t="s">
        <v>224</v>
      </c>
      <c r="F77" s="3">
        <f t="shared" ref="F77:M77" si="65">F$76*1000000/F$61</f>
        <v>113445.15433162737</v>
      </c>
      <c r="G77" s="31" t="s">
        <v>224</v>
      </c>
      <c r="H77" s="3"/>
      <c r="I77" s="3" t="e">
        <f>I$76*1000000/I$61</f>
        <v>#REF!</v>
      </c>
      <c r="J77" s="31" t="s">
        <v>224</v>
      </c>
      <c r="K77" s="3" t="e">
        <f t="shared" si="64"/>
        <v>#REF!</v>
      </c>
      <c r="L77" s="31" t="s">
        <v>224</v>
      </c>
      <c r="M77" s="3" t="e">
        <f t="shared" si="65"/>
        <v>#REF!</v>
      </c>
      <c r="N77" s="31" t="s">
        <v>224</v>
      </c>
      <c r="P77" s="3">
        <f>P$76*1000000/P$61</f>
        <v>2100239.3310852465</v>
      </c>
      <c r="Q77" s="31" t="s">
        <v>224</v>
      </c>
      <c r="R77" s="3">
        <f t="shared" ref="R77" si="66">R$76*1000000/R$61</f>
        <v>257279.31805794267</v>
      </c>
      <c r="S77" s="31" t="s">
        <v>224</v>
      </c>
      <c r="T77" s="3">
        <f t="shared" ref="T77" si="67">T$76*1000000/T$61</f>
        <v>113713.74314298923</v>
      </c>
      <c r="U77" s="31" t="s">
        <v>224</v>
      </c>
      <c r="W77" s="3" t="e">
        <f>W$76*1000000/W$61</f>
        <v>#REF!</v>
      </c>
      <c r="X77" s="31" t="s">
        <v>224</v>
      </c>
      <c r="Y77" s="3" t="e">
        <f t="shared" ref="Y77" si="68">Y$76*1000000/Y$61</f>
        <v>#REF!</v>
      </c>
      <c r="Z77" s="31" t="s">
        <v>224</v>
      </c>
      <c r="AA77" s="3" t="e">
        <f t="shared" ref="AA77" si="69">AA$76*1000000/AA$61</f>
        <v>#REF!</v>
      </c>
      <c r="AB77" s="31" t="s">
        <v>224</v>
      </c>
    </row>
    <row r="78" spans="1:28" x14ac:dyDescent="0.2">
      <c r="A78" s="95" t="s">
        <v>225</v>
      </c>
      <c r="B78" s="3">
        <f>B$76*1000000/B$61/2</f>
        <v>1050373.1868476793</v>
      </c>
      <c r="C78" s="31" t="s">
        <v>224</v>
      </c>
      <c r="D78" s="3">
        <f t="shared" ref="D78:K78" si="70">D$76*1000000/D$61/2</f>
        <v>128581.09126332538</v>
      </c>
      <c r="E78" s="31" t="s">
        <v>224</v>
      </c>
      <c r="F78" s="3">
        <f t="shared" ref="F78:M78" si="71">F$76*1000000/F$61/2</f>
        <v>56722.577165813687</v>
      </c>
      <c r="G78" s="31" t="s">
        <v>224</v>
      </c>
      <c r="H78" s="3"/>
      <c r="I78" s="3" t="e">
        <f>I$76*1000000/I$61/2</f>
        <v>#REF!</v>
      </c>
      <c r="J78" s="31" t="s">
        <v>224</v>
      </c>
      <c r="K78" s="3" t="e">
        <f t="shared" si="70"/>
        <v>#REF!</v>
      </c>
      <c r="L78" s="31" t="s">
        <v>224</v>
      </c>
      <c r="M78" s="3" t="e">
        <f t="shared" si="71"/>
        <v>#REF!</v>
      </c>
      <c r="N78" s="31" t="s">
        <v>224</v>
      </c>
      <c r="P78" s="3">
        <f>P$76*1000000/P$61/2</f>
        <v>1050119.6655426233</v>
      </c>
      <c r="Q78" s="31" t="s">
        <v>224</v>
      </c>
      <c r="R78" s="3">
        <f t="shared" ref="R78" si="72">R$76*1000000/R$61/2</f>
        <v>128639.65902897133</v>
      </c>
      <c r="S78" s="31" t="s">
        <v>224</v>
      </c>
      <c r="T78" s="3">
        <f t="shared" ref="T78" si="73">T$76*1000000/T$61/2</f>
        <v>56856.871571494616</v>
      </c>
      <c r="U78" s="31" t="s">
        <v>224</v>
      </c>
      <c r="W78" s="3" t="e">
        <f>W$76*1000000/W$61/2</f>
        <v>#REF!</v>
      </c>
      <c r="X78" s="31" t="s">
        <v>224</v>
      </c>
      <c r="Y78" s="3" t="e">
        <f t="shared" ref="Y78" si="74">Y$76*1000000/Y$61/2</f>
        <v>#REF!</v>
      </c>
      <c r="Z78" s="31" t="s">
        <v>224</v>
      </c>
      <c r="AA78" s="3" t="e">
        <f t="shared" ref="AA78" si="75">AA$76*1000000/AA$61/2</f>
        <v>#REF!</v>
      </c>
      <c r="AB78" s="31" t="s">
        <v>224</v>
      </c>
    </row>
    <row r="79" spans="1:28" x14ac:dyDescent="0.2">
      <c r="A79" s="95" t="s">
        <v>226</v>
      </c>
      <c r="B79" s="3">
        <f>B$76*1000000/B$61/3</f>
        <v>700248.79123178625</v>
      </c>
      <c r="C79" s="31" t="s">
        <v>224</v>
      </c>
      <c r="D79" s="3">
        <f t="shared" ref="D79:K79" si="76">D$76*1000000/D$61/3</f>
        <v>85720.727508883589</v>
      </c>
      <c r="E79" s="31" t="s">
        <v>224</v>
      </c>
      <c r="F79" s="3">
        <f t="shared" ref="F79:M79" si="77">F$76*1000000/F$61/3</f>
        <v>37815.051443875789</v>
      </c>
      <c r="G79" s="31" t="s">
        <v>224</v>
      </c>
      <c r="H79" s="3"/>
      <c r="I79" s="3" t="e">
        <f>I$76*1000000/I$61/3</f>
        <v>#REF!</v>
      </c>
      <c r="J79" s="31" t="s">
        <v>224</v>
      </c>
      <c r="K79" s="3" t="e">
        <f t="shared" si="76"/>
        <v>#REF!</v>
      </c>
      <c r="L79" s="31" t="s">
        <v>224</v>
      </c>
      <c r="M79" s="3" t="e">
        <f t="shared" si="77"/>
        <v>#REF!</v>
      </c>
      <c r="N79" s="31" t="s">
        <v>224</v>
      </c>
      <c r="P79" s="3">
        <f>P$76*1000000/P$61/3</f>
        <v>700079.77702841547</v>
      </c>
      <c r="Q79" s="31" t="s">
        <v>224</v>
      </c>
      <c r="R79" s="3">
        <f t="shared" ref="R79" si="78">R$76*1000000/R$61/3</f>
        <v>85759.77268598089</v>
      </c>
      <c r="S79" s="31" t="s">
        <v>224</v>
      </c>
      <c r="T79" s="3">
        <f t="shared" ref="T79" si="79">T$76*1000000/T$61/3</f>
        <v>37904.58104766308</v>
      </c>
      <c r="U79" s="31" t="s">
        <v>224</v>
      </c>
      <c r="W79" s="3" t="e">
        <f>W$76*1000000/W$61/3</f>
        <v>#REF!</v>
      </c>
      <c r="X79" s="31" t="s">
        <v>224</v>
      </c>
      <c r="Y79" s="3" t="e">
        <f t="shared" ref="Y79" si="80">Y$76*1000000/Y$61/3</f>
        <v>#REF!</v>
      </c>
      <c r="Z79" s="31" t="s">
        <v>224</v>
      </c>
      <c r="AA79" s="3" t="e">
        <f t="shared" ref="AA79" si="81">AA$76*1000000/AA$61/3</f>
        <v>#REF!</v>
      </c>
      <c r="AB79" s="31" t="s">
        <v>224</v>
      </c>
    </row>
    <row r="80" spans="1:28" x14ac:dyDescent="0.2">
      <c r="A80" s="95" t="s">
        <v>227</v>
      </c>
      <c r="B80" s="3">
        <f>B$76*1000000/B$61/4</f>
        <v>525186.59342383966</v>
      </c>
      <c r="C80" s="31" t="s">
        <v>224</v>
      </c>
      <c r="D80" s="3">
        <f t="shared" ref="D80:K80" si="82">D$76*1000000/D$61/4</f>
        <v>64290.545631662688</v>
      </c>
      <c r="E80" s="31" t="s">
        <v>224</v>
      </c>
      <c r="F80" s="3">
        <f t="shared" ref="F80:M80" si="83">F$76*1000000/F$61/4</f>
        <v>28361.288582906844</v>
      </c>
      <c r="G80" s="31" t="s">
        <v>224</v>
      </c>
      <c r="H80" s="3"/>
      <c r="I80" s="3" t="e">
        <f>I$76*1000000/I$61/4</f>
        <v>#REF!</v>
      </c>
      <c r="J80" s="31" t="s">
        <v>224</v>
      </c>
      <c r="K80" s="3" t="e">
        <f t="shared" si="82"/>
        <v>#REF!</v>
      </c>
      <c r="L80" s="31" t="s">
        <v>224</v>
      </c>
      <c r="M80" s="3" t="e">
        <f t="shared" si="83"/>
        <v>#REF!</v>
      </c>
      <c r="N80" s="31" t="s">
        <v>224</v>
      </c>
      <c r="P80" s="3">
        <f>P$76*1000000/P$61/4</f>
        <v>525059.83277131163</v>
      </c>
      <c r="Q80" s="31" t="s">
        <v>224</v>
      </c>
      <c r="R80" s="3">
        <f t="shared" ref="R80" si="84">R$76*1000000/R$61/4</f>
        <v>64319.829514485667</v>
      </c>
      <c r="S80" s="31" t="s">
        <v>224</v>
      </c>
      <c r="T80" s="3">
        <f t="shared" ref="T80" si="85">T$76*1000000/T$61/4</f>
        <v>28428.435785747308</v>
      </c>
      <c r="U80" s="31" t="s">
        <v>224</v>
      </c>
      <c r="W80" s="3" t="e">
        <f>W$76*1000000/W$61/4</f>
        <v>#REF!</v>
      </c>
      <c r="X80" s="31" t="s">
        <v>224</v>
      </c>
      <c r="Y80" s="3" t="e">
        <f t="shared" ref="Y80" si="86">Y$76*1000000/Y$61/4</f>
        <v>#REF!</v>
      </c>
      <c r="Z80" s="31" t="s">
        <v>224</v>
      </c>
      <c r="AA80" s="3" t="e">
        <f t="shared" ref="AA80" si="87">AA$76*1000000/AA$61/4</f>
        <v>#REF!</v>
      </c>
      <c r="AB80" s="31" t="s">
        <v>224</v>
      </c>
    </row>
    <row r="81" spans="1:28" x14ac:dyDescent="0.2">
      <c r="A81" s="95" t="s">
        <v>228</v>
      </c>
      <c r="B81" s="3">
        <f>B$76*1000000/B$61/5</f>
        <v>420149.27473907173</v>
      </c>
      <c r="C81" s="31" t="s">
        <v>224</v>
      </c>
      <c r="D81" s="3">
        <f t="shared" ref="D81:K81" si="88">D$76*1000000/D$61/5</f>
        <v>51432.436505330152</v>
      </c>
      <c r="E81" s="31" t="s">
        <v>224</v>
      </c>
      <c r="F81" s="3">
        <f t="shared" ref="F81:M81" si="89">F$76*1000000/F$61/5</f>
        <v>22689.030866325476</v>
      </c>
      <c r="G81" s="31" t="s">
        <v>224</v>
      </c>
      <c r="H81" s="3"/>
      <c r="I81" s="3" t="e">
        <f>I$76*1000000/I$61/5</f>
        <v>#REF!</v>
      </c>
      <c r="J81" s="31" t="s">
        <v>224</v>
      </c>
      <c r="K81" s="3" t="e">
        <f t="shared" si="88"/>
        <v>#REF!</v>
      </c>
      <c r="L81" s="31" t="s">
        <v>224</v>
      </c>
      <c r="M81" s="3" t="e">
        <f t="shared" si="89"/>
        <v>#REF!</v>
      </c>
      <c r="N81" s="31" t="s">
        <v>224</v>
      </c>
      <c r="P81" s="3">
        <f>P$76*1000000/P$61/5</f>
        <v>420047.8662170493</v>
      </c>
      <c r="Q81" s="31" t="s">
        <v>224</v>
      </c>
      <c r="R81" s="3">
        <f t="shared" ref="R81" si="90">R$76*1000000/R$61/5</f>
        <v>51455.863611588531</v>
      </c>
      <c r="S81" s="31" t="s">
        <v>224</v>
      </c>
      <c r="T81" s="3">
        <f t="shared" ref="T81" si="91">T$76*1000000/T$61/5</f>
        <v>22742.748628597845</v>
      </c>
      <c r="U81" s="31" t="s">
        <v>224</v>
      </c>
      <c r="W81" s="3" t="e">
        <f>W$76*1000000/W$61/5</f>
        <v>#REF!</v>
      </c>
      <c r="X81" s="31" t="s">
        <v>224</v>
      </c>
      <c r="Y81" s="3" t="e">
        <f t="shared" ref="Y81" si="92">Y$76*1000000/Y$61/5</f>
        <v>#REF!</v>
      </c>
      <c r="Z81" s="31" t="s">
        <v>224</v>
      </c>
      <c r="AA81" s="3" t="e">
        <f t="shared" ref="AA81" si="93">AA$76*1000000/AA$61/5</f>
        <v>#REF!</v>
      </c>
      <c r="AB81" s="31" t="s">
        <v>224</v>
      </c>
    </row>
    <row r="82" spans="1:28" x14ac:dyDescent="0.2">
      <c r="A82" s="95" t="s">
        <v>229</v>
      </c>
      <c r="B82" s="3">
        <f>B$76*1000000/B$61/10</f>
        <v>210074.63736953586</v>
      </c>
      <c r="C82" s="31" t="s">
        <v>224</v>
      </c>
      <c r="D82" s="3">
        <f t="shared" ref="D82:K82" si="94">D$76*1000000/D$61/10</f>
        <v>25716.218252665076</v>
      </c>
      <c r="E82" s="31" t="s">
        <v>224</v>
      </c>
      <c r="F82" s="3">
        <f t="shared" ref="F82:M82" si="95">F$76*1000000/F$61/10</f>
        <v>11344.515433162738</v>
      </c>
      <c r="G82" s="31" t="s">
        <v>224</v>
      </c>
      <c r="H82" s="3"/>
      <c r="I82" s="3" t="e">
        <f>I$76*1000000/I$61/10</f>
        <v>#REF!</v>
      </c>
      <c r="J82" s="31" t="s">
        <v>224</v>
      </c>
      <c r="K82" s="3" t="e">
        <f t="shared" si="94"/>
        <v>#REF!</v>
      </c>
      <c r="L82" s="31" t="s">
        <v>224</v>
      </c>
      <c r="M82" s="3" t="e">
        <f t="shared" si="95"/>
        <v>#REF!</v>
      </c>
      <c r="N82" s="31" t="s">
        <v>224</v>
      </c>
      <c r="P82" s="3">
        <f>P$76*1000000/P$61/10</f>
        <v>210023.93310852465</v>
      </c>
      <c r="Q82" s="31" t="s">
        <v>224</v>
      </c>
      <c r="R82" s="3">
        <f t="shared" ref="R82" si="96">R$76*1000000/R$61/10</f>
        <v>25727.931805794266</v>
      </c>
      <c r="S82" s="31" t="s">
        <v>224</v>
      </c>
      <c r="T82" s="3">
        <f t="shared" ref="T82" si="97">T$76*1000000/T$61/10</f>
        <v>11371.374314298922</v>
      </c>
      <c r="U82" s="31" t="s">
        <v>224</v>
      </c>
      <c r="W82" s="3" t="e">
        <f>W$76*1000000/W$61/10</f>
        <v>#REF!</v>
      </c>
      <c r="X82" s="31" t="s">
        <v>224</v>
      </c>
      <c r="Y82" s="3" t="e">
        <f t="shared" ref="Y82" si="98">Y$76*1000000/Y$61/10</f>
        <v>#REF!</v>
      </c>
      <c r="Z82" s="31" t="s">
        <v>224</v>
      </c>
      <c r="AA82" s="3" t="e">
        <f t="shared" ref="AA82" si="99">AA$76*1000000/AA$61/10</f>
        <v>#REF!</v>
      </c>
      <c r="AB82" s="31" t="s">
        <v>224</v>
      </c>
    </row>
  </sheetData>
  <mergeCells count="16">
    <mergeCell ref="B1:G1"/>
    <mergeCell ref="B2:C2"/>
    <mergeCell ref="D2:E2"/>
    <mergeCell ref="F2:G2"/>
    <mergeCell ref="I1:N1"/>
    <mergeCell ref="I2:J2"/>
    <mergeCell ref="K2:L2"/>
    <mergeCell ref="M2:N2"/>
    <mergeCell ref="P1:U1"/>
    <mergeCell ref="P2:Q2"/>
    <mergeCell ref="R2:S2"/>
    <mergeCell ref="T2:U2"/>
    <mergeCell ref="W1:AB1"/>
    <mergeCell ref="W2:X2"/>
    <mergeCell ref="Y2:Z2"/>
    <mergeCell ref="AA2:AB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117</v>
      </c>
      <c r="C14" t="s">
        <v>99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N34" sqref="N3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customXml/itemProps2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Pointing Eff Acc</vt:lpstr>
      <vt:lpstr>Laser Count Analysis</vt:lpstr>
      <vt:lpstr>Spacecraft Sizing</vt:lpstr>
      <vt:lpstr>Fleet cost analysis</vt:lpstr>
      <vt:lpstr>Laser Summary</vt:lpstr>
      <vt:lpstr>SE analysis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2023-03-17T20:48:37Z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