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itenbr/Desktop/lunarspark/"/>
    </mc:Choice>
  </mc:AlternateContent>
  <xr:revisionPtr revIDLastSave="0" documentId="13_ncr:1_{CE4F3799-F699-2148-8E49-5D7B3DFD46AF}" xr6:coauthVersionLast="47" xr6:coauthVersionMax="47" xr10:uidLastSave="{00000000-0000-0000-0000-000000000000}"/>
  <bookViews>
    <workbookView xWindow="1440" yWindow="4500" windowWidth="31040" windowHeight="16040" activeTab="2" xr2:uid="{0D0644B8-F9A6-4A61-A91E-2BD3522A7E9F}"/>
  </bookViews>
  <sheets>
    <sheet name="SE analysis" sheetId="1" r:id="rId1"/>
    <sheet name="fleet cost analysis" sheetId="2" r:id="rId2"/>
    <sheet name="math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I10" i="3"/>
  <c r="C4" i="3"/>
  <c r="J20" i="3"/>
  <c r="B5" i="3" l="1"/>
  <c r="I11" i="3" s="1"/>
  <c r="D9" i="3"/>
  <c r="H4" i="3" s="1"/>
  <c r="C8" i="3"/>
  <c r="D8" i="3" s="1"/>
  <c r="C3" i="3"/>
  <c r="D3" i="3" s="1"/>
  <c r="B19" i="3" s="1"/>
  <c r="D4" i="3"/>
  <c r="T8" i="1"/>
  <c r="T9" i="1"/>
  <c r="T7" i="1"/>
  <c r="T3" i="1"/>
  <c r="T4" i="1"/>
  <c r="T5" i="1"/>
  <c r="T6" i="1"/>
  <c r="T2" i="1"/>
  <c r="R2" i="1"/>
  <c r="R3" i="1"/>
  <c r="R4" i="1"/>
  <c r="R5" i="1"/>
  <c r="R6" i="1"/>
  <c r="R7" i="1"/>
  <c r="R8" i="1"/>
  <c r="R9" i="1"/>
  <c r="Q2" i="1"/>
  <c r="Q3" i="1"/>
  <c r="Q4" i="1"/>
  <c r="Q5" i="1"/>
  <c r="Q6" i="1"/>
  <c r="Q7" i="1"/>
  <c r="Q8" i="1"/>
  <c r="Q9" i="1"/>
  <c r="P3" i="1"/>
  <c r="P4" i="1"/>
  <c r="P5" i="1"/>
  <c r="P6" i="1"/>
  <c r="P7" i="1"/>
  <c r="P8" i="1"/>
  <c r="P9" i="1"/>
  <c r="P2" i="1"/>
  <c r="T14" i="1"/>
  <c r="T15" i="1"/>
  <c r="T16" i="1"/>
  <c r="T17" i="1"/>
  <c r="T18" i="1"/>
  <c r="T19" i="1"/>
  <c r="T20" i="1"/>
  <c r="T21" i="1"/>
  <c r="T22" i="1"/>
  <c r="T23" i="1"/>
  <c r="T24" i="1"/>
  <c r="T25" i="1"/>
  <c r="T13" i="1"/>
  <c r="S14" i="1"/>
  <c r="S15" i="1"/>
  <c r="S16" i="1"/>
  <c r="S17" i="1"/>
  <c r="S18" i="1"/>
  <c r="S19" i="1"/>
  <c r="S20" i="1"/>
  <c r="S21" i="1"/>
  <c r="S22" i="1"/>
  <c r="S23" i="1"/>
  <c r="S24" i="1"/>
  <c r="S25" i="1"/>
  <c r="S13" i="1"/>
  <c r="N14" i="1"/>
  <c r="N15" i="1"/>
  <c r="N16" i="1"/>
  <c r="N17" i="1"/>
  <c r="N18" i="1"/>
  <c r="N19" i="1"/>
  <c r="N20" i="1"/>
  <c r="N21" i="1"/>
  <c r="N22" i="1"/>
  <c r="N23" i="1"/>
  <c r="N24" i="1"/>
  <c r="N25" i="1"/>
  <c r="N13" i="1"/>
  <c r="W14" i="1"/>
  <c r="W15" i="1"/>
  <c r="W16" i="1"/>
  <c r="W17" i="1"/>
  <c r="W18" i="1"/>
  <c r="W19" i="1"/>
  <c r="W20" i="1"/>
  <c r="W21" i="1"/>
  <c r="W22" i="1"/>
  <c r="W23" i="1"/>
  <c r="W24" i="1"/>
  <c r="W25" i="1"/>
  <c r="W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V13" i="1"/>
  <c r="U13" i="1"/>
  <c r="M13" i="1"/>
  <c r="R14" i="1"/>
  <c r="R15" i="1"/>
  <c r="R16" i="1"/>
  <c r="R17" i="1"/>
  <c r="R18" i="1"/>
  <c r="R19" i="1"/>
  <c r="R20" i="1"/>
  <c r="R21" i="1"/>
  <c r="R22" i="1"/>
  <c r="R23" i="1"/>
  <c r="R24" i="1"/>
  <c r="R25" i="1"/>
  <c r="R13" i="1"/>
  <c r="Q14" i="1"/>
  <c r="Q15" i="1"/>
  <c r="Q16" i="1"/>
  <c r="Q17" i="1"/>
  <c r="Q18" i="1"/>
  <c r="Q19" i="1"/>
  <c r="Q20" i="1"/>
  <c r="Q21" i="1"/>
  <c r="Q22" i="1"/>
  <c r="Q23" i="1"/>
  <c r="Q24" i="1"/>
  <c r="Q25" i="1"/>
  <c r="Q13" i="1"/>
  <c r="M14" i="1"/>
  <c r="M15" i="1"/>
  <c r="M16" i="1"/>
  <c r="M17" i="1"/>
  <c r="M18" i="1"/>
  <c r="M19" i="1"/>
  <c r="M20" i="1"/>
  <c r="M21" i="1"/>
  <c r="M22" i="1"/>
  <c r="M23" i="1"/>
  <c r="M24" i="1"/>
  <c r="M25" i="1"/>
  <c r="H13" i="1"/>
  <c r="H11" i="1"/>
  <c r="H9" i="1"/>
  <c r="H5" i="1"/>
  <c r="H12" i="1" s="1"/>
  <c r="G13" i="1"/>
  <c r="G11" i="1"/>
  <c r="G9" i="1"/>
  <c r="G5" i="1"/>
  <c r="F5" i="1"/>
  <c r="F13" i="1"/>
  <c r="F11" i="1"/>
  <c r="F9" i="1"/>
  <c r="E2" i="1"/>
  <c r="E5" i="1" s="1"/>
  <c r="E13" i="1"/>
  <c r="E11" i="1"/>
  <c r="E9" i="1"/>
  <c r="D13" i="1"/>
  <c r="D11" i="1"/>
  <c r="D9" i="1"/>
  <c r="D5" i="1"/>
  <c r="G20" i="3" l="1"/>
  <c r="G18" i="3"/>
  <c r="E20" i="3"/>
  <c r="E18" i="3"/>
  <c r="G4" i="3"/>
  <c r="F4" i="3"/>
  <c r="H3" i="3"/>
  <c r="H5" i="3" s="1"/>
  <c r="G3" i="3"/>
  <c r="F3" i="3"/>
  <c r="A19" i="3"/>
  <c r="J19" i="3" s="1"/>
  <c r="A18" i="3"/>
  <c r="B18" i="3"/>
  <c r="H18" i="1"/>
  <c r="H20" i="1" s="1"/>
  <c r="H26" i="1" s="1"/>
  <c r="H17" i="1"/>
  <c r="G12" i="1"/>
  <c r="G18" i="1" s="1"/>
  <c r="G20" i="1" s="1"/>
  <c r="G22" i="1" s="1"/>
  <c r="F12" i="1"/>
  <c r="F18" i="1"/>
  <c r="F20" i="1" s="1"/>
  <c r="F22" i="1" s="1"/>
  <c r="F17" i="1"/>
  <c r="E12" i="1"/>
  <c r="E18" i="1" s="1"/>
  <c r="E20" i="1" s="1"/>
  <c r="D12" i="1"/>
  <c r="D17" i="1" s="1"/>
  <c r="F5" i="3" l="1"/>
  <c r="G5" i="3"/>
  <c r="K20" i="3"/>
  <c r="I4" i="3"/>
  <c r="L4" i="3" s="1"/>
  <c r="M4" i="3" s="1"/>
  <c r="I18" i="3"/>
  <c r="K18" i="3"/>
  <c r="I19" i="3"/>
  <c r="I20" i="3"/>
  <c r="K19" i="3"/>
  <c r="J18" i="3"/>
  <c r="J4" i="3"/>
  <c r="K4" i="3" s="1"/>
  <c r="J3" i="3"/>
  <c r="K3" i="3" s="1"/>
  <c r="I3" i="3"/>
  <c r="L3" i="3" s="1"/>
  <c r="M3" i="3" s="1"/>
  <c r="H22" i="1"/>
  <c r="G17" i="1"/>
  <c r="F26" i="1"/>
  <c r="E22" i="1"/>
  <c r="E26" i="1"/>
  <c r="G26" i="1"/>
  <c r="G35" i="1" s="1"/>
  <c r="E17" i="1"/>
  <c r="D18" i="1"/>
  <c r="D20" i="1" s="1"/>
  <c r="H8" i="3" l="1"/>
  <c r="F8" i="3"/>
  <c r="I5" i="3"/>
  <c r="L5" i="3" s="1"/>
  <c r="M5" i="3" s="1"/>
  <c r="J5" i="3"/>
  <c r="K5" i="3" s="1"/>
  <c r="G8" i="3"/>
  <c r="G29" i="1"/>
  <c r="G38" i="1" s="1"/>
  <c r="G27" i="1"/>
  <c r="G36" i="1" s="1"/>
  <c r="H29" i="1"/>
  <c r="H35" i="1"/>
  <c r="H27" i="1"/>
  <c r="H36" i="1" s="1"/>
  <c r="D22" i="1"/>
  <c r="D26" i="1"/>
  <c r="E27" i="1"/>
  <c r="E36" i="1" s="1"/>
  <c r="E35" i="1"/>
  <c r="E29" i="1"/>
  <c r="F35" i="1"/>
  <c r="F27" i="1"/>
  <c r="F36" i="1" s="1"/>
  <c r="F29" i="1"/>
  <c r="G30" i="1"/>
  <c r="G39" i="1" s="1"/>
  <c r="I8" i="3" l="1"/>
  <c r="J8" i="3"/>
  <c r="K8" i="3" s="1"/>
  <c r="H30" i="1"/>
  <c r="H39" i="1" s="1"/>
  <c r="H38" i="1"/>
  <c r="F38" i="1"/>
  <c r="F30" i="1"/>
  <c r="F39" i="1" s="1"/>
  <c r="E30" i="1"/>
  <c r="E39" i="1" s="1"/>
  <c r="E38" i="1"/>
  <c r="D29" i="1"/>
  <c r="D35" i="1"/>
  <c r="D27" i="1"/>
  <c r="D36" i="1" s="1"/>
  <c r="L8" i="3" l="1"/>
  <c r="M8" i="3" s="1"/>
  <c r="D30" i="1"/>
  <c r="D39" i="1" s="1"/>
  <c r="D38" i="1"/>
</calcChain>
</file>

<file path=xl/sharedStrings.xml><?xml version="1.0" encoding="utf-8"?>
<sst xmlns="http://schemas.openxmlformats.org/spreadsheetml/2006/main" count="149" uniqueCount="102">
  <si>
    <t>baseline</t>
  </si>
  <si>
    <t>solar array size</t>
  </si>
  <si>
    <t>m2</t>
  </si>
  <si>
    <t>solar flux</t>
  </si>
  <si>
    <t>W/m2</t>
  </si>
  <si>
    <t>panel eff</t>
  </si>
  <si>
    <t>panel output</t>
  </si>
  <si>
    <t>kW</t>
  </si>
  <si>
    <t>orbit period</t>
  </si>
  <si>
    <t>min</t>
  </si>
  <si>
    <t>contact time</t>
  </si>
  <si>
    <t>non contact time</t>
  </si>
  <si>
    <t>out of eclipse percent</t>
  </si>
  <si>
    <t>charging duration</t>
  </si>
  <si>
    <t>storage energy / orbit</t>
  </si>
  <si>
    <t>kW hr</t>
  </si>
  <si>
    <t>orbits per day</t>
  </si>
  <si>
    <t>orbits</t>
  </si>
  <si>
    <t>eps eff</t>
  </si>
  <si>
    <t>spacecraft power need (decouple from solar array size)</t>
  </si>
  <si>
    <t>spacecraft power need</t>
  </si>
  <si>
    <t>KW hr</t>
  </si>
  <si>
    <t>stored energy for laser / orbit</t>
  </si>
  <si>
    <t>laser eff</t>
  </si>
  <si>
    <t>instant laser output</t>
  </si>
  <si>
    <t>number of 1kW lasers</t>
  </si>
  <si>
    <t>num of customers</t>
  </si>
  <si>
    <t>num of satellites</t>
  </si>
  <si>
    <t>energy/orbit</t>
  </si>
  <si>
    <t>energy/customer/orbit</t>
  </si>
  <si>
    <t>energy/day</t>
  </si>
  <si>
    <t>energy/customer/day</t>
  </si>
  <si>
    <t>average pointing eff</t>
  </si>
  <si>
    <t>receiver solar eff</t>
  </si>
  <si>
    <t>large consumer need</t>
  </si>
  <si>
    <t>W</t>
  </si>
  <si>
    <t>large consumer eff</t>
  </si>
  <si>
    <t>large consumer energy</t>
  </si>
  <si>
    <t>kWhr/day</t>
  </si>
  <si>
    <t>num large</t>
  </si>
  <si>
    <t>customers</t>
  </si>
  <si>
    <t>small consumer need</t>
  </si>
  <si>
    <t>small consumer eff</t>
  </si>
  <si>
    <t>small consumer energy</t>
  </si>
  <si>
    <t>num small</t>
  </si>
  <si>
    <t>beam energy/day large</t>
  </si>
  <si>
    <t>beam energy/day small</t>
  </si>
  <si>
    <t>kwhr/day</t>
  </si>
  <si>
    <t>laser payload cost</t>
  </si>
  <si>
    <t>MEuro</t>
  </si>
  <si>
    <t>spacecraft cost (no payload)</t>
  </si>
  <si>
    <t>number of spacecraft</t>
  </si>
  <si>
    <t>number of payloads/spacecraft</t>
  </si>
  <si>
    <t>cost per spacecraft</t>
  </si>
  <si>
    <t>cost of fleet</t>
  </si>
  <si>
    <t>spacecraft per launch</t>
  </si>
  <si>
    <t>launches</t>
  </si>
  <si>
    <t>cost per launch</t>
  </si>
  <si>
    <t>launch cost</t>
  </si>
  <si>
    <t>total system cost to orbit</t>
  </si>
  <si>
    <t>vehLong</t>
  </si>
  <si>
    <t>low</t>
  </si>
  <si>
    <t>high</t>
  </si>
  <si>
    <t>sunAngle</t>
  </si>
  <si>
    <t>inNight</t>
  </si>
  <si>
    <t>power available should afford desired # of lasers</t>
  </si>
  <si>
    <t>drives power available for lasers</t>
  </si>
  <si>
    <t>usable energy after receiving losses</t>
  </si>
  <si>
    <t>energy delivered to the surface</t>
  </si>
  <si>
    <t>anomaly</t>
  </si>
  <si>
    <t>lat</t>
  </si>
  <si>
    <t>R1</t>
  </si>
  <si>
    <t>deg</t>
  </si>
  <si>
    <t>rad</t>
  </si>
  <si>
    <t>cos(theta)</t>
  </si>
  <si>
    <t>sin(theta)</t>
  </si>
  <si>
    <t>R2</t>
  </si>
  <si>
    <t>cos(phi)</t>
  </si>
  <si>
    <t>sin(phi)</t>
  </si>
  <si>
    <t>-sin(phi)</t>
  </si>
  <si>
    <t>-sin(theta)</t>
  </si>
  <si>
    <t>long</t>
  </si>
  <si>
    <t>X</t>
  </si>
  <si>
    <t>Y</t>
  </si>
  <si>
    <t>Z</t>
  </si>
  <si>
    <t>S</t>
  </si>
  <si>
    <t>E</t>
  </si>
  <si>
    <t>U</t>
  </si>
  <si>
    <t>Radius</t>
  </si>
  <si>
    <t>veh</t>
  </si>
  <si>
    <t>sat</t>
  </si>
  <si>
    <t>sat-veh</t>
  </si>
  <si>
    <t>R2R1</t>
  </si>
  <si>
    <t>linear</t>
  </si>
  <si>
    <t>perp</t>
  </si>
  <si>
    <t>phi=90-L</t>
  </si>
  <si>
    <t>theta=long</t>
  </si>
  <si>
    <t>Az (rad)</t>
  </si>
  <si>
    <t>Az (deg)</t>
  </si>
  <si>
    <t>El (rad)</t>
  </si>
  <si>
    <t>El (deg)</t>
  </si>
  <si>
    <t>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</si>
</sst>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9" formatCode="0.000"/>
  </numFmts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9" fontId="0" fillId="2" borderId="0" xfId="0" applyNumberFormat="1" applyFill="1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/>
    <xf numFmtId="0" fontId="1" fillId="3" borderId="0" xfId="0" applyFont="1" applyFill="1"/>
    <xf numFmtId="9" fontId="1" fillId="3" borderId="0" xfId="0" applyNumberFormat="1" applyFont="1" applyFill="1"/>
    <xf numFmtId="0" fontId="0" fillId="4" borderId="0" xfId="0" applyFill="1"/>
    <xf numFmtId="2" fontId="0" fillId="4" borderId="0" xfId="0" applyNumberFormat="1" applyFill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center"/>
    </xf>
    <xf numFmtId="16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9" fontId="0" fillId="0" borderId="0" xfId="0" quotePrefix="1" applyNumberFormat="1" applyAlignment="1">
      <alignment horizontal="center"/>
    </xf>
    <xf numFmtId="169" fontId="0" fillId="0" borderId="0" xfId="0" applyNumberFormat="1"/>
    <xf numFmtId="0" fontId="0" fillId="5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6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0B46A-223E-4370-BADF-6F68045EC825}">
  <dimension ref="B1:W39"/>
  <sheetViews>
    <sheetView zoomScale="125" zoomScaleNormal="125" workbookViewId="0">
      <selection activeCell="V6" sqref="V6"/>
    </sheetView>
  </sheetViews>
  <sheetFormatPr baseColWidth="10" defaultColWidth="8.83203125" defaultRowHeight="15" x14ac:dyDescent="0.2"/>
  <cols>
    <col min="2" max="2" width="25.33203125" customWidth="1"/>
  </cols>
  <sheetData>
    <row r="1" spans="2:23" x14ac:dyDescent="0.2">
      <c r="G1" s="6" t="s">
        <v>0</v>
      </c>
      <c r="H1" s="6" t="s">
        <v>0</v>
      </c>
      <c r="N1" t="s">
        <v>69</v>
      </c>
      <c r="O1" t="s">
        <v>70</v>
      </c>
    </row>
    <row r="2" spans="2:23" x14ac:dyDescent="0.2">
      <c r="B2" t="s">
        <v>1</v>
      </c>
      <c r="C2" t="s">
        <v>2</v>
      </c>
      <c r="D2" s="5">
        <v>72</v>
      </c>
      <c r="E2" s="5">
        <f>72/11.6</f>
        <v>6.2068965517241379</v>
      </c>
      <c r="F2" s="5">
        <v>6.21</v>
      </c>
      <c r="G2" s="5">
        <v>12.42</v>
      </c>
      <c r="H2" s="5">
        <v>24.84</v>
      </c>
      <c r="I2" t="s">
        <v>66</v>
      </c>
      <c r="N2">
        <v>0</v>
      </c>
      <c r="O2">
        <v>90</v>
      </c>
      <c r="P2">
        <f>N2-180</f>
        <v>-180</v>
      </c>
      <c r="Q2">
        <f>MOD(P2,90)</f>
        <v>0</v>
      </c>
      <c r="R2">
        <f>IF(N2&gt;180,-MOD(N2,180),N2)</f>
        <v>0</v>
      </c>
      <c r="T2">
        <f>90-N2</f>
        <v>90</v>
      </c>
    </row>
    <row r="3" spans="2:23" x14ac:dyDescent="0.2">
      <c r="B3" t="s">
        <v>3</v>
      </c>
      <c r="C3" t="s">
        <v>4</v>
      </c>
      <c r="D3" s="5">
        <v>1373</v>
      </c>
      <c r="E3" s="5">
        <v>1373</v>
      </c>
      <c r="F3" s="5">
        <v>1373</v>
      </c>
      <c r="G3" s="5">
        <v>1373</v>
      </c>
      <c r="H3" s="5">
        <v>1373</v>
      </c>
      <c r="N3">
        <v>45</v>
      </c>
      <c r="O3">
        <v>45</v>
      </c>
      <c r="P3">
        <f t="shared" ref="P3:P9" si="0">N3-180</f>
        <v>-135</v>
      </c>
      <c r="Q3">
        <f t="shared" ref="Q3:Q9" si="1">MOD(P3,90)</f>
        <v>45</v>
      </c>
      <c r="R3">
        <f t="shared" ref="R3:R9" si="2">IF(N3&gt;180,-MOD(N3,180),N3)</f>
        <v>45</v>
      </c>
      <c r="T3">
        <f t="shared" ref="T3:T6" si="3">90-N3</f>
        <v>45</v>
      </c>
    </row>
    <row r="4" spans="2:23" x14ac:dyDescent="0.2">
      <c r="B4" t="s">
        <v>5</v>
      </c>
      <c r="D4" s="4">
        <v>0.3</v>
      </c>
      <c r="E4" s="4">
        <v>0.3</v>
      </c>
      <c r="F4" s="4">
        <v>0.3</v>
      </c>
      <c r="G4" s="4">
        <v>0.3</v>
      </c>
      <c r="H4" s="4">
        <v>0.3</v>
      </c>
      <c r="N4">
        <v>90</v>
      </c>
      <c r="O4">
        <v>0</v>
      </c>
      <c r="P4">
        <f t="shared" si="0"/>
        <v>-90</v>
      </c>
      <c r="Q4">
        <f t="shared" si="1"/>
        <v>0</v>
      </c>
      <c r="R4">
        <f t="shared" si="2"/>
        <v>90</v>
      </c>
      <c r="T4">
        <f t="shared" si="3"/>
        <v>0</v>
      </c>
    </row>
    <row r="5" spans="2:23" x14ac:dyDescent="0.2">
      <c r="B5" t="s">
        <v>6</v>
      </c>
      <c r="C5" t="s">
        <v>7</v>
      </c>
      <c r="D5" s="2">
        <f>D2*D3*D4/1000</f>
        <v>29.6568</v>
      </c>
      <c r="E5" s="2">
        <f>E2*E3*E4/1000</f>
        <v>2.5566206896551722</v>
      </c>
      <c r="F5" s="2">
        <f>F2*F3*F4/1000</f>
        <v>2.5578989999999999</v>
      </c>
      <c r="G5" s="2">
        <f>G2*G3*G4/1000</f>
        <v>5.1157979999999998</v>
      </c>
      <c r="H5" s="2">
        <f>H2*H3*H4/1000</f>
        <v>10.231596</v>
      </c>
      <c r="N5">
        <v>120</v>
      </c>
      <c r="O5">
        <v>-30</v>
      </c>
      <c r="P5">
        <f t="shared" si="0"/>
        <v>-60</v>
      </c>
      <c r="Q5">
        <f t="shared" si="1"/>
        <v>30</v>
      </c>
      <c r="R5">
        <f t="shared" si="2"/>
        <v>120</v>
      </c>
      <c r="T5">
        <f t="shared" si="3"/>
        <v>-30</v>
      </c>
    </row>
    <row r="6" spans="2:23" x14ac:dyDescent="0.2">
      <c r="N6">
        <v>180</v>
      </c>
      <c r="O6">
        <v>-90</v>
      </c>
      <c r="P6">
        <f t="shared" si="0"/>
        <v>0</v>
      </c>
      <c r="Q6">
        <f t="shared" si="1"/>
        <v>0</v>
      </c>
      <c r="R6">
        <f t="shared" si="2"/>
        <v>180</v>
      </c>
      <c r="T6">
        <f t="shared" si="3"/>
        <v>-90</v>
      </c>
    </row>
    <row r="7" spans="2:23" x14ac:dyDescent="0.2">
      <c r="B7" t="s">
        <v>8</v>
      </c>
      <c r="C7" t="s">
        <v>9</v>
      </c>
      <c r="D7" s="5">
        <v>148</v>
      </c>
      <c r="E7" s="5">
        <v>148</v>
      </c>
      <c r="F7" s="5">
        <v>148</v>
      </c>
      <c r="G7" s="5">
        <v>148</v>
      </c>
      <c r="H7" s="5">
        <v>148</v>
      </c>
      <c r="N7">
        <v>220</v>
      </c>
      <c r="O7">
        <v>-50</v>
      </c>
      <c r="P7">
        <f t="shared" si="0"/>
        <v>40</v>
      </c>
      <c r="Q7">
        <f t="shared" si="1"/>
        <v>40</v>
      </c>
      <c r="R7">
        <f t="shared" si="2"/>
        <v>-40</v>
      </c>
      <c r="T7">
        <f>-90+MOD(N7,180)</f>
        <v>-50</v>
      </c>
    </row>
    <row r="8" spans="2:23" x14ac:dyDescent="0.2">
      <c r="B8" t="s">
        <v>10</v>
      </c>
      <c r="C8" t="s">
        <v>9</v>
      </c>
      <c r="D8" s="5">
        <v>21</v>
      </c>
      <c r="E8" s="5">
        <v>21</v>
      </c>
      <c r="F8" s="5">
        <v>21</v>
      </c>
      <c r="G8" s="5">
        <v>21</v>
      </c>
      <c r="H8" s="5">
        <v>21</v>
      </c>
      <c r="N8">
        <v>270</v>
      </c>
      <c r="O8">
        <v>0</v>
      </c>
      <c r="P8">
        <f t="shared" si="0"/>
        <v>90</v>
      </c>
      <c r="Q8">
        <f t="shared" si="1"/>
        <v>0</v>
      </c>
      <c r="R8">
        <f t="shared" si="2"/>
        <v>-90</v>
      </c>
      <c r="T8">
        <f t="shared" ref="T8:T9" si="4">-90+MOD(N8,180)</f>
        <v>0</v>
      </c>
    </row>
    <row r="9" spans="2:23" x14ac:dyDescent="0.2">
      <c r="B9" t="s">
        <v>11</v>
      </c>
      <c r="C9" t="s">
        <v>9</v>
      </c>
      <c r="D9">
        <f>D7-D8</f>
        <v>127</v>
      </c>
      <c r="E9">
        <f>E7-E8</f>
        <v>127</v>
      </c>
      <c r="F9">
        <f>F7-F8</f>
        <v>127</v>
      </c>
      <c r="G9">
        <f>G7-G8</f>
        <v>127</v>
      </c>
      <c r="H9">
        <f>H7-H8</f>
        <v>127</v>
      </c>
      <c r="N9">
        <v>330</v>
      </c>
      <c r="O9">
        <v>60</v>
      </c>
      <c r="P9">
        <f t="shared" si="0"/>
        <v>150</v>
      </c>
      <c r="Q9">
        <f t="shared" si="1"/>
        <v>60</v>
      </c>
      <c r="R9">
        <f t="shared" si="2"/>
        <v>-150</v>
      </c>
      <c r="T9">
        <f t="shared" si="4"/>
        <v>60</v>
      </c>
    </row>
    <row r="10" spans="2:23" x14ac:dyDescent="0.2">
      <c r="B10" t="s">
        <v>12</v>
      </c>
      <c r="D10" s="4">
        <v>0.74</v>
      </c>
      <c r="E10" s="4">
        <v>0.74</v>
      </c>
      <c r="F10" s="4">
        <v>0.74</v>
      </c>
      <c r="G10" s="4">
        <v>0.74</v>
      </c>
      <c r="H10" s="4">
        <v>0.74</v>
      </c>
    </row>
    <row r="11" spans="2:23" x14ac:dyDescent="0.2">
      <c r="B11" t="s">
        <v>13</v>
      </c>
      <c r="C11" t="s">
        <v>9</v>
      </c>
      <c r="D11" s="3">
        <f>D7*D10</f>
        <v>109.52</v>
      </c>
      <c r="E11" s="3">
        <f>E7*E10</f>
        <v>109.52</v>
      </c>
      <c r="F11" s="3">
        <f>F7*F10</f>
        <v>109.52</v>
      </c>
      <c r="G11" s="3">
        <f>G7*G10</f>
        <v>109.52</v>
      </c>
      <c r="H11" s="3">
        <f>H7*H10</f>
        <v>109.52</v>
      </c>
    </row>
    <row r="12" spans="2:23" x14ac:dyDescent="0.2">
      <c r="B12" t="s">
        <v>14</v>
      </c>
      <c r="C12" t="s">
        <v>15</v>
      </c>
      <c r="D12" s="2">
        <f>D5*D11/60</f>
        <v>54.133545600000005</v>
      </c>
      <c r="E12" s="2">
        <f>E5*E11/60</f>
        <v>4.6666849655172404</v>
      </c>
      <c r="F12" s="2">
        <f>F5*F11/60</f>
        <v>4.6690183080000001</v>
      </c>
      <c r="G12" s="2">
        <f>G5*G11/60</f>
        <v>9.3380366160000001</v>
      </c>
      <c r="H12" s="2">
        <f>H5*H11/60</f>
        <v>18.676073232</v>
      </c>
      <c r="M12" t="s">
        <v>60</v>
      </c>
      <c r="P12" t="s">
        <v>63</v>
      </c>
      <c r="Q12" t="s">
        <v>62</v>
      </c>
      <c r="R12" t="s">
        <v>61</v>
      </c>
      <c r="S12" t="s">
        <v>61</v>
      </c>
      <c r="U12" t="s">
        <v>61</v>
      </c>
      <c r="V12" t="s">
        <v>62</v>
      </c>
      <c r="W12" t="s">
        <v>64</v>
      </c>
    </row>
    <row r="13" spans="2:23" x14ac:dyDescent="0.2">
      <c r="B13" t="s">
        <v>16</v>
      </c>
      <c r="C13" t="s">
        <v>17</v>
      </c>
      <c r="D13" s="2">
        <f>24*60/D7</f>
        <v>9.7297297297297298</v>
      </c>
      <c r="E13" s="2">
        <f>24*60/E7</f>
        <v>9.7297297297297298</v>
      </c>
      <c r="F13" s="2">
        <f>24*60/F7</f>
        <v>9.7297297297297298</v>
      </c>
      <c r="G13" s="2">
        <f>24*60/G7</f>
        <v>9.7297297297297298</v>
      </c>
      <c r="H13" s="2">
        <f>24*60/H7</f>
        <v>9.7297297297297298</v>
      </c>
      <c r="L13">
        <v>-180</v>
      </c>
      <c r="M13">
        <f>MOD(L13+360,360)</f>
        <v>180</v>
      </c>
      <c r="N13">
        <f>L13+360</f>
        <v>180</v>
      </c>
      <c r="P13">
        <v>0</v>
      </c>
      <c r="Q13">
        <f t="shared" ref="Q13:Q25" si="5">MOD(P13+90, 360)</f>
        <v>90</v>
      </c>
      <c r="R13">
        <f t="shared" ref="R13:R25" si="6">MOD(P13+270, 360)</f>
        <v>270</v>
      </c>
      <c r="S13">
        <f>P13+360-90</f>
        <v>270</v>
      </c>
      <c r="T13">
        <f>P13+360+90</f>
        <v>450</v>
      </c>
      <c r="U13">
        <f>IF(M$13&lt;R13,1,0)</f>
        <v>1</v>
      </c>
      <c r="V13">
        <f>IF($M13&lt;Q13, 1, 0)</f>
        <v>0</v>
      </c>
      <c r="W13" t="b">
        <f>AND(U13:V13)</f>
        <v>0</v>
      </c>
    </row>
    <row r="14" spans="2:23" x14ac:dyDescent="0.2">
      <c r="L14">
        <v>-150</v>
      </c>
      <c r="M14">
        <f t="shared" ref="M14:M25" si="7">MOD(L14+360,360)</f>
        <v>210</v>
      </c>
      <c r="N14">
        <f t="shared" ref="N14:N25" si="8">L14+360</f>
        <v>210</v>
      </c>
      <c r="P14">
        <v>30</v>
      </c>
      <c r="Q14">
        <f t="shared" si="5"/>
        <v>120</v>
      </c>
      <c r="R14">
        <f t="shared" si="6"/>
        <v>300</v>
      </c>
      <c r="S14">
        <f t="shared" ref="S14:S25" si="9">P14+360-90</f>
        <v>300</v>
      </c>
      <c r="T14">
        <f t="shared" ref="T14:T25" si="10">P14+360+90</f>
        <v>480</v>
      </c>
      <c r="U14">
        <f t="shared" ref="U14:U25" si="11">IF(M$13&lt;R14,1,0)</f>
        <v>1</v>
      </c>
      <c r="V14">
        <f t="shared" ref="V14:V25" si="12">IF($M14&lt;Q14, 1, 0)</f>
        <v>0</v>
      </c>
      <c r="W14" t="b">
        <f t="shared" ref="W14:W25" si="13">AND(U14:V14)</f>
        <v>0</v>
      </c>
    </row>
    <row r="15" spans="2:23" x14ac:dyDescent="0.2">
      <c r="B15" t="s">
        <v>18</v>
      </c>
      <c r="D15" s="4">
        <v>0.3</v>
      </c>
      <c r="E15" s="4">
        <v>0.3</v>
      </c>
      <c r="F15" s="4">
        <v>0.3</v>
      </c>
      <c r="G15" s="4">
        <v>0.3</v>
      </c>
      <c r="H15" s="4">
        <v>0.3</v>
      </c>
      <c r="L15">
        <v>-120</v>
      </c>
      <c r="M15">
        <f t="shared" si="7"/>
        <v>240</v>
      </c>
      <c r="N15">
        <f t="shared" si="8"/>
        <v>240</v>
      </c>
      <c r="P15">
        <v>60</v>
      </c>
      <c r="Q15">
        <f t="shared" si="5"/>
        <v>150</v>
      </c>
      <c r="R15">
        <f t="shared" si="6"/>
        <v>330</v>
      </c>
      <c r="S15">
        <f t="shared" si="9"/>
        <v>330</v>
      </c>
      <c r="T15">
        <f t="shared" si="10"/>
        <v>510</v>
      </c>
      <c r="U15">
        <f t="shared" si="11"/>
        <v>1</v>
      </c>
      <c r="V15">
        <f t="shared" si="12"/>
        <v>0</v>
      </c>
      <c r="W15" t="b">
        <f t="shared" si="13"/>
        <v>0</v>
      </c>
    </row>
    <row r="16" spans="2:23" x14ac:dyDescent="0.2">
      <c r="B16" t="s">
        <v>19</v>
      </c>
      <c r="D16" s="4">
        <v>0.15</v>
      </c>
      <c r="E16" s="4">
        <v>0.15</v>
      </c>
      <c r="F16" s="4">
        <v>0.15</v>
      </c>
      <c r="G16" s="4">
        <v>0.15</v>
      </c>
      <c r="H16" s="4">
        <v>0.15</v>
      </c>
      <c r="L16">
        <v>-90</v>
      </c>
      <c r="M16">
        <f t="shared" si="7"/>
        <v>270</v>
      </c>
      <c r="N16">
        <f t="shared" si="8"/>
        <v>270</v>
      </c>
      <c r="P16" s="10">
        <v>90</v>
      </c>
      <c r="Q16" s="10">
        <f t="shared" si="5"/>
        <v>180</v>
      </c>
      <c r="R16" s="10">
        <f t="shared" si="6"/>
        <v>0</v>
      </c>
      <c r="S16">
        <f t="shared" si="9"/>
        <v>360</v>
      </c>
      <c r="T16">
        <f t="shared" si="10"/>
        <v>540</v>
      </c>
      <c r="U16">
        <f t="shared" si="11"/>
        <v>0</v>
      </c>
      <c r="V16">
        <f t="shared" si="12"/>
        <v>0</v>
      </c>
      <c r="W16" t="b">
        <f t="shared" si="13"/>
        <v>0</v>
      </c>
    </row>
    <row r="17" spans="2:23" x14ac:dyDescent="0.2">
      <c r="B17" t="s">
        <v>20</v>
      </c>
      <c r="C17" t="s">
        <v>21</v>
      </c>
      <c r="D17" s="1">
        <f>D12*D15*D16</f>
        <v>2.4360095520000002</v>
      </c>
      <c r="E17" s="1">
        <f>E12*E15*E16</f>
        <v>0.21000082344827581</v>
      </c>
      <c r="F17" s="1">
        <f>F12*F15*F16</f>
        <v>0.21010582385999999</v>
      </c>
      <c r="G17" s="1">
        <f>G12*G15*G16</f>
        <v>0.42021164771999997</v>
      </c>
      <c r="H17" s="1">
        <f>H12*H15*H16</f>
        <v>0.84042329543999994</v>
      </c>
      <c r="L17">
        <v>-60</v>
      </c>
      <c r="M17">
        <f t="shared" si="7"/>
        <v>300</v>
      </c>
      <c r="N17">
        <f t="shared" si="8"/>
        <v>300</v>
      </c>
      <c r="P17" s="10">
        <v>120</v>
      </c>
      <c r="Q17" s="10">
        <f t="shared" si="5"/>
        <v>210</v>
      </c>
      <c r="R17" s="10">
        <f t="shared" si="6"/>
        <v>30</v>
      </c>
      <c r="S17">
        <f t="shared" si="9"/>
        <v>390</v>
      </c>
      <c r="T17">
        <f t="shared" si="10"/>
        <v>570</v>
      </c>
      <c r="U17">
        <f t="shared" si="11"/>
        <v>0</v>
      </c>
      <c r="V17">
        <f t="shared" si="12"/>
        <v>0</v>
      </c>
      <c r="W17" t="b">
        <f t="shared" si="13"/>
        <v>0</v>
      </c>
    </row>
    <row r="18" spans="2:23" x14ac:dyDescent="0.2">
      <c r="B18" t="s">
        <v>22</v>
      </c>
      <c r="C18" t="s">
        <v>15</v>
      </c>
      <c r="D18" s="2">
        <f>D12*D15</f>
        <v>16.240063680000002</v>
      </c>
      <c r="E18" s="2">
        <f>E12*E15</f>
        <v>1.4000054896551721</v>
      </c>
      <c r="F18" s="2">
        <f>F12*F15</f>
        <v>1.4007054924</v>
      </c>
      <c r="G18" s="2">
        <f>G12*G15</f>
        <v>2.8014109847999999</v>
      </c>
      <c r="H18" s="2">
        <f>H12*H15</f>
        <v>5.6028219695999999</v>
      </c>
      <c r="L18">
        <v>-30</v>
      </c>
      <c r="M18">
        <f t="shared" si="7"/>
        <v>330</v>
      </c>
      <c r="N18">
        <f t="shared" si="8"/>
        <v>330</v>
      </c>
      <c r="P18" s="10">
        <v>150</v>
      </c>
      <c r="Q18" s="10">
        <f t="shared" si="5"/>
        <v>240</v>
      </c>
      <c r="R18" s="10">
        <f t="shared" si="6"/>
        <v>60</v>
      </c>
      <c r="S18">
        <f t="shared" si="9"/>
        <v>420</v>
      </c>
      <c r="T18">
        <f t="shared" si="10"/>
        <v>600</v>
      </c>
      <c r="U18">
        <f t="shared" si="11"/>
        <v>0</v>
      </c>
      <c r="V18">
        <f t="shared" si="12"/>
        <v>0</v>
      </c>
      <c r="W18" t="b">
        <f t="shared" si="13"/>
        <v>0</v>
      </c>
    </row>
    <row r="19" spans="2:23" x14ac:dyDescent="0.2">
      <c r="B19" t="s">
        <v>23</v>
      </c>
      <c r="D19" s="4">
        <v>0.25</v>
      </c>
      <c r="E19" s="4">
        <v>0.25</v>
      </c>
      <c r="F19" s="4">
        <v>0.25</v>
      </c>
      <c r="G19" s="4">
        <v>0.25</v>
      </c>
      <c r="H19" s="4">
        <v>0.25</v>
      </c>
      <c r="L19">
        <v>0</v>
      </c>
      <c r="M19">
        <f t="shared" si="7"/>
        <v>0</v>
      </c>
      <c r="N19">
        <f t="shared" si="8"/>
        <v>360</v>
      </c>
      <c r="P19" s="10">
        <v>180</v>
      </c>
      <c r="Q19" s="10">
        <f t="shared" si="5"/>
        <v>270</v>
      </c>
      <c r="R19" s="10">
        <f t="shared" si="6"/>
        <v>90</v>
      </c>
      <c r="S19">
        <f t="shared" si="9"/>
        <v>450</v>
      </c>
      <c r="T19">
        <f t="shared" si="10"/>
        <v>630</v>
      </c>
      <c r="U19">
        <f t="shared" si="11"/>
        <v>0</v>
      </c>
      <c r="V19">
        <f t="shared" si="12"/>
        <v>1</v>
      </c>
      <c r="W19" t="b">
        <f t="shared" si="13"/>
        <v>0</v>
      </c>
    </row>
    <row r="20" spans="2:23" x14ac:dyDescent="0.2">
      <c r="B20" t="s">
        <v>24</v>
      </c>
      <c r="C20" t="s">
        <v>7</v>
      </c>
      <c r="D20" s="1">
        <f>D18/21*60*D19</f>
        <v>11.600045485714286</v>
      </c>
      <c r="E20" s="1">
        <f>E18/21*60*E19</f>
        <v>1.0000039211822658</v>
      </c>
      <c r="F20" s="11">
        <f>F18/21*60*F19</f>
        <v>1.0005039231428572</v>
      </c>
      <c r="G20" s="11">
        <f>G18/21*60*G19</f>
        <v>2.0010078462857144</v>
      </c>
      <c r="H20" s="11">
        <f>H18/21*60*H19</f>
        <v>4.0020156925714288</v>
      </c>
      <c r="I20" s="12" t="s">
        <v>65</v>
      </c>
      <c r="J20" s="12"/>
      <c r="L20">
        <v>30</v>
      </c>
      <c r="M20">
        <f t="shared" si="7"/>
        <v>30</v>
      </c>
      <c r="N20">
        <f t="shared" si="8"/>
        <v>390</v>
      </c>
      <c r="P20" s="10">
        <v>210</v>
      </c>
      <c r="Q20" s="10">
        <f t="shared" si="5"/>
        <v>300</v>
      </c>
      <c r="R20" s="10">
        <f t="shared" si="6"/>
        <v>120</v>
      </c>
      <c r="S20">
        <f t="shared" si="9"/>
        <v>480</v>
      </c>
      <c r="T20">
        <f t="shared" si="10"/>
        <v>660</v>
      </c>
      <c r="U20">
        <f t="shared" si="11"/>
        <v>0</v>
      </c>
      <c r="V20">
        <f t="shared" si="12"/>
        <v>1</v>
      </c>
      <c r="W20" t="b">
        <f t="shared" si="13"/>
        <v>0</v>
      </c>
    </row>
    <row r="21" spans="2:23" x14ac:dyDescent="0.2">
      <c r="I21" s="12"/>
      <c r="J21" s="12"/>
      <c r="L21">
        <v>60</v>
      </c>
      <c r="M21">
        <f t="shared" si="7"/>
        <v>60</v>
      </c>
      <c r="N21">
        <f t="shared" si="8"/>
        <v>420</v>
      </c>
      <c r="P21" s="10">
        <v>240</v>
      </c>
      <c r="Q21" s="10">
        <f t="shared" si="5"/>
        <v>330</v>
      </c>
      <c r="R21" s="10">
        <f t="shared" si="6"/>
        <v>150</v>
      </c>
      <c r="S21">
        <f t="shared" si="9"/>
        <v>510</v>
      </c>
      <c r="T21">
        <f t="shared" si="10"/>
        <v>690</v>
      </c>
      <c r="U21">
        <f t="shared" si="11"/>
        <v>0</v>
      </c>
      <c r="V21">
        <f t="shared" si="12"/>
        <v>1</v>
      </c>
      <c r="W21" t="b">
        <f t="shared" si="13"/>
        <v>0</v>
      </c>
    </row>
    <row r="22" spans="2:23" x14ac:dyDescent="0.2">
      <c r="B22" t="s">
        <v>25</v>
      </c>
      <c r="D22">
        <f t="shared" ref="D22:F22" si="14">FLOOR(D20,1)</f>
        <v>11</v>
      </c>
      <c r="E22">
        <f t="shared" si="14"/>
        <v>1</v>
      </c>
      <c r="F22" s="10">
        <f t="shared" si="14"/>
        <v>1</v>
      </c>
      <c r="G22" s="10">
        <f>FLOOR(G20,1)</f>
        <v>2</v>
      </c>
      <c r="H22" s="10">
        <f>FLOOR(H20,1)</f>
        <v>4</v>
      </c>
      <c r="I22" s="12"/>
      <c r="J22" s="12"/>
      <c r="L22">
        <v>90</v>
      </c>
      <c r="M22">
        <f t="shared" si="7"/>
        <v>90</v>
      </c>
      <c r="N22">
        <f t="shared" si="8"/>
        <v>450</v>
      </c>
      <c r="P22">
        <v>270</v>
      </c>
      <c r="Q22">
        <f t="shared" si="5"/>
        <v>0</v>
      </c>
      <c r="R22">
        <f t="shared" si="6"/>
        <v>180</v>
      </c>
      <c r="S22">
        <f t="shared" si="9"/>
        <v>540</v>
      </c>
      <c r="T22">
        <f t="shared" si="10"/>
        <v>720</v>
      </c>
      <c r="U22">
        <f t="shared" si="11"/>
        <v>0</v>
      </c>
      <c r="V22">
        <f t="shared" si="12"/>
        <v>0</v>
      </c>
      <c r="W22" t="b">
        <f t="shared" si="13"/>
        <v>0</v>
      </c>
    </row>
    <row r="23" spans="2:23" x14ac:dyDescent="0.2">
      <c r="B23" t="s">
        <v>26</v>
      </c>
      <c r="D23">
        <v>8</v>
      </c>
      <c r="E23">
        <v>8</v>
      </c>
      <c r="F23">
        <v>8</v>
      </c>
      <c r="G23">
        <v>8</v>
      </c>
      <c r="H23">
        <v>8</v>
      </c>
      <c r="L23">
        <v>120</v>
      </c>
      <c r="M23">
        <f t="shared" si="7"/>
        <v>120</v>
      </c>
      <c r="N23">
        <f t="shared" si="8"/>
        <v>480</v>
      </c>
      <c r="P23">
        <v>300</v>
      </c>
      <c r="Q23">
        <f t="shared" si="5"/>
        <v>30</v>
      </c>
      <c r="R23">
        <f t="shared" si="6"/>
        <v>210</v>
      </c>
      <c r="S23">
        <f t="shared" si="9"/>
        <v>570</v>
      </c>
      <c r="T23">
        <f t="shared" si="10"/>
        <v>750</v>
      </c>
      <c r="U23">
        <f t="shared" si="11"/>
        <v>1</v>
      </c>
      <c r="V23">
        <f t="shared" si="12"/>
        <v>0</v>
      </c>
      <c r="W23" t="b">
        <f t="shared" si="13"/>
        <v>0</v>
      </c>
    </row>
    <row r="24" spans="2:23" x14ac:dyDescent="0.2">
      <c r="B24" t="s">
        <v>27</v>
      </c>
      <c r="D24">
        <v>1</v>
      </c>
      <c r="E24">
        <v>1</v>
      </c>
      <c r="F24">
        <v>1</v>
      </c>
      <c r="G24">
        <v>1</v>
      </c>
      <c r="H24">
        <v>1</v>
      </c>
      <c r="L24">
        <v>150</v>
      </c>
      <c r="M24">
        <f t="shared" si="7"/>
        <v>150</v>
      </c>
      <c r="N24">
        <f t="shared" si="8"/>
        <v>510</v>
      </c>
      <c r="P24">
        <v>330</v>
      </c>
      <c r="Q24">
        <f t="shared" si="5"/>
        <v>60</v>
      </c>
      <c r="R24">
        <f t="shared" si="6"/>
        <v>240</v>
      </c>
      <c r="S24">
        <f t="shared" si="9"/>
        <v>600</v>
      </c>
      <c r="T24">
        <f t="shared" si="10"/>
        <v>780</v>
      </c>
      <c r="U24">
        <f t="shared" si="11"/>
        <v>1</v>
      </c>
      <c r="V24">
        <f t="shared" si="12"/>
        <v>0</v>
      </c>
      <c r="W24" t="b">
        <f t="shared" si="13"/>
        <v>0</v>
      </c>
    </row>
    <row r="25" spans="2:23" x14ac:dyDescent="0.2">
      <c r="L25">
        <v>180</v>
      </c>
      <c r="M25">
        <f t="shared" si="7"/>
        <v>180</v>
      </c>
      <c r="N25">
        <f t="shared" si="8"/>
        <v>540</v>
      </c>
      <c r="P25">
        <v>360</v>
      </c>
      <c r="Q25">
        <f t="shared" si="5"/>
        <v>90</v>
      </c>
      <c r="R25">
        <f t="shared" si="6"/>
        <v>270</v>
      </c>
      <c r="S25">
        <f t="shared" si="9"/>
        <v>630</v>
      </c>
      <c r="T25">
        <f t="shared" si="10"/>
        <v>810</v>
      </c>
      <c r="U25">
        <f t="shared" si="11"/>
        <v>1</v>
      </c>
      <c r="V25">
        <f t="shared" si="12"/>
        <v>0</v>
      </c>
      <c r="W25" t="b">
        <f t="shared" si="13"/>
        <v>0</v>
      </c>
    </row>
    <row r="26" spans="2:23" x14ac:dyDescent="0.2">
      <c r="B26" t="s">
        <v>28</v>
      </c>
      <c r="C26" t="s">
        <v>15</v>
      </c>
      <c r="D26" s="1">
        <f>D20*D8/60</f>
        <v>4.0600159200000006</v>
      </c>
      <c r="E26" s="1">
        <f>E20*E8/60</f>
        <v>0.35000137241379303</v>
      </c>
      <c r="F26" s="1">
        <f>F20*F8/60</f>
        <v>0.35017637309999999</v>
      </c>
      <c r="G26" s="1">
        <f>G20*G8/60</f>
        <v>0.70035274619999999</v>
      </c>
      <c r="H26" s="1">
        <f>H20*H8/60</f>
        <v>1.4007054924</v>
      </c>
      <c r="I26" t="s">
        <v>68</v>
      </c>
    </row>
    <row r="27" spans="2:23" x14ac:dyDescent="0.2">
      <c r="B27" t="s">
        <v>29</v>
      </c>
      <c r="C27" t="s">
        <v>15</v>
      </c>
      <c r="D27" s="1">
        <f t="shared" ref="D27:F27" si="15">D26/D23</f>
        <v>0.50750199000000007</v>
      </c>
      <c r="E27" s="1">
        <f t="shared" si="15"/>
        <v>4.3750171551724129E-2</v>
      </c>
      <c r="F27" s="1">
        <f t="shared" si="15"/>
        <v>4.3772046637499999E-2</v>
      </c>
      <c r="G27" s="1">
        <f>G26/G23</f>
        <v>8.7544093274999998E-2</v>
      </c>
      <c r="H27" s="1">
        <f>H26/H23</f>
        <v>0.17508818655</v>
      </c>
    </row>
    <row r="29" spans="2:23" x14ac:dyDescent="0.2">
      <c r="B29" t="s">
        <v>30</v>
      </c>
      <c r="C29" t="s">
        <v>15</v>
      </c>
      <c r="D29" s="1">
        <f>D26*D13</f>
        <v>39.502857600000006</v>
      </c>
      <c r="E29" s="1">
        <f>E26*E13</f>
        <v>3.405418758620689</v>
      </c>
      <c r="F29" s="1">
        <f>F26*F13</f>
        <v>3.4071214680000002</v>
      </c>
      <c r="G29" s="1">
        <f>G26*G13</f>
        <v>6.8142429360000003</v>
      </c>
      <c r="H29" s="1">
        <f>H26*H13</f>
        <v>13.628485872000001</v>
      </c>
    </row>
    <row r="30" spans="2:23" x14ac:dyDescent="0.2">
      <c r="B30" t="s">
        <v>31</v>
      </c>
      <c r="C30" t="s">
        <v>15</v>
      </c>
      <c r="D30" s="1">
        <f t="shared" ref="D30:F30" si="16">D29/D23</f>
        <v>4.9378572000000007</v>
      </c>
      <c r="E30" s="1">
        <f t="shared" si="16"/>
        <v>0.42567734482758612</v>
      </c>
      <c r="F30" s="1">
        <f t="shared" si="16"/>
        <v>0.42589018350000002</v>
      </c>
      <c r="G30" s="1">
        <f>G29/G23</f>
        <v>0.85178036700000004</v>
      </c>
      <c r="H30" s="1">
        <f>H29/H23</f>
        <v>1.7035607340000001</v>
      </c>
    </row>
    <row r="32" spans="2:23" x14ac:dyDescent="0.2">
      <c r="B32" t="s">
        <v>32</v>
      </c>
      <c r="D32" s="4">
        <v>0.85</v>
      </c>
      <c r="E32" s="4">
        <v>0.85</v>
      </c>
      <c r="F32" s="4">
        <v>0.85</v>
      </c>
      <c r="G32" s="4">
        <v>0.85</v>
      </c>
      <c r="H32" s="4">
        <v>0.85</v>
      </c>
    </row>
    <row r="33" spans="2:9" x14ac:dyDescent="0.2">
      <c r="B33" t="s">
        <v>33</v>
      </c>
      <c r="D33" s="4">
        <v>0.4</v>
      </c>
      <c r="E33" s="4">
        <v>0.4</v>
      </c>
      <c r="F33" s="4">
        <v>0.4</v>
      </c>
      <c r="G33" s="4">
        <v>0.4</v>
      </c>
      <c r="H33" s="4">
        <v>0.4</v>
      </c>
    </row>
    <row r="35" spans="2:9" x14ac:dyDescent="0.2">
      <c r="B35" t="s">
        <v>28</v>
      </c>
      <c r="C35" t="s">
        <v>15</v>
      </c>
      <c r="D35" s="1">
        <f t="shared" ref="D35:F35" si="17">D26*D$33*D$32</f>
        <v>1.3804054128000003</v>
      </c>
      <c r="E35" s="1">
        <f t="shared" si="17"/>
        <v>0.11900046662068964</v>
      </c>
      <c r="F35" s="1">
        <f t="shared" si="17"/>
        <v>0.119059966854</v>
      </c>
      <c r="G35" s="1">
        <f>G26*G$33*G$32</f>
        <v>0.238119933708</v>
      </c>
      <c r="H35" s="1">
        <f>H26*H$33*H$32</f>
        <v>0.476239867416</v>
      </c>
      <c r="I35" t="s">
        <v>67</v>
      </c>
    </row>
    <row r="36" spans="2:9" x14ac:dyDescent="0.2">
      <c r="B36" t="s">
        <v>29</v>
      </c>
      <c r="C36" t="s">
        <v>15</v>
      </c>
      <c r="D36" s="1">
        <f t="shared" ref="D36:F36" si="18">D27*D$33*D$32</f>
        <v>0.17255067660000004</v>
      </c>
      <c r="E36" s="1">
        <f t="shared" si="18"/>
        <v>1.4875058327586205E-2</v>
      </c>
      <c r="F36" s="1">
        <f t="shared" si="18"/>
        <v>1.488249585675E-2</v>
      </c>
      <c r="G36" s="1">
        <f>G27*G$33*G$32</f>
        <v>2.97649917135E-2</v>
      </c>
      <c r="H36" s="1">
        <f>H27*H$33*H$32</f>
        <v>5.9529983426999999E-2</v>
      </c>
    </row>
    <row r="37" spans="2:9" x14ac:dyDescent="0.2">
      <c r="C37" s="1"/>
      <c r="D37" s="1"/>
      <c r="E37" s="1"/>
      <c r="F37" s="1"/>
      <c r="G37" s="1"/>
      <c r="H37" s="1"/>
    </row>
    <row r="38" spans="2:9" x14ac:dyDescent="0.2">
      <c r="B38" t="s">
        <v>30</v>
      </c>
      <c r="C38" t="s">
        <v>15</v>
      </c>
      <c r="D38" s="1">
        <f t="shared" ref="D38:F38" si="19">D29*D$33*D$32</f>
        <v>13.430971584000002</v>
      </c>
      <c r="E38" s="1">
        <f t="shared" si="19"/>
        <v>1.1578423779310343</v>
      </c>
      <c r="F38" s="1">
        <f t="shared" si="19"/>
        <v>1.1584212991200002</v>
      </c>
      <c r="G38" s="1">
        <f>G29*G$33*G$32</f>
        <v>2.3168425982400005</v>
      </c>
      <c r="H38" s="1">
        <f>H29*H$33*H$32</f>
        <v>4.633685196480001</v>
      </c>
    </row>
    <row r="39" spans="2:9" x14ac:dyDescent="0.2">
      <c r="B39" t="s">
        <v>31</v>
      </c>
      <c r="C39" t="s">
        <v>15</v>
      </c>
      <c r="D39" s="1">
        <f t="shared" ref="D39:F39" si="20">D30*D$33*D$32</f>
        <v>1.6788714480000002</v>
      </c>
      <c r="E39" s="1">
        <f t="shared" si="20"/>
        <v>0.14473029724137929</v>
      </c>
      <c r="F39" s="1">
        <f t="shared" si="20"/>
        <v>0.14480266239000003</v>
      </c>
      <c r="G39" s="1">
        <f>G30*G$33*G$32</f>
        <v>0.28960532478000006</v>
      </c>
      <c r="H39" s="1">
        <f>H30*H$33*H$32</f>
        <v>0.57921064956000012</v>
      </c>
    </row>
  </sheetData>
  <mergeCells count="1">
    <mergeCell ref="I20:J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0DE7-7053-48E5-A37D-9197A6AFEE4B}">
  <dimension ref="A1:E29"/>
  <sheetViews>
    <sheetView workbookViewId="0">
      <selection activeCell="I22" sqref="I22"/>
    </sheetView>
  </sheetViews>
  <sheetFormatPr baseColWidth="10" defaultColWidth="8.83203125" defaultRowHeight="15" x14ac:dyDescent="0.2"/>
  <cols>
    <col min="1" max="1" width="24.83203125" customWidth="1"/>
    <col min="2" max="2" width="10.83203125" customWidth="1"/>
  </cols>
  <sheetData>
    <row r="1" spans="1:5" ht="16" x14ac:dyDescent="0.2">
      <c r="A1" s="7" t="s">
        <v>34</v>
      </c>
      <c r="B1" s="7" t="s">
        <v>35</v>
      </c>
      <c r="C1" s="8">
        <v>80</v>
      </c>
      <c r="D1" s="8">
        <v>80</v>
      </c>
      <c r="E1" s="8">
        <v>80</v>
      </c>
    </row>
    <row r="2" spans="1:5" ht="16" x14ac:dyDescent="0.2">
      <c r="A2" s="7" t="s">
        <v>36</v>
      </c>
      <c r="B2" s="7"/>
      <c r="C2" s="9">
        <v>0.48</v>
      </c>
      <c r="D2" s="9">
        <v>0.48</v>
      </c>
      <c r="E2" s="9">
        <v>0.48</v>
      </c>
    </row>
    <row r="3" spans="1:5" ht="16" x14ac:dyDescent="0.2">
      <c r="A3" s="7" t="s">
        <v>37</v>
      </c>
      <c r="B3" s="7" t="s">
        <v>38</v>
      </c>
      <c r="C3" s="7">
        <v>4</v>
      </c>
      <c r="D3" s="7">
        <v>4</v>
      </c>
      <c r="E3" s="7">
        <v>4</v>
      </c>
    </row>
    <row r="4" spans="1:5" ht="16" x14ac:dyDescent="0.2">
      <c r="A4" s="7" t="s">
        <v>39</v>
      </c>
      <c r="B4" s="7" t="s">
        <v>40</v>
      </c>
      <c r="C4" s="7">
        <v>1</v>
      </c>
      <c r="D4" s="7">
        <v>1</v>
      </c>
      <c r="E4" s="7">
        <v>1</v>
      </c>
    </row>
    <row r="5" spans="1:5" ht="16" x14ac:dyDescent="0.2">
      <c r="A5" s="7"/>
      <c r="B5" s="7"/>
      <c r="C5" s="7"/>
      <c r="D5" s="7"/>
      <c r="E5" s="7"/>
    </row>
    <row r="6" spans="1:5" ht="16" x14ac:dyDescent="0.2">
      <c r="A6" s="7" t="s">
        <v>41</v>
      </c>
      <c r="B6" s="7" t="s">
        <v>35</v>
      </c>
      <c r="C6" s="8">
        <v>10</v>
      </c>
      <c r="D6" s="8">
        <v>10</v>
      </c>
      <c r="E6" s="8">
        <v>10</v>
      </c>
    </row>
    <row r="7" spans="1:5" ht="16" x14ac:dyDescent="0.2">
      <c r="A7" s="7" t="s">
        <v>42</v>
      </c>
      <c r="B7" s="7"/>
      <c r="C7" s="9">
        <v>0.48</v>
      </c>
      <c r="D7" s="9">
        <v>0.48</v>
      </c>
      <c r="E7" s="9">
        <v>0.48</v>
      </c>
    </row>
    <row r="8" spans="1:5" ht="16" x14ac:dyDescent="0.2">
      <c r="A8" s="7" t="s">
        <v>43</v>
      </c>
      <c r="B8" s="7" t="s">
        <v>38</v>
      </c>
      <c r="C8" s="7">
        <v>0.5</v>
      </c>
      <c r="D8" s="7">
        <v>0.5</v>
      </c>
      <c r="E8" s="7">
        <v>0.5</v>
      </c>
    </row>
    <row r="9" spans="1:5" ht="16" x14ac:dyDescent="0.2">
      <c r="A9" s="7" t="s">
        <v>44</v>
      </c>
      <c r="B9" s="7" t="s">
        <v>40</v>
      </c>
      <c r="C9" s="7">
        <v>8</v>
      </c>
      <c r="D9" s="7">
        <v>8</v>
      </c>
      <c r="E9" s="7">
        <v>8</v>
      </c>
    </row>
    <row r="10" spans="1:5" ht="16" x14ac:dyDescent="0.2">
      <c r="A10" s="7"/>
      <c r="B10" s="7"/>
      <c r="C10" s="7"/>
      <c r="D10" s="7"/>
      <c r="E10" s="7"/>
    </row>
    <row r="11" spans="1:5" ht="16" x14ac:dyDescent="0.2">
      <c r="A11" s="7" t="s">
        <v>45</v>
      </c>
      <c r="B11" s="7" t="s">
        <v>38</v>
      </c>
      <c r="C11" s="7">
        <v>4</v>
      </c>
      <c r="D11" s="7">
        <v>4</v>
      </c>
      <c r="E11" s="7">
        <v>4</v>
      </c>
    </row>
    <row r="12" spans="1:5" ht="16" x14ac:dyDescent="0.2">
      <c r="A12" s="7" t="s">
        <v>46</v>
      </c>
      <c r="B12" s="7" t="s">
        <v>47</v>
      </c>
      <c r="C12" s="7">
        <v>4</v>
      </c>
      <c r="D12" s="7">
        <v>4</v>
      </c>
      <c r="E12" s="7">
        <v>4</v>
      </c>
    </row>
    <row r="13" spans="1:5" ht="16" x14ac:dyDescent="0.2">
      <c r="A13" s="7"/>
      <c r="B13" s="7"/>
      <c r="C13" s="7"/>
      <c r="D13" s="7"/>
      <c r="E13" s="7"/>
    </row>
    <row r="14" spans="1:5" ht="16" x14ac:dyDescent="0.2">
      <c r="A14" s="7"/>
      <c r="B14" s="7"/>
      <c r="C14" s="7"/>
      <c r="D14" s="7"/>
      <c r="E14" s="7"/>
    </row>
    <row r="15" spans="1:5" ht="16" x14ac:dyDescent="0.2">
      <c r="A15" s="7" t="s">
        <v>48</v>
      </c>
      <c r="B15" s="7" t="s">
        <v>49</v>
      </c>
      <c r="C15" s="8">
        <v>50</v>
      </c>
      <c r="D15" s="8">
        <v>50</v>
      </c>
      <c r="E15" s="8">
        <v>50</v>
      </c>
    </row>
    <row r="16" spans="1:5" ht="16" x14ac:dyDescent="0.2">
      <c r="A16" s="7" t="s">
        <v>50</v>
      </c>
      <c r="B16" s="7" t="s">
        <v>49</v>
      </c>
      <c r="C16" s="8">
        <v>150</v>
      </c>
      <c r="D16" s="8">
        <v>150</v>
      </c>
      <c r="E16" s="8">
        <v>150</v>
      </c>
    </row>
    <row r="17" spans="1:5" ht="16" x14ac:dyDescent="0.2">
      <c r="A17" s="7"/>
      <c r="B17" s="7"/>
      <c r="C17" s="7"/>
      <c r="D17" s="7"/>
      <c r="E17" s="7"/>
    </row>
    <row r="18" spans="1:5" ht="16" x14ac:dyDescent="0.2">
      <c r="A18" s="7" t="s">
        <v>51</v>
      </c>
      <c r="B18" s="7"/>
      <c r="C18" s="8">
        <v>1</v>
      </c>
      <c r="D18" s="8">
        <v>2</v>
      </c>
      <c r="E18" s="8">
        <v>4</v>
      </c>
    </row>
    <row r="19" spans="1:5" ht="16" x14ac:dyDescent="0.2">
      <c r="A19" s="7" t="s">
        <v>52</v>
      </c>
      <c r="B19" s="7"/>
      <c r="C19" s="7">
        <v>4</v>
      </c>
      <c r="D19" s="7">
        <v>2</v>
      </c>
      <c r="E19" s="7">
        <v>1</v>
      </c>
    </row>
    <row r="20" spans="1:5" ht="16" x14ac:dyDescent="0.2">
      <c r="A20" s="7"/>
      <c r="B20" s="7"/>
      <c r="C20" s="7"/>
      <c r="D20" s="7"/>
      <c r="E20" s="7"/>
    </row>
    <row r="21" spans="1:5" ht="16" x14ac:dyDescent="0.2">
      <c r="A21" s="7" t="s">
        <v>53</v>
      </c>
      <c r="B21" s="7" t="s">
        <v>49</v>
      </c>
      <c r="C21" s="8">
        <v>350</v>
      </c>
      <c r="D21" s="8">
        <v>250</v>
      </c>
      <c r="E21" s="8">
        <v>200</v>
      </c>
    </row>
    <row r="22" spans="1:5" ht="16" x14ac:dyDescent="0.2">
      <c r="A22" s="7" t="s">
        <v>54</v>
      </c>
      <c r="B22" s="7" t="s">
        <v>49</v>
      </c>
      <c r="C22" s="7">
        <v>350</v>
      </c>
      <c r="D22" s="7">
        <v>500</v>
      </c>
      <c r="E22" s="7">
        <v>800</v>
      </c>
    </row>
    <row r="23" spans="1:5" ht="16" x14ac:dyDescent="0.2">
      <c r="A23" s="7"/>
      <c r="B23" s="7"/>
      <c r="C23" s="7"/>
      <c r="D23" s="7"/>
      <c r="E23" s="7"/>
    </row>
    <row r="24" spans="1:5" ht="16" x14ac:dyDescent="0.2">
      <c r="A24" s="7" t="s">
        <v>55</v>
      </c>
      <c r="B24" s="7"/>
      <c r="C24" s="8">
        <v>1</v>
      </c>
      <c r="D24" s="8">
        <v>1</v>
      </c>
      <c r="E24" s="8">
        <v>1</v>
      </c>
    </row>
    <row r="25" spans="1:5" ht="16" x14ac:dyDescent="0.2">
      <c r="A25" s="7" t="s">
        <v>56</v>
      </c>
      <c r="B25" s="7"/>
      <c r="C25" s="7">
        <v>1</v>
      </c>
      <c r="D25" s="7">
        <v>2</v>
      </c>
      <c r="E25" s="7">
        <v>4</v>
      </c>
    </row>
    <row r="26" spans="1:5" ht="16" x14ac:dyDescent="0.2">
      <c r="A26" s="7" t="s">
        <v>57</v>
      </c>
      <c r="B26" s="7" t="s">
        <v>49</v>
      </c>
      <c r="C26" s="8">
        <v>35</v>
      </c>
      <c r="D26" s="8">
        <v>35</v>
      </c>
      <c r="E26" s="8">
        <v>35</v>
      </c>
    </row>
    <row r="27" spans="1:5" ht="16" x14ac:dyDescent="0.2">
      <c r="A27" s="7" t="s">
        <v>58</v>
      </c>
      <c r="B27" s="7" t="s">
        <v>49</v>
      </c>
      <c r="C27" s="7">
        <v>35</v>
      </c>
      <c r="D27" s="7">
        <v>70</v>
      </c>
      <c r="E27" s="7">
        <v>140</v>
      </c>
    </row>
    <row r="28" spans="1:5" ht="16" x14ac:dyDescent="0.2">
      <c r="A28" s="7"/>
      <c r="B28" s="7"/>
      <c r="C28" s="7"/>
      <c r="D28" s="7"/>
      <c r="E28" s="7"/>
    </row>
    <row r="29" spans="1:5" ht="16" x14ac:dyDescent="0.2">
      <c r="A29" s="7" t="s">
        <v>59</v>
      </c>
      <c r="B29" s="7" t="s">
        <v>49</v>
      </c>
      <c r="C29" s="7">
        <v>385</v>
      </c>
      <c r="D29" s="7">
        <v>570</v>
      </c>
      <c r="E29" s="7">
        <v>940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790B1-52D8-A842-8268-804FFB128667}">
  <dimension ref="A2:R25"/>
  <sheetViews>
    <sheetView tabSelected="1" workbookViewId="0">
      <selection activeCell="L11" sqref="L11"/>
    </sheetView>
  </sheetViews>
  <sheetFormatPr baseColWidth="10" defaultRowHeight="15" x14ac:dyDescent="0.2"/>
  <sheetData>
    <row r="2" spans="1:18" s="20" customFormat="1" x14ac:dyDescent="0.2">
      <c r="A2" s="20" t="s">
        <v>89</v>
      </c>
      <c r="C2" s="21" t="s">
        <v>72</v>
      </c>
      <c r="D2" s="21" t="s">
        <v>73</v>
      </c>
      <c r="F2" s="21" t="s">
        <v>82</v>
      </c>
      <c r="G2" s="21" t="s">
        <v>83</v>
      </c>
      <c r="H2" s="21" t="s">
        <v>84</v>
      </c>
      <c r="I2" s="21" t="s">
        <v>101</v>
      </c>
      <c r="J2" s="21" t="s">
        <v>97</v>
      </c>
      <c r="K2" s="21" t="s">
        <v>98</v>
      </c>
      <c r="L2" s="21" t="s">
        <v>99</v>
      </c>
      <c r="M2" s="21" t="s">
        <v>100</v>
      </c>
      <c r="O2" s="21"/>
      <c r="P2" s="21"/>
      <c r="Q2" s="21"/>
      <c r="R2" s="21"/>
    </row>
    <row r="3" spans="1:18" x14ac:dyDescent="0.2">
      <c r="A3" t="s">
        <v>81</v>
      </c>
      <c r="B3" s="19">
        <v>90</v>
      </c>
      <c r="C3" s="6">
        <f>B3</f>
        <v>90</v>
      </c>
      <c r="D3" s="15">
        <f>C3*PI()/180</f>
        <v>1.5707963267948966</v>
      </c>
      <c r="E3" t="s">
        <v>89</v>
      </c>
      <c r="F3" s="16">
        <f>COS(D3)*COS(D4)*$B5</f>
        <v>1.0873192537314003E-13</v>
      </c>
      <c r="G3" s="16">
        <f>SIN(D3)*COS(D4)*$B5</f>
        <v>1775</v>
      </c>
      <c r="H3" s="16">
        <f>SIN(D4)*$B5</f>
        <v>0</v>
      </c>
      <c r="I3" s="16">
        <f>SQRT(F3*F3+G3*G3+H3*H3)</f>
        <v>1775</v>
      </c>
      <c r="J3" s="15">
        <f>ATAN((G3/F3))</f>
        <v>1.5707963267948966</v>
      </c>
      <c r="K3" s="16">
        <f>J3*180/PI()</f>
        <v>90</v>
      </c>
      <c r="L3" s="15">
        <f>ASIN(H3/I3)</f>
        <v>0</v>
      </c>
      <c r="M3" s="16">
        <f>L3*180/PI()</f>
        <v>0</v>
      </c>
      <c r="O3" s="14"/>
      <c r="P3" s="14"/>
      <c r="Q3" s="18"/>
    </row>
    <row r="4" spans="1:18" x14ac:dyDescent="0.2">
      <c r="A4" t="s">
        <v>70</v>
      </c>
      <c r="B4" s="19">
        <v>0</v>
      </c>
      <c r="C4" s="6">
        <f>B4</f>
        <v>0</v>
      </c>
      <c r="D4" s="15">
        <f>C4*PI()/180</f>
        <v>0</v>
      </c>
      <c r="E4" t="s">
        <v>90</v>
      </c>
      <c r="F4" s="16">
        <f>COS(D8)*COS(D9)*$B10</f>
        <v>-1373</v>
      </c>
      <c r="G4" s="16">
        <f>SIN(D8)*COS(D9)*$B10</f>
        <v>1.6821288285895353E-13</v>
      </c>
      <c r="H4" s="16">
        <f>SIN(D9)*$B10</f>
        <v>0</v>
      </c>
      <c r="I4" s="16">
        <f>SQRT(F4*F4+G4*G4+H4*H4)</f>
        <v>1373</v>
      </c>
      <c r="J4" s="15">
        <f>ATAN((G4/F4))</f>
        <v>-1.22514845490862E-16</v>
      </c>
      <c r="K4" s="16">
        <f>J4*180/PI()</f>
        <v>-7.0195835743237771E-15</v>
      </c>
      <c r="L4" s="15">
        <f>ASIN(H4/I4)</f>
        <v>0</v>
      </c>
      <c r="M4" s="16">
        <f>L4*180/PI()</f>
        <v>0</v>
      </c>
      <c r="Q4" s="18"/>
      <c r="R4" s="18"/>
    </row>
    <row r="5" spans="1:18" x14ac:dyDescent="0.2">
      <c r="A5" t="s">
        <v>88</v>
      </c>
      <c r="B5" s="19">
        <f>1373+402</f>
        <v>1775</v>
      </c>
      <c r="E5" t="s">
        <v>91</v>
      </c>
      <c r="F5" s="16">
        <f>F4-F3</f>
        <v>-1373</v>
      </c>
      <c r="G5" s="16">
        <f>G4-G3</f>
        <v>-1774.9999999999998</v>
      </c>
      <c r="H5" s="16">
        <f>H4-H3</f>
        <v>0</v>
      </c>
      <c r="I5" s="16">
        <f>SQRT(F5*F5+G5*G5+H5*H5)</f>
        <v>2244.0485734493359</v>
      </c>
      <c r="J5" s="15">
        <f>ATAN((G5/F5))</f>
        <v>0.91241085511833719</v>
      </c>
      <c r="K5" s="16">
        <f>J5*180/PI()</f>
        <v>52.27729118020315</v>
      </c>
      <c r="L5" s="15">
        <f>ASIN(H5/I5)</f>
        <v>0</v>
      </c>
      <c r="M5" s="16">
        <f>L5*180/PI()</f>
        <v>0</v>
      </c>
      <c r="O5" s="6"/>
      <c r="P5" s="6"/>
    </row>
    <row r="6" spans="1:18" x14ac:dyDescent="0.2">
      <c r="C6" s="6"/>
      <c r="D6" s="15"/>
      <c r="E6" s="18"/>
      <c r="F6" s="14"/>
      <c r="G6" s="14"/>
      <c r="H6" s="14"/>
      <c r="I6" s="6"/>
      <c r="J6" s="14"/>
      <c r="K6" s="14"/>
      <c r="L6" s="6"/>
      <c r="M6" s="14"/>
      <c r="O6" s="6"/>
      <c r="P6" s="6"/>
    </row>
    <row r="7" spans="1:18" s="20" customFormat="1" x14ac:dyDescent="0.2">
      <c r="A7" s="20" t="s">
        <v>90</v>
      </c>
      <c r="C7" s="21" t="s">
        <v>72</v>
      </c>
      <c r="D7" s="22" t="s">
        <v>73</v>
      </c>
      <c r="E7" s="23"/>
      <c r="F7" s="21" t="s">
        <v>86</v>
      </c>
      <c r="G7" s="21" t="s">
        <v>87</v>
      </c>
      <c r="H7" s="21" t="s">
        <v>85</v>
      </c>
      <c r="I7" s="21" t="s">
        <v>101</v>
      </c>
      <c r="J7" s="21" t="s">
        <v>97</v>
      </c>
      <c r="K7" s="21" t="s">
        <v>98</v>
      </c>
      <c r="L7" s="21" t="s">
        <v>99</v>
      </c>
      <c r="M7" s="21" t="s">
        <v>100</v>
      </c>
    </row>
    <row r="8" spans="1:18" x14ac:dyDescent="0.2">
      <c r="A8" t="s">
        <v>81</v>
      </c>
      <c r="B8" s="19">
        <v>180</v>
      </c>
      <c r="C8" s="6">
        <f>B8</f>
        <v>180</v>
      </c>
      <c r="D8" s="15">
        <f>C8*PI()/180</f>
        <v>3.1415926535897931</v>
      </c>
      <c r="E8" t="s">
        <v>91</v>
      </c>
      <c r="F8" s="16">
        <f>F5*I18+G5*I19+H5*I20</f>
        <v>1.0873192537314001E-13</v>
      </c>
      <c r="G8" s="16">
        <f>F5*J18+G5*J19+H5*J20</f>
        <v>-1373</v>
      </c>
      <c r="H8" s="16">
        <f>F5*K18+G5*K19+H5*K20</f>
        <v>1.9283836680261679E-13</v>
      </c>
      <c r="I8" s="16">
        <f>SQRT(F8*F8+G8*G8+H8*H8)</f>
        <v>1373</v>
      </c>
      <c r="J8" s="15">
        <f>ATAN((G8/F8))</f>
        <v>-1.5707963267948966</v>
      </c>
      <c r="K8" s="16">
        <f>J8*180/PI()</f>
        <v>-90</v>
      </c>
      <c r="L8" s="15">
        <f>ASIN(F8/I8)</f>
        <v>7.9192953658514207E-17</v>
      </c>
      <c r="M8" s="14">
        <f>L8*180/PI()</f>
        <v>4.537422011807976E-15</v>
      </c>
      <c r="O8" s="6"/>
      <c r="P8" s="6"/>
      <c r="Q8" s="6"/>
      <c r="R8" s="6"/>
    </row>
    <row r="9" spans="1:18" x14ac:dyDescent="0.2">
      <c r="A9" t="s">
        <v>70</v>
      </c>
      <c r="B9" s="19">
        <v>0</v>
      </c>
      <c r="C9" s="6">
        <f>B9</f>
        <v>0</v>
      </c>
      <c r="D9" s="15">
        <f>C9*PI()/180</f>
        <v>0</v>
      </c>
      <c r="N9" s="14"/>
      <c r="O9" s="14"/>
      <c r="P9" s="18"/>
    </row>
    <row r="10" spans="1:18" x14ac:dyDescent="0.2">
      <c r="A10" t="s">
        <v>88</v>
      </c>
      <c r="B10" s="19">
        <v>1373</v>
      </c>
      <c r="H10" t="s">
        <v>93</v>
      </c>
      <c r="I10">
        <f>1775*2-402</f>
        <v>3148</v>
      </c>
      <c r="P10" s="18"/>
      <c r="Q10" s="18"/>
    </row>
    <row r="11" spans="1:18" x14ac:dyDescent="0.2">
      <c r="H11" t="s">
        <v>94</v>
      </c>
      <c r="I11" s="3">
        <f>SQRT(B5*B5+B10*B10)</f>
        <v>2244.0485734493359</v>
      </c>
      <c r="M11" s="18"/>
    </row>
    <row r="12" spans="1:18" x14ac:dyDescent="0.2">
      <c r="M12" s="18"/>
    </row>
    <row r="13" spans="1:18" x14ac:dyDescent="0.2">
      <c r="M13" s="18"/>
    </row>
    <row r="14" spans="1:18" x14ac:dyDescent="0.2">
      <c r="L14" s="14"/>
      <c r="M14" s="18"/>
    </row>
    <row r="17" spans="1:11" s="20" customFormat="1" x14ac:dyDescent="0.2">
      <c r="A17" s="20" t="s">
        <v>71</v>
      </c>
      <c r="E17" s="20" t="s">
        <v>76</v>
      </c>
      <c r="I17" s="20" t="s">
        <v>92</v>
      </c>
    </row>
    <row r="18" spans="1:11" x14ac:dyDescent="0.2">
      <c r="A18" s="14">
        <f>COS(D3)</f>
        <v>6.1257422745431001E-17</v>
      </c>
      <c r="B18" s="14">
        <f>SIN(D3)</f>
        <v>1</v>
      </c>
      <c r="C18" s="16">
        <v>0</v>
      </c>
      <c r="E18" s="14">
        <f>COS(PI()/2-D4)</f>
        <v>6.1257422745431001E-17</v>
      </c>
      <c r="F18" s="6">
        <v>0</v>
      </c>
      <c r="G18" s="17">
        <f>-SIN(PI()/2-D4)</f>
        <v>-1</v>
      </c>
      <c r="I18" s="14">
        <f>E18*A18+E19*B18+E20*C18</f>
        <v>3.7524718414124473E-33</v>
      </c>
      <c r="J18" s="14">
        <f>F18*A18+F19*B18+F20*C18</f>
        <v>1</v>
      </c>
      <c r="K18" s="14">
        <f>G18*A18+G19*B18+G20*C18</f>
        <v>-6.1257422745431001E-17</v>
      </c>
    </row>
    <row r="19" spans="1:11" x14ac:dyDescent="0.2">
      <c r="A19" s="14">
        <f>-SIN(D3)</f>
        <v>-1</v>
      </c>
      <c r="B19" s="14">
        <f>COS(D3)</f>
        <v>6.1257422745431001E-17</v>
      </c>
      <c r="C19" s="16">
        <v>0</v>
      </c>
      <c r="E19" s="6">
        <v>0</v>
      </c>
      <c r="F19" s="6">
        <v>1</v>
      </c>
      <c r="G19" s="6">
        <v>0</v>
      </c>
      <c r="I19" s="14">
        <f>E18*A19+E19*B19+E20*C19</f>
        <v>-6.1257422745431001E-17</v>
      </c>
      <c r="J19" s="14">
        <f>F18*A19+F19*B19+F20*C19</f>
        <v>6.1257422745431001E-17</v>
      </c>
      <c r="K19" s="14">
        <f>G18*B19+G19*C19+G20*D19</f>
        <v>-6.1257422745431001E-17</v>
      </c>
    </row>
    <row r="20" spans="1:11" x14ac:dyDescent="0.2">
      <c r="A20" s="6">
        <v>0</v>
      </c>
      <c r="B20" s="6">
        <v>0</v>
      </c>
      <c r="C20" s="16">
        <v>1</v>
      </c>
      <c r="E20" s="14">
        <f>SIN(PI()/2-D4)</f>
        <v>1</v>
      </c>
      <c r="F20" s="6">
        <v>0</v>
      </c>
      <c r="G20" s="14">
        <f>COS(PI()/2-D4)</f>
        <v>6.1257422745431001E-17</v>
      </c>
      <c r="I20" s="14">
        <f>E18*A20+E19*B20+E20*C20</f>
        <v>1</v>
      </c>
      <c r="J20" s="14">
        <f>F18*A20+F19*B20+F20*C20</f>
        <v>0</v>
      </c>
      <c r="K20" s="14">
        <f>G18*B20+G19*C20+G20*D20</f>
        <v>0</v>
      </c>
    </row>
    <row r="21" spans="1:11" x14ac:dyDescent="0.2">
      <c r="A21" s="6"/>
      <c r="B21" s="6"/>
      <c r="C21" s="16"/>
      <c r="E21" s="14"/>
      <c r="F21" s="6"/>
      <c r="G21" s="14"/>
      <c r="I21" s="14"/>
      <c r="J21" s="14"/>
      <c r="K21" s="14"/>
    </row>
    <row r="22" spans="1:11" x14ac:dyDescent="0.2">
      <c r="A22" t="s">
        <v>96</v>
      </c>
      <c r="E22" t="s">
        <v>95</v>
      </c>
    </row>
    <row r="23" spans="1:11" x14ac:dyDescent="0.2">
      <c r="A23" s="6" t="s">
        <v>74</v>
      </c>
      <c r="B23" s="6" t="s">
        <v>75</v>
      </c>
      <c r="C23" s="6">
        <v>0</v>
      </c>
      <c r="E23" s="6" t="s">
        <v>77</v>
      </c>
      <c r="F23" s="6">
        <v>0</v>
      </c>
      <c r="G23" s="13" t="s">
        <v>79</v>
      </c>
    </row>
    <row r="24" spans="1:11" x14ac:dyDescent="0.2">
      <c r="A24" s="13" t="s">
        <v>80</v>
      </c>
      <c r="B24" s="6" t="s">
        <v>74</v>
      </c>
      <c r="C24" s="6">
        <v>0</v>
      </c>
      <c r="E24" s="6">
        <v>0</v>
      </c>
      <c r="F24" s="6">
        <v>1</v>
      </c>
      <c r="G24" s="6">
        <v>0</v>
      </c>
    </row>
    <row r="25" spans="1:11" x14ac:dyDescent="0.2">
      <c r="A25" s="6">
        <v>0</v>
      </c>
      <c r="B25" s="6">
        <v>0</v>
      </c>
      <c r="C25" s="6">
        <v>1</v>
      </c>
      <c r="E25" s="6" t="s">
        <v>78</v>
      </c>
      <c r="F25" s="6">
        <v>0</v>
      </c>
      <c r="G25" s="6" t="s">
        <v>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0398E7EAE9954ABE6BFB497661637E" ma:contentTypeVersion="11" ma:contentTypeDescription="Create a new document." ma:contentTypeScope="" ma:versionID="3786cb5e95af3a90c677764e8014d423">
  <xsd:schema xmlns:xsd="http://www.w3.org/2001/XMLSchema" xmlns:xs="http://www.w3.org/2001/XMLSchema" xmlns:p="http://schemas.microsoft.com/office/2006/metadata/properties" xmlns:ns2="56d601e6-bef3-45c8-b6dc-25c3b07e1d58" targetNamespace="http://schemas.microsoft.com/office/2006/metadata/properties" ma:root="true" ma:fieldsID="adb27d47ef9772e2cb84c18b7530cab2" ns2:_="">
    <xsd:import namespace="56d601e6-bef3-45c8-b6dc-25c3b07e1d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d601e6-bef3-45c8-b6dc-25c3b07e1d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688d343-e684-46db-b94f-a4cae8ed196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d601e6-bef3-45c8-b6dc-25c3b07e1d5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5C6F309-A1A2-46F0-A57B-68684D9726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5649D0-F6D4-456F-915F-B334A31455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d601e6-bef3-45c8-b6dc-25c3b07e1d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69B838-CC0E-428C-B339-A9883501F19C}">
  <ds:schemaRefs>
    <ds:schemaRef ds:uri="http://schemas.microsoft.com/office/2006/metadata/properties"/>
    <ds:schemaRef ds:uri="http://schemas.microsoft.com/office/infopath/2007/PartnerControls"/>
    <ds:schemaRef ds:uri="56d601e6-bef3-45c8-b6dc-25c3b07e1d5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 analysis</vt:lpstr>
      <vt:lpstr>fleet cost analysis</vt:lpstr>
      <vt:lpstr>math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 Todd</dc:creator>
  <cp:keywords/>
  <dc:description/>
  <cp:lastModifiedBy>Microsoft Office User</cp:lastModifiedBy>
  <cp:revision/>
  <dcterms:created xsi:type="dcterms:W3CDTF">2023-01-18T17:57:59Z</dcterms:created>
  <dcterms:modified xsi:type="dcterms:W3CDTF">2023-02-09T22:44:53Z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976fa30-1907-4356-8241-62ea5e1c0256_Enabled">
    <vt:lpwstr>true</vt:lpwstr>
  </property>
  <property fmtid="{D5CDD505-2E9C-101B-9397-08002B2CF9AE}" pid="3" name="MSIP_Label_3976fa30-1907-4356-8241-62ea5e1c0256_SetDate">
    <vt:lpwstr>2023-01-18T17:57:59Z</vt:lpwstr>
  </property>
  <property fmtid="{D5CDD505-2E9C-101B-9397-08002B2CF9AE}" pid="4" name="MSIP_Label_3976fa30-1907-4356-8241-62ea5e1c0256_Method">
    <vt:lpwstr>Standard</vt:lpwstr>
  </property>
  <property fmtid="{D5CDD505-2E9C-101B-9397-08002B2CF9AE}" pid="5" name="MSIP_Label_3976fa30-1907-4356-8241-62ea5e1c0256_Name">
    <vt:lpwstr>ESA UNCLASSIFIED – For ESA Official Use Only</vt:lpwstr>
  </property>
  <property fmtid="{D5CDD505-2E9C-101B-9397-08002B2CF9AE}" pid="6" name="MSIP_Label_3976fa30-1907-4356-8241-62ea5e1c0256_SiteId">
    <vt:lpwstr>9a5cacd0-2bef-4dd7-ac5c-7ebe1f54f495</vt:lpwstr>
  </property>
  <property fmtid="{D5CDD505-2E9C-101B-9397-08002B2CF9AE}" pid="7" name="MSIP_Label_3976fa30-1907-4356-8241-62ea5e1c0256_ActionId">
    <vt:lpwstr>c9cc6d5c-c5e4-4802-b798-90573ca3e3ed</vt:lpwstr>
  </property>
  <property fmtid="{D5CDD505-2E9C-101B-9397-08002B2CF9AE}" pid="8" name="MSIP_Label_3976fa30-1907-4356-8241-62ea5e1c0256_ContentBits">
    <vt:lpwstr>0</vt:lpwstr>
  </property>
  <property fmtid="{D5CDD505-2E9C-101B-9397-08002B2CF9AE}" pid="9" name="ContentTypeId">
    <vt:lpwstr>0x010100870398E7EAE9954ABE6BFB497661637E</vt:lpwstr>
  </property>
  <property fmtid="{D5CDD505-2E9C-101B-9397-08002B2CF9AE}" pid="10" name="MediaServiceImageTags">
    <vt:lpwstr/>
  </property>
</Properties>
</file>