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itenbr/Desktop/lunarspark/"/>
    </mc:Choice>
  </mc:AlternateContent>
  <xr:revisionPtr revIDLastSave="0" documentId="13_ncr:1_{F9E2C056-C6AC-C845-ADA6-B5217271B29E}" xr6:coauthVersionLast="47" xr6:coauthVersionMax="47" xr10:uidLastSave="{00000000-0000-0000-0000-000000000000}"/>
  <bookViews>
    <workbookView xWindow="41960" yWindow="500" windowWidth="32220" windowHeight="21100" activeTab="2" xr2:uid="{0D0644B8-F9A6-4A61-A91E-2BD3522A7E9F}"/>
  </bookViews>
  <sheets>
    <sheet name="SE analysis" sheetId="1" r:id="rId1"/>
    <sheet name="Laser Count Analysis" sheetId="4" r:id="rId2"/>
    <sheet name="Spacecraft Sizing" sheetId="5" r:id="rId3"/>
    <sheet name="Fleet cost analysis" sheetId="2" r:id="rId4"/>
    <sheet name="math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D15" i="5"/>
  <c r="E15" i="5"/>
  <c r="F15" i="5"/>
  <c r="G15" i="5"/>
  <c r="H15" i="5"/>
  <c r="I15" i="5"/>
  <c r="J15" i="5"/>
  <c r="K15" i="5"/>
  <c r="L15" i="5"/>
  <c r="M15" i="5"/>
  <c r="N15" i="5"/>
  <c r="C15" i="5"/>
  <c r="E16" i="4"/>
  <c r="N5" i="5"/>
  <c r="N7" i="5" s="1"/>
  <c r="N9" i="5" s="1"/>
  <c r="D5" i="5"/>
  <c r="D7" i="5" s="1"/>
  <c r="E5" i="5"/>
  <c r="E7" i="5" s="1"/>
  <c r="F5" i="5"/>
  <c r="F7" i="5" s="1"/>
  <c r="F9" i="5" s="1"/>
  <c r="F11" i="5" s="1"/>
  <c r="G5" i="5"/>
  <c r="G7" i="5" s="1"/>
  <c r="H5" i="5"/>
  <c r="H7" i="5" s="1"/>
  <c r="I5" i="5"/>
  <c r="I7" i="5" s="1"/>
  <c r="J5" i="5"/>
  <c r="J7" i="5" s="1"/>
  <c r="K5" i="5"/>
  <c r="K7" i="5" s="1"/>
  <c r="L5" i="5"/>
  <c r="L7" i="5" s="1"/>
  <c r="M5" i="5"/>
  <c r="M7" i="5" s="1"/>
  <c r="M9" i="5" s="1"/>
  <c r="M11" i="5" s="1"/>
  <c r="C5" i="5"/>
  <c r="C7" i="5" s="1"/>
  <c r="C9" i="5" s="1"/>
  <c r="J16" i="1"/>
  <c r="J12" i="1"/>
  <c r="J10" i="1"/>
  <c r="J5" i="1"/>
  <c r="J13" i="1" s="1"/>
  <c r="J14" i="1" s="1"/>
  <c r="I16" i="1"/>
  <c r="I12" i="1"/>
  <c r="I10" i="1"/>
  <c r="I5" i="1"/>
  <c r="I13" i="1" s="1"/>
  <c r="I14" i="1" s="1"/>
  <c r="D12" i="2"/>
  <c r="D13" i="2" s="1"/>
  <c r="D19" i="2" s="1"/>
  <c r="E12" i="2"/>
  <c r="E13" i="2" s="1"/>
  <c r="E19" i="2" s="1"/>
  <c r="F12" i="2"/>
  <c r="F13" i="2" s="1"/>
  <c r="F19" i="2" s="1"/>
  <c r="G12" i="2"/>
  <c r="H12" i="2"/>
  <c r="I12" i="2"/>
  <c r="J12" i="2"/>
  <c r="K12" i="2"/>
  <c r="K13" i="2" s="1"/>
  <c r="K19" i="2" s="1"/>
  <c r="L12" i="2"/>
  <c r="L13" i="2" s="1"/>
  <c r="L19" i="2" s="1"/>
  <c r="M12" i="2"/>
  <c r="M13" i="2" s="1"/>
  <c r="M19" i="2" s="1"/>
  <c r="N12" i="2"/>
  <c r="N13" i="2" s="1"/>
  <c r="N19" i="2" s="1"/>
  <c r="O12" i="2"/>
  <c r="O13" i="2" s="1"/>
  <c r="O19" i="2" s="1"/>
  <c r="P12" i="2"/>
  <c r="P13" i="2" s="1"/>
  <c r="P19" i="2" s="1"/>
  <c r="Q12" i="2"/>
  <c r="Q13" i="2" s="1"/>
  <c r="Q19" i="2" s="1"/>
  <c r="R12" i="2"/>
  <c r="S12" i="2"/>
  <c r="T12" i="2"/>
  <c r="G13" i="2"/>
  <c r="H13" i="2"/>
  <c r="H19" i="2" s="1"/>
  <c r="I13" i="2"/>
  <c r="I19" i="2" s="1"/>
  <c r="J13" i="2"/>
  <c r="J19" i="2" s="1"/>
  <c r="R13" i="2"/>
  <c r="R19" i="2" s="1"/>
  <c r="S13" i="2"/>
  <c r="T13" i="2"/>
  <c r="T19" i="2" s="1"/>
  <c r="D15" i="2"/>
  <c r="D16" i="2" s="1"/>
  <c r="E15" i="2"/>
  <c r="E16" i="2" s="1"/>
  <c r="F15" i="2"/>
  <c r="G15" i="2"/>
  <c r="H15" i="2"/>
  <c r="I15" i="2"/>
  <c r="J15" i="2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F16" i="2"/>
  <c r="G16" i="2"/>
  <c r="H16" i="2"/>
  <c r="I16" i="2"/>
  <c r="J16" i="2"/>
  <c r="G19" i="2"/>
  <c r="G21" i="2" s="1"/>
  <c r="S19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D25" i="2"/>
  <c r="D26" i="2" s="1"/>
  <c r="D27" i="2" s="1"/>
  <c r="D28" i="2" s="1"/>
  <c r="E25" i="2"/>
  <c r="F25" i="2"/>
  <c r="F26" i="2" s="1"/>
  <c r="F27" i="2" s="1"/>
  <c r="F28" i="2" s="1"/>
  <c r="G25" i="2"/>
  <c r="G26" i="2" s="1"/>
  <c r="H25" i="2"/>
  <c r="H26" i="2" s="1"/>
  <c r="I25" i="2"/>
  <c r="I26" i="2" s="1"/>
  <c r="J25" i="2"/>
  <c r="K25" i="2"/>
  <c r="L25" i="2"/>
  <c r="L26" i="2" s="1"/>
  <c r="M25" i="2"/>
  <c r="M26" i="2" s="1"/>
  <c r="N25" i="2"/>
  <c r="N26" i="2" s="1"/>
  <c r="O25" i="2"/>
  <c r="O26" i="2" s="1"/>
  <c r="O27" i="2" s="1"/>
  <c r="O28" i="2" s="1"/>
  <c r="P25" i="2"/>
  <c r="P26" i="2" s="1"/>
  <c r="P27" i="2" s="1"/>
  <c r="P28" i="2" s="1"/>
  <c r="Q25" i="2"/>
  <c r="Q26" i="2" s="1"/>
  <c r="Q27" i="2" s="1"/>
  <c r="Q28" i="2" s="1"/>
  <c r="R25" i="2"/>
  <c r="R26" i="2" s="1"/>
  <c r="S25" i="2"/>
  <c r="S26" i="2" s="1"/>
  <c r="T25" i="2"/>
  <c r="T26" i="2" s="1"/>
  <c r="E26" i="2"/>
  <c r="E27" i="2" s="1"/>
  <c r="E28" i="2" s="1"/>
  <c r="J26" i="2"/>
  <c r="K26" i="2"/>
  <c r="C25" i="2"/>
  <c r="C26" i="2" s="1"/>
  <c r="C23" i="2"/>
  <c r="C27" i="2" s="1"/>
  <c r="C28" i="2" s="1"/>
  <c r="C15" i="2"/>
  <c r="C16" i="2" s="1"/>
  <c r="C12" i="2"/>
  <c r="C13" i="2" s="1"/>
  <c r="C19" i="2" s="1"/>
  <c r="AB16" i="4"/>
  <c r="AB17" i="4" s="1"/>
  <c r="AA16" i="4"/>
  <c r="AA17" i="4" s="1"/>
  <c r="AB8" i="4"/>
  <c r="AB13" i="4" s="1"/>
  <c r="AA8" i="4"/>
  <c r="AA13" i="4" s="1"/>
  <c r="X17" i="4"/>
  <c r="W17" i="4"/>
  <c r="V17" i="4"/>
  <c r="U17" i="4"/>
  <c r="T17" i="4"/>
  <c r="S17" i="4"/>
  <c r="L17" i="4"/>
  <c r="K17" i="4"/>
  <c r="J17" i="4"/>
  <c r="I17" i="4"/>
  <c r="H17" i="4"/>
  <c r="G17" i="4"/>
  <c r="Z16" i="4"/>
  <c r="Z17" i="4" s="1"/>
  <c r="Y16" i="4"/>
  <c r="Y17" i="4" s="1"/>
  <c r="X16" i="4"/>
  <c r="W16" i="4"/>
  <c r="V16" i="4"/>
  <c r="U16" i="4"/>
  <c r="T16" i="4"/>
  <c r="S16" i="4"/>
  <c r="R16" i="4"/>
  <c r="R17" i="4" s="1"/>
  <c r="Q16" i="4"/>
  <c r="Q17" i="4" s="1"/>
  <c r="P16" i="4"/>
  <c r="P17" i="4" s="1"/>
  <c r="O16" i="4"/>
  <c r="O17" i="4" s="1"/>
  <c r="N16" i="4"/>
  <c r="N17" i="4" s="1"/>
  <c r="M16" i="4"/>
  <c r="M17" i="4" s="1"/>
  <c r="L16" i="4"/>
  <c r="K16" i="4"/>
  <c r="J16" i="4"/>
  <c r="I16" i="4"/>
  <c r="H16" i="4"/>
  <c r="G16" i="4"/>
  <c r="F16" i="4"/>
  <c r="F17" i="4" s="1"/>
  <c r="E17" i="4"/>
  <c r="X13" i="4"/>
  <c r="W13" i="4"/>
  <c r="V13" i="4"/>
  <c r="U13" i="4"/>
  <c r="P13" i="4"/>
  <c r="O13" i="4"/>
  <c r="L13" i="4"/>
  <c r="L19" i="4" s="1"/>
  <c r="L21" i="4" s="1"/>
  <c r="L22" i="4" s="1"/>
  <c r="K13" i="4"/>
  <c r="J13" i="4"/>
  <c r="I13" i="4"/>
  <c r="H13" i="4"/>
  <c r="G13" i="4"/>
  <c r="Z8" i="4"/>
  <c r="Z13" i="4" s="1"/>
  <c r="Y8" i="4"/>
  <c r="Y13" i="4" s="1"/>
  <c r="X8" i="4"/>
  <c r="W8" i="4"/>
  <c r="V8" i="4"/>
  <c r="U8" i="4"/>
  <c r="T8" i="4"/>
  <c r="T13" i="4" s="1"/>
  <c r="S8" i="4"/>
  <c r="S13" i="4" s="1"/>
  <c r="S19" i="4" s="1"/>
  <c r="S21" i="4" s="1"/>
  <c r="R8" i="4"/>
  <c r="R13" i="4" s="1"/>
  <c r="Q8" i="4"/>
  <c r="Q13" i="4" s="1"/>
  <c r="P8" i="4"/>
  <c r="O8" i="4"/>
  <c r="N8" i="4"/>
  <c r="N13" i="4" s="1"/>
  <c r="M8" i="4"/>
  <c r="M13" i="4" s="1"/>
  <c r="L8" i="4"/>
  <c r="K8" i="4"/>
  <c r="J8" i="4"/>
  <c r="I8" i="4"/>
  <c r="H8" i="4"/>
  <c r="G8" i="4"/>
  <c r="F8" i="4"/>
  <c r="F13" i="4" s="1"/>
  <c r="E8" i="4"/>
  <c r="E13" i="4" s="1"/>
  <c r="E33" i="3"/>
  <c r="F33" i="3"/>
  <c r="G33" i="3"/>
  <c r="I33" i="3"/>
  <c r="E34" i="3"/>
  <c r="F34" i="3" s="1"/>
  <c r="G34" i="3"/>
  <c r="I34" i="3"/>
  <c r="E35" i="3"/>
  <c r="F35" i="3"/>
  <c r="G35" i="3"/>
  <c r="I35" i="3"/>
  <c r="E36" i="3"/>
  <c r="F36" i="3"/>
  <c r="G36" i="3"/>
  <c r="I36" i="3"/>
  <c r="E37" i="3"/>
  <c r="F37" i="3"/>
  <c r="G37" i="3"/>
  <c r="I37" i="3"/>
  <c r="E38" i="3"/>
  <c r="F38" i="3"/>
  <c r="G38" i="3"/>
  <c r="I38" i="3"/>
  <c r="E39" i="3"/>
  <c r="F39" i="3"/>
  <c r="G39" i="3"/>
  <c r="I39" i="3"/>
  <c r="E40" i="3"/>
  <c r="F40" i="3"/>
  <c r="G40" i="3"/>
  <c r="I40" i="3"/>
  <c r="B44" i="3"/>
  <c r="J44" i="3" s="1"/>
  <c r="C44" i="3"/>
  <c r="F44" i="3"/>
  <c r="G44" i="3"/>
  <c r="H44" i="3"/>
  <c r="I44" i="3"/>
  <c r="B45" i="3"/>
  <c r="K45" i="3" s="1"/>
  <c r="C45" i="3"/>
  <c r="F45" i="3"/>
  <c r="G45" i="3"/>
  <c r="H45" i="3"/>
  <c r="I45" i="3"/>
  <c r="J45" i="3"/>
  <c r="L45" i="3" s="1"/>
  <c r="B46" i="3"/>
  <c r="C46" i="3"/>
  <c r="F46" i="3"/>
  <c r="G46" i="3"/>
  <c r="H46" i="3"/>
  <c r="I46" i="3"/>
  <c r="J46" i="3"/>
  <c r="K46" i="3"/>
  <c r="L46" i="3"/>
  <c r="B47" i="3"/>
  <c r="K47" i="3" s="1"/>
  <c r="C47" i="3"/>
  <c r="F47" i="3"/>
  <c r="G47" i="3"/>
  <c r="H47" i="3"/>
  <c r="I47" i="3"/>
  <c r="B48" i="3"/>
  <c r="K48" i="3" s="1"/>
  <c r="C48" i="3"/>
  <c r="F48" i="3"/>
  <c r="G48" i="3"/>
  <c r="H48" i="3"/>
  <c r="I48" i="3"/>
  <c r="B49" i="3"/>
  <c r="K49" i="3" s="1"/>
  <c r="C49" i="3"/>
  <c r="F49" i="3"/>
  <c r="G49" i="3"/>
  <c r="H49" i="3"/>
  <c r="I49" i="3"/>
  <c r="J49" i="3"/>
  <c r="L49" i="3" s="1"/>
  <c r="B50" i="3"/>
  <c r="C50" i="3"/>
  <c r="F50" i="3"/>
  <c r="G50" i="3"/>
  <c r="H50" i="3"/>
  <c r="I50" i="3"/>
  <c r="J50" i="3"/>
  <c r="K50" i="3"/>
  <c r="L50" i="3"/>
  <c r="B51" i="3"/>
  <c r="K51" i="3" s="1"/>
  <c r="C51" i="3"/>
  <c r="F51" i="3"/>
  <c r="G51" i="3"/>
  <c r="H51" i="3"/>
  <c r="I51" i="3"/>
  <c r="B52" i="3"/>
  <c r="K52" i="3" s="1"/>
  <c r="C52" i="3"/>
  <c r="F52" i="3"/>
  <c r="G52" i="3"/>
  <c r="H52" i="3"/>
  <c r="I52" i="3"/>
  <c r="B53" i="3"/>
  <c r="K53" i="3" s="1"/>
  <c r="C53" i="3"/>
  <c r="F53" i="3"/>
  <c r="G53" i="3"/>
  <c r="H53" i="3"/>
  <c r="I53" i="3"/>
  <c r="J53" i="3"/>
  <c r="B54" i="3"/>
  <c r="C54" i="3"/>
  <c r="F54" i="3"/>
  <c r="G54" i="3"/>
  <c r="H54" i="3"/>
  <c r="I54" i="3"/>
  <c r="J54" i="3"/>
  <c r="K54" i="3"/>
  <c r="L54" i="3"/>
  <c r="B55" i="3"/>
  <c r="K55" i="3" s="1"/>
  <c r="C55" i="3"/>
  <c r="F55" i="3"/>
  <c r="G55" i="3"/>
  <c r="H55" i="3"/>
  <c r="I55" i="3"/>
  <c r="B56" i="3"/>
  <c r="K56" i="3" s="1"/>
  <c r="C56" i="3"/>
  <c r="F56" i="3"/>
  <c r="G56" i="3"/>
  <c r="H56" i="3"/>
  <c r="I56" i="3"/>
  <c r="C9" i="3"/>
  <c r="I10" i="3"/>
  <c r="C4" i="3"/>
  <c r="J20" i="3"/>
  <c r="AA19" i="4" l="1"/>
  <c r="AA21" i="4" s="1"/>
  <c r="AB19" i="4"/>
  <c r="AB21" i="4" s="1"/>
  <c r="T19" i="4"/>
  <c r="T21" i="4" s="1"/>
  <c r="V19" i="4"/>
  <c r="V21" i="4" s="1"/>
  <c r="W19" i="4"/>
  <c r="W21" i="4" s="1"/>
  <c r="W22" i="4" s="1"/>
  <c r="X19" i="4"/>
  <c r="X21" i="4" s="1"/>
  <c r="X22" i="4" s="1"/>
  <c r="Q19" i="4"/>
  <c r="Q21" i="4" s="1"/>
  <c r="Q22" i="4" s="1"/>
  <c r="I19" i="4"/>
  <c r="I21" i="4" s="1"/>
  <c r="I22" i="4" s="1"/>
  <c r="F19" i="4"/>
  <c r="F21" i="4" s="1"/>
  <c r="F23" i="4" s="1"/>
  <c r="R19" i="4"/>
  <c r="R21" i="4" s="1"/>
  <c r="R22" i="4" s="1"/>
  <c r="J19" i="4"/>
  <c r="J21" i="4" s="1"/>
  <c r="J22" i="4" s="1"/>
  <c r="U19" i="4"/>
  <c r="U21" i="4" s="1"/>
  <c r="U22" i="4" s="1"/>
  <c r="G19" i="4"/>
  <c r="G21" i="4" s="1"/>
  <c r="G23" i="4" s="1"/>
  <c r="H19" i="4"/>
  <c r="H21" i="4" s="1"/>
  <c r="H23" i="4" s="1"/>
  <c r="K19" i="4"/>
  <c r="K21" i="4" s="1"/>
  <c r="K22" i="4" s="1"/>
  <c r="E19" i="4"/>
  <c r="E21" i="4" s="1"/>
  <c r="E22" i="4" s="1"/>
  <c r="M18" i="5"/>
  <c r="N18" i="5"/>
  <c r="N11" i="5"/>
  <c r="C11" i="5"/>
  <c r="C18" i="5"/>
  <c r="L9" i="5"/>
  <c r="K9" i="5"/>
  <c r="J9" i="5"/>
  <c r="I9" i="5"/>
  <c r="H9" i="5"/>
  <c r="G9" i="5"/>
  <c r="E9" i="5"/>
  <c r="D9" i="5"/>
  <c r="O19" i="4"/>
  <c r="O21" i="4" s="1"/>
  <c r="O22" i="4" s="1"/>
  <c r="P19" i="4"/>
  <c r="P21" i="4" s="1"/>
  <c r="P23" i="4" s="1"/>
  <c r="Y19" i="4"/>
  <c r="Y21" i="4" s="1"/>
  <c r="Y23" i="4" s="1"/>
  <c r="M19" i="4"/>
  <c r="M21" i="4" s="1"/>
  <c r="M23" i="4" s="1"/>
  <c r="N19" i="4"/>
  <c r="N21" i="4" s="1"/>
  <c r="N23" i="4" s="1"/>
  <c r="Z19" i="4"/>
  <c r="Z21" i="4" s="1"/>
  <c r="Z22" i="4" s="1"/>
  <c r="J20" i="1"/>
  <c r="J21" i="1"/>
  <c r="J23" i="1" s="1"/>
  <c r="I21" i="1"/>
  <c r="I23" i="1" s="1"/>
  <c r="I20" i="1"/>
  <c r="R21" i="2"/>
  <c r="N21" i="2"/>
  <c r="D43" i="2" s="1"/>
  <c r="F21" i="2"/>
  <c r="C39" i="2" s="1"/>
  <c r="E21" i="2"/>
  <c r="E32" i="2" s="1"/>
  <c r="D21" i="2"/>
  <c r="C38" i="2" s="1"/>
  <c r="O21" i="2"/>
  <c r="E39" i="2" s="1"/>
  <c r="C21" i="2"/>
  <c r="C33" i="2" s="1"/>
  <c r="R27" i="2"/>
  <c r="R28" i="2" s="1"/>
  <c r="C31" i="2"/>
  <c r="T27" i="2"/>
  <c r="T28" i="2" s="1"/>
  <c r="L21" i="2"/>
  <c r="D41" i="2" s="1"/>
  <c r="I27" i="2"/>
  <c r="I28" i="2" s="1"/>
  <c r="J27" i="2"/>
  <c r="J28" i="2" s="1"/>
  <c r="N27" i="2"/>
  <c r="N28" i="2" s="1"/>
  <c r="S27" i="2"/>
  <c r="S28" i="2" s="1"/>
  <c r="G27" i="2"/>
  <c r="G28" i="2" s="1"/>
  <c r="G33" i="2" s="1"/>
  <c r="K21" i="2"/>
  <c r="D40" i="2" s="1"/>
  <c r="M21" i="2"/>
  <c r="D42" i="2" s="1"/>
  <c r="I21" i="2"/>
  <c r="D38" i="2" s="1"/>
  <c r="H27" i="2"/>
  <c r="H28" i="2" s="1"/>
  <c r="H21" i="2"/>
  <c r="C40" i="2" s="1"/>
  <c r="M27" i="2"/>
  <c r="M28" i="2" s="1"/>
  <c r="L27" i="2"/>
  <c r="L28" i="2" s="1"/>
  <c r="T21" i="2"/>
  <c r="J21" i="2"/>
  <c r="D39" i="2" s="1"/>
  <c r="K27" i="2"/>
  <c r="K28" i="2" s="1"/>
  <c r="S21" i="2"/>
  <c r="F33" i="2"/>
  <c r="F31" i="2"/>
  <c r="F30" i="2"/>
  <c r="F32" i="2"/>
  <c r="O32" i="2"/>
  <c r="O31" i="2"/>
  <c r="E31" i="2"/>
  <c r="E30" i="2"/>
  <c r="Q21" i="2"/>
  <c r="E43" i="2" s="1"/>
  <c r="R33" i="2"/>
  <c r="R31" i="2"/>
  <c r="R32" i="2"/>
  <c r="R30" i="2"/>
  <c r="P21" i="2"/>
  <c r="E41" i="2" s="1"/>
  <c r="AA23" i="4"/>
  <c r="AA22" i="4"/>
  <c r="AB23" i="4"/>
  <c r="AB22" i="4"/>
  <c r="S22" i="4"/>
  <c r="S23" i="4"/>
  <c r="T22" i="4"/>
  <c r="T23" i="4"/>
  <c r="V22" i="4"/>
  <c r="V23" i="4"/>
  <c r="L23" i="4"/>
  <c r="L53" i="3"/>
  <c r="J56" i="3"/>
  <c r="L56" i="3" s="1"/>
  <c r="J55" i="3"/>
  <c r="L55" i="3" s="1"/>
  <c r="J51" i="3"/>
  <c r="L51" i="3" s="1"/>
  <c r="J47" i="3"/>
  <c r="L47" i="3" s="1"/>
  <c r="K44" i="3"/>
  <c r="L44" i="3" s="1"/>
  <c r="J52" i="3"/>
  <c r="L52" i="3" s="1"/>
  <c r="J48" i="3"/>
  <c r="L48" i="3" s="1"/>
  <c r="B5" i="3"/>
  <c r="I11" i="3" s="1"/>
  <c r="D9" i="3"/>
  <c r="H4" i="3" s="1"/>
  <c r="C8" i="3"/>
  <c r="D8" i="3" s="1"/>
  <c r="C3" i="3"/>
  <c r="D3" i="3" s="1"/>
  <c r="B19" i="3" s="1"/>
  <c r="D4" i="3"/>
  <c r="H16" i="1"/>
  <c r="H12" i="1"/>
  <c r="H10" i="1"/>
  <c r="H5" i="1"/>
  <c r="H13" i="1" s="1"/>
  <c r="H14" i="1" s="1"/>
  <c r="G16" i="1"/>
  <c r="G12" i="1"/>
  <c r="G10" i="1"/>
  <c r="G5" i="1"/>
  <c r="G13" i="1" s="1"/>
  <c r="G14" i="1" s="1"/>
  <c r="F5" i="1"/>
  <c r="F16" i="1"/>
  <c r="F12" i="1"/>
  <c r="F10" i="1"/>
  <c r="E2" i="1"/>
  <c r="E5" i="1" s="1"/>
  <c r="E16" i="1"/>
  <c r="E12" i="1"/>
  <c r="E10" i="1"/>
  <c r="D16" i="1"/>
  <c r="D12" i="1"/>
  <c r="D10" i="1"/>
  <c r="D5" i="1"/>
  <c r="D13" i="1" s="1"/>
  <c r="D14" i="1" s="1"/>
  <c r="P22" i="4" l="1"/>
  <c r="O23" i="4"/>
  <c r="X23" i="4"/>
  <c r="Q23" i="4"/>
  <c r="W23" i="4"/>
  <c r="M22" i="4"/>
  <c r="U23" i="4"/>
  <c r="Z23" i="4"/>
  <c r="R23" i="4"/>
  <c r="H22" i="4"/>
  <c r="G22" i="4"/>
  <c r="I23" i="4"/>
  <c r="J23" i="4"/>
  <c r="F22" i="4"/>
  <c r="K23" i="4"/>
  <c r="Y22" i="4"/>
  <c r="N22" i="4"/>
  <c r="E23" i="4"/>
  <c r="J11" i="5"/>
  <c r="J18" i="5"/>
  <c r="L11" i="5"/>
  <c r="L18" i="5"/>
  <c r="E11" i="5"/>
  <c r="E18" i="5"/>
  <c r="H11" i="5"/>
  <c r="H18" i="5"/>
  <c r="K11" i="5"/>
  <c r="K18" i="5"/>
  <c r="G11" i="5"/>
  <c r="G18" i="5"/>
  <c r="I11" i="5"/>
  <c r="I18" i="5"/>
  <c r="D11" i="5"/>
  <c r="D18" i="5"/>
  <c r="F13" i="1"/>
  <c r="F14" i="1" s="1"/>
  <c r="E13" i="1"/>
  <c r="E14" i="1" s="1"/>
  <c r="J25" i="1"/>
  <c r="J29" i="1"/>
  <c r="I29" i="1"/>
  <c r="I25" i="1"/>
  <c r="C30" i="2"/>
  <c r="C32" i="2"/>
  <c r="D33" i="2"/>
  <c r="D32" i="2"/>
  <c r="M32" i="2"/>
  <c r="K31" i="2"/>
  <c r="D30" i="2"/>
  <c r="L31" i="2"/>
  <c r="E33" i="2"/>
  <c r="M31" i="2"/>
  <c r="M33" i="2"/>
  <c r="O33" i="2"/>
  <c r="M30" i="2"/>
  <c r="O30" i="2"/>
  <c r="L33" i="2"/>
  <c r="L30" i="2"/>
  <c r="L32" i="2"/>
  <c r="H30" i="2"/>
  <c r="H32" i="2"/>
  <c r="N32" i="2"/>
  <c r="D31" i="2"/>
  <c r="H31" i="2"/>
  <c r="J33" i="2"/>
  <c r="N30" i="2"/>
  <c r="S33" i="2"/>
  <c r="T30" i="2"/>
  <c r="K33" i="2"/>
  <c r="S31" i="2"/>
  <c r="G31" i="2"/>
  <c r="K32" i="2"/>
  <c r="S30" i="2"/>
  <c r="K30" i="2"/>
  <c r="S32" i="2"/>
  <c r="T32" i="2"/>
  <c r="T31" i="2"/>
  <c r="I32" i="2"/>
  <c r="T33" i="2"/>
  <c r="H33" i="2"/>
  <c r="I31" i="2"/>
  <c r="J32" i="2"/>
  <c r="N31" i="2"/>
  <c r="G30" i="2"/>
  <c r="I33" i="2"/>
  <c r="J31" i="2"/>
  <c r="N33" i="2"/>
  <c r="G32" i="2"/>
  <c r="I30" i="2"/>
  <c r="J30" i="2"/>
  <c r="P31" i="2"/>
  <c r="P32" i="2"/>
  <c r="P30" i="2"/>
  <c r="P33" i="2"/>
  <c r="Q31" i="2"/>
  <c r="Q30" i="2"/>
  <c r="Q32" i="2"/>
  <c r="Q33" i="2"/>
  <c r="G20" i="3"/>
  <c r="G18" i="3"/>
  <c r="E20" i="3"/>
  <c r="E18" i="3"/>
  <c r="G4" i="3"/>
  <c r="F4" i="3"/>
  <c r="H3" i="3"/>
  <c r="H5" i="3" s="1"/>
  <c r="G3" i="3"/>
  <c r="F3" i="3"/>
  <c r="A19" i="3"/>
  <c r="J19" i="3" s="1"/>
  <c r="A18" i="3"/>
  <c r="B18" i="3"/>
  <c r="H21" i="1"/>
  <c r="H23" i="1" s="1"/>
  <c r="H29" i="1" s="1"/>
  <c r="H20" i="1"/>
  <c r="G21" i="1"/>
  <c r="G23" i="1" s="1"/>
  <c r="G25" i="1" s="1"/>
  <c r="F21" i="1"/>
  <c r="F23" i="1" s="1"/>
  <c r="F25" i="1" s="1"/>
  <c r="E21" i="1"/>
  <c r="E23" i="1" s="1"/>
  <c r="D20" i="1"/>
  <c r="J38" i="1" l="1"/>
  <c r="J32" i="1"/>
  <c r="J30" i="1"/>
  <c r="J39" i="1" s="1"/>
  <c r="I32" i="1"/>
  <c r="I38" i="1"/>
  <c r="I30" i="1"/>
  <c r="I39" i="1" s="1"/>
  <c r="F20" i="1"/>
  <c r="F5" i="3"/>
  <c r="G5" i="3"/>
  <c r="K20" i="3"/>
  <c r="I4" i="3"/>
  <c r="L4" i="3" s="1"/>
  <c r="M4" i="3" s="1"/>
  <c r="I18" i="3"/>
  <c r="K18" i="3"/>
  <c r="I19" i="3"/>
  <c r="I20" i="3"/>
  <c r="K19" i="3"/>
  <c r="J18" i="3"/>
  <c r="J4" i="3"/>
  <c r="K4" i="3" s="1"/>
  <c r="J3" i="3"/>
  <c r="K3" i="3" s="1"/>
  <c r="I3" i="3"/>
  <c r="L3" i="3" s="1"/>
  <c r="M3" i="3" s="1"/>
  <c r="H25" i="1"/>
  <c r="G20" i="1"/>
  <c r="F29" i="1"/>
  <c r="E25" i="1"/>
  <c r="E29" i="1"/>
  <c r="G29" i="1"/>
  <c r="G38" i="1" s="1"/>
  <c r="E20" i="1"/>
  <c r="D21" i="1"/>
  <c r="D23" i="1" s="1"/>
  <c r="J41" i="1" l="1"/>
  <c r="J33" i="1"/>
  <c r="J42" i="1" s="1"/>
  <c r="I41" i="1"/>
  <c r="I33" i="1"/>
  <c r="I42" i="1" s="1"/>
  <c r="H8" i="3"/>
  <c r="F8" i="3"/>
  <c r="I5" i="3"/>
  <c r="L5" i="3" s="1"/>
  <c r="M5" i="3" s="1"/>
  <c r="J5" i="3"/>
  <c r="K5" i="3" s="1"/>
  <c r="G8" i="3"/>
  <c r="G32" i="1"/>
  <c r="G41" i="1" s="1"/>
  <c r="G30" i="1"/>
  <c r="G39" i="1" s="1"/>
  <c r="H32" i="1"/>
  <c r="H38" i="1"/>
  <c r="H30" i="1"/>
  <c r="H39" i="1" s="1"/>
  <c r="D25" i="1"/>
  <c r="D29" i="1"/>
  <c r="E30" i="1"/>
  <c r="E39" i="1" s="1"/>
  <c r="E38" i="1"/>
  <c r="E32" i="1"/>
  <c r="F38" i="1"/>
  <c r="F30" i="1"/>
  <c r="F39" i="1" s="1"/>
  <c r="F32" i="1"/>
  <c r="G33" i="1"/>
  <c r="G42" i="1" s="1"/>
  <c r="I8" i="3" l="1"/>
  <c r="J8" i="3"/>
  <c r="K8" i="3" s="1"/>
  <c r="H33" i="1"/>
  <c r="H42" i="1" s="1"/>
  <c r="H41" i="1"/>
  <c r="F41" i="1"/>
  <c r="F33" i="1"/>
  <c r="F42" i="1" s="1"/>
  <c r="E33" i="1"/>
  <c r="E42" i="1" s="1"/>
  <c r="E41" i="1"/>
  <c r="D32" i="1"/>
  <c r="D38" i="1"/>
  <c r="D30" i="1"/>
  <c r="D39" i="1" s="1"/>
  <c r="L8" i="3" l="1"/>
  <c r="M8" i="3" s="1"/>
  <c r="D33" i="1"/>
  <c r="D42" i="1" s="1"/>
  <c r="D41" i="1"/>
</calcChain>
</file>

<file path=xl/sharedStrings.xml><?xml version="1.0" encoding="utf-8"?>
<sst xmlns="http://schemas.openxmlformats.org/spreadsheetml/2006/main" count="202" uniqueCount="150">
  <si>
    <t>solar array size</t>
  </si>
  <si>
    <t>m2</t>
  </si>
  <si>
    <t>solar flux</t>
  </si>
  <si>
    <t>W/m2</t>
  </si>
  <si>
    <t>panel eff</t>
  </si>
  <si>
    <t>panel output</t>
  </si>
  <si>
    <t>kW</t>
  </si>
  <si>
    <t>orbit period</t>
  </si>
  <si>
    <t>min</t>
  </si>
  <si>
    <t>contact time</t>
  </si>
  <si>
    <t>non contact time</t>
  </si>
  <si>
    <t>out of eclipse percent</t>
  </si>
  <si>
    <t>charging duration</t>
  </si>
  <si>
    <t>storage energy / orbit</t>
  </si>
  <si>
    <t>kW hr</t>
  </si>
  <si>
    <t>orbits per day</t>
  </si>
  <si>
    <t>orbits</t>
  </si>
  <si>
    <t>eps eff</t>
  </si>
  <si>
    <t>spacecraft power need (decouple from solar array size)</t>
  </si>
  <si>
    <t>spacecraft power need</t>
  </si>
  <si>
    <t>KW hr</t>
  </si>
  <si>
    <t>stored energy for laser / orbit</t>
  </si>
  <si>
    <t>laser eff</t>
  </si>
  <si>
    <t>instant laser output</t>
  </si>
  <si>
    <t>number of 1kW lasers</t>
  </si>
  <si>
    <t>num of customers</t>
  </si>
  <si>
    <t>num of satellites</t>
  </si>
  <si>
    <t>energy/orbit</t>
  </si>
  <si>
    <t>energy/customer/orbit</t>
  </si>
  <si>
    <t>energy/day</t>
  </si>
  <si>
    <t>energy/customer/day</t>
  </si>
  <si>
    <t>average pointing eff</t>
  </si>
  <si>
    <t>receiver solar eff</t>
  </si>
  <si>
    <t>MEuro</t>
  </si>
  <si>
    <t>number of spacecraft</t>
  </si>
  <si>
    <t>number of payloads/spacecraft</t>
  </si>
  <si>
    <t>cost of fleet</t>
  </si>
  <si>
    <t>total system cost to orbit</t>
  </si>
  <si>
    <t>vehLong</t>
  </si>
  <si>
    <t>low</t>
  </si>
  <si>
    <t>high</t>
  </si>
  <si>
    <t>sunAngle</t>
  </si>
  <si>
    <t>inNight</t>
  </si>
  <si>
    <t>anomaly</t>
  </si>
  <si>
    <t>lat</t>
  </si>
  <si>
    <t>R1</t>
  </si>
  <si>
    <t>deg</t>
  </si>
  <si>
    <t>rad</t>
  </si>
  <si>
    <t>cos(theta)</t>
  </si>
  <si>
    <t>sin(theta)</t>
  </si>
  <si>
    <t>R2</t>
  </si>
  <si>
    <t>cos(phi)</t>
  </si>
  <si>
    <t>sin(phi)</t>
  </si>
  <si>
    <t>-sin(phi)</t>
  </si>
  <si>
    <t>-sin(theta)</t>
  </si>
  <si>
    <t>long</t>
  </si>
  <si>
    <t>X</t>
  </si>
  <si>
    <t>Y</t>
  </si>
  <si>
    <t>Z</t>
  </si>
  <si>
    <t>S</t>
  </si>
  <si>
    <t>E</t>
  </si>
  <si>
    <t>U</t>
  </si>
  <si>
    <t>Radius</t>
  </si>
  <si>
    <t>veh</t>
  </si>
  <si>
    <t>sat</t>
  </si>
  <si>
    <t>sat-veh</t>
  </si>
  <si>
    <t>R2R1</t>
  </si>
  <si>
    <t>linear</t>
  </si>
  <si>
    <t>perp</t>
  </si>
  <si>
    <t>phi=90-L</t>
  </si>
  <si>
    <t>theta=long</t>
  </si>
  <si>
    <t>Az (rad)</t>
  </si>
  <si>
    <t>Az (deg)</t>
  </si>
  <si>
    <t>El (rad)</t>
  </si>
  <si>
    <t>El (deg)</t>
  </si>
  <si>
    <t>radius</t>
  </si>
  <si>
    <t>small</t>
  </si>
  <si>
    <t>large</t>
  </si>
  <si>
    <t>med</t>
  </si>
  <si>
    <t>vehicle type</t>
  </si>
  <si>
    <t>survival</t>
  </si>
  <si>
    <t>average</t>
  </si>
  <si>
    <t>maximum</t>
  </si>
  <si>
    <t>10 Watts</t>
  </si>
  <si>
    <t>50 Watts</t>
  </si>
  <si>
    <t>80 Watts</t>
  </si>
  <si>
    <t>200 Watts</t>
  </si>
  <si>
    <t>250 Watts</t>
  </si>
  <si>
    <t>350 Watts</t>
  </si>
  <si>
    <t>500 Watts</t>
  </si>
  <si>
    <t>Veh EPS eff</t>
  </si>
  <si>
    <t>Rx Panel eff</t>
  </si>
  <si>
    <t>Pointing eff</t>
  </si>
  <si>
    <t>Beam time/orbit (min)</t>
  </si>
  <si>
    <t>Beam time/day (hrs)</t>
  </si>
  <si>
    <t>Orbits/day</t>
  </si>
  <si>
    <t>Energy reqt after eff (kWh/day)</t>
  </si>
  <si>
    <t>Energy Reqt (kWh/day)</t>
  </si>
  <si>
    <t>Beam Power Reqt (kW)</t>
  </si>
  <si>
    <t>Power/Beam (kW)</t>
  </si>
  <si>
    <t>Number of Beams</t>
  </si>
  <si>
    <t>margin</t>
  </si>
  <si>
    <t>Power Production (kW)</t>
  </si>
  <si>
    <t>VIPER</t>
  </si>
  <si>
    <t>Surface Power Reqt (W)</t>
  </si>
  <si>
    <t>recurring laser payload cost</t>
  </si>
  <si>
    <t>recurring spacecraft cost (no payload)</t>
  </si>
  <si>
    <t>cost per spacecraft with payload</t>
  </si>
  <si>
    <t>kg</t>
  </si>
  <si>
    <t>mass of spacecraft</t>
  </si>
  <si>
    <t>mass of fleet</t>
  </si>
  <si>
    <t>launch cost for fleet</t>
  </si>
  <si>
    <t>launch to lunar orbit cost per kg</t>
  </si>
  <si>
    <t>mass of spacecraft with payload</t>
  </si>
  <si>
    <t>mass of laser payload</t>
  </si>
  <si>
    <t>Euro</t>
  </si>
  <si>
    <t>number of lasers</t>
  </si>
  <si>
    <t>kWh/day delivery capacity</t>
  </si>
  <si>
    <t>1 year break even price / kW</t>
  </si>
  <si>
    <t>2 year break even price / kW</t>
  </si>
  <si>
    <t>5 year break even price / kW</t>
  </si>
  <si>
    <t>kWh/year delivery capacity</t>
  </si>
  <si>
    <t>10 year break even price / kW</t>
  </si>
  <si>
    <t>beam time/orbit (min)</t>
  </si>
  <si>
    <t>orbits/day</t>
  </si>
  <si>
    <t>beam time/day (hrs)</t>
  </si>
  <si>
    <t>2 Lasers</t>
  </si>
  <si>
    <t>4 Lasers</t>
  </si>
  <si>
    <t>6 Lasers</t>
  </si>
  <si>
    <t>8 Lasers</t>
  </si>
  <si>
    <t>12 Lasers</t>
  </si>
  <si>
    <t>1 laser/sat</t>
  </si>
  <si>
    <t>2lasers/sat</t>
  </si>
  <si>
    <t>4lasers/sat</t>
  </si>
  <si>
    <t>10 Lasers</t>
  </si>
  <si>
    <t>battery mass (250W/kg)</t>
  </si>
  <si>
    <t>Beam Power Production (kW)</t>
  </si>
  <si>
    <t>Laser Eff</t>
  </si>
  <si>
    <t>Laser Power Draw (kW)</t>
  </si>
  <si>
    <t>Beam time per orbit (min)</t>
  </si>
  <si>
    <t>Beam Energy needs per  orbit (kWh)</t>
  </si>
  <si>
    <t>solar flux (W/m2)</t>
  </si>
  <si>
    <t>solar panel eff</t>
  </si>
  <si>
    <t>Non-eclipse time</t>
  </si>
  <si>
    <t>Charging Duration per orbit (min)</t>
  </si>
  <si>
    <t>solar array area (m2)</t>
  </si>
  <si>
    <t>EPS Eff</t>
  </si>
  <si>
    <t>Battery Input needs per orbit (kWh)</t>
  </si>
  <si>
    <t>battery size (kg)</t>
  </si>
  <si>
    <t>Li-ion Energy Density (W/kg)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</si>
</sst>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4D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4B083"/>
      </right>
      <top/>
      <bottom style="medium">
        <color rgb="FFF4B083"/>
      </bottom>
      <diagonal/>
    </border>
    <border>
      <left/>
      <right/>
      <top/>
      <bottom style="medium">
        <color rgb="FFF4B08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4" fillId="0" borderId="0" xfId="0" applyFont="1" applyAlignment="1">
      <alignment horizontal="center" vertical="center" wrapText="1"/>
    </xf>
    <xf numFmtId="0" fontId="1" fillId="5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'Laser Count Analysis'!$D$19</c:f>
              <c:strCache>
                <c:ptCount val="1"/>
                <c:pt idx="0">
                  <c:v>Beam Power Reqt (kW)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Analysis'!$E$7:$AB$7</c:f>
              <c:numCache>
                <c:formatCode>General</c:formatCode>
                <c:ptCount val="2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cat>
          <c:val>
            <c:numRef>
              <c:f>'Laser Count Analysis'!$E$19:$AB$19</c:f>
              <c:numCache>
                <c:formatCode>0.00</c:formatCode>
                <c:ptCount val="24"/>
                <c:pt idx="0">
                  <c:v>0.92125739184562705</c:v>
                </c:pt>
                <c:pt idx="1">
                  <c:v>1.3818860877684409</c:v>
                </c:pt>
                <c:pt idx="2">
                  <c:v>1.8425147836912541</c:v>
                </c:pt>
                <c:pt idx="3">
                  <c:v>2.303143479614068</c:v>
                </c:pt>
                <c:pt idx="4">
                  <c:v>2.7637721755368818</c:v>
                </c:pt>
                <c:pt idx="5">
                  <c:v>3.2244008714596952</c:v>
                </c:pt>
                <c:pt idx="6">
                  <c:v>3.6850295673825082</c:v>
                </c:pt>
                <c:pt idx="7">
                  <c:v>4.1456582633053225</c:v>
                </c:pt>
                <c:pt idx="8">
                  <c:v>4.6062869592281359</c:v>
                </c:pt>
                <c:pt idx="9">
                  <c:v>5.0669156551509493</c:v>
                </c:pt>
                <c:pt idx="10">
                  <c:v>5.5275443510737636</c:v>
                </c:pt>
                <c:pt idx="11">
                  <c:v>5.9881730469965762</c:v>
                </c:pt>
                <c:pt idx="12">
                  <c:v>6.4488017429193905</c:v>
                </c:pt>
                <c:pt idx="13">
                  <c:v>6.909430438842203</c:v>
                </c:pt>
                <c:pt idx="14">
                  <c:v>7.3700591347650164</c:v>
                </c:pt>
                <c:pt idx="15">
                  <c:v>7.8306878306878289</c:v>
                </c:pt>
                <c:pt idx="16">
                  <c:v>8.291316526610645</c:v>
                </c:pt>
                <c:pt idx="17">
                  <c:v>8.7519452225334575</c:v>
                </c:pt>
                <c:pt idx="18">
                  <c:v>9.2125739184562718</c:v>
                </c:pt>
                <c:pt idx="19">
                  <c:v>9.6732026143790861</c:v>
                </c:pt>
                <c:pt idx="20">
                  <c:v>10.133831310301899</c:v>
                </c:pt>
                <c:pt idx="21">
                  <c:v>10.594460006224713</c:v>
                </c:pt>
                <c:pt idx="22">
                  <c:v>11.055088702147527</c:v>
                </c:pt>
                <c:pt idx="23">
                  <c:v>11.515717398070338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AE4D-99FE-896CCE3E534B}"/>
            </c:ext>
          </c:extLst>
        </c:ser>
        <c:ser>
          <c:idx val="1"/>
          <c:order val="1"/>
          <c:tx>
            <c:strRef>
              <c:f>'Laser Count Analysis'!$D$21</c:f>
              <c:strCache>
                <c:ptCount val="1"/>
                <c:pt idx="0">
                  <c:v>Number of Beams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'Laser Count Analysis'!$E$7:$AB$7</c:f>
              <c:numCache>
                <c:formatCode>General</c:formatCode>
                <c:ptCount val="2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cat>
          <c:val>
            <c:numRef>
              <c:f>'Laser Count Analysis'!$E$21:$AB$21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AE4D-99FE-896CCE3E53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5010720"/>
        <c:axId val="1154832880"/>
      </c:lineChart>
      <c:catAx>
        <c:axId val="1155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880"/>
        <c:crosses val="autoZero"/>
        <c:auto val="1"/>
        <c:lblAlgn val="ctr"/>
        <c:lblOffset val="100"/>
        <c:noMultiLvlLbl val="0"/>
      </c:catAx>
      <c:valAx>
        <c:axId val="11548328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10720"/>
        <c:crosses val="autoZero"/>
        <c:crossBetween val="between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66863154536623"/>
          <c:y val="5.8063414391812999E-2"/>
          <c:w val="0.64284873952169452"/>
          <c:h val="7.7120980381049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Spacecraft</a:t>
            </a:r>
            <a:r>
              <a:rPr lang="en-US" baseline="0"/>
              <a:t> Sizing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934672178717"/>
          <c:y val="8.5353600788313971E-2"/>
          <c:w val="0.87057812041010796"/>
          <c:h val="0.8002932454995848"/>
        </c:manualLayout>
      </c:layout>
      <c:lineChart>
        <c:grouping val="standard"/>
        <c:varyColors val="0"/>
        <c:ser>
          <c:idx val="0"/>
          <c:order val="0"/>
          <c:tx>
            <c:strRef>
              <c:f>'Spacecraft Sizing'!$B$11</c:f>
              <c:strCache>
                <c:ptCount val="1"/>
                <c:pt idx="0">
                  <c:v>battery size (kg)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'Spacecraft Sizing'!$C$11:$N$11</c:f>
              <c:numCache>
                <c:formatCode>General</c:formatCode>
                <c:ptCount val="12"/>
                <c:pt idx="0">
                  <c:v>6.3348416289592757</c:v>
                </c:pt>
                <c:pt idx="1">
                  <c:v>12.669683257918551</c:v>
                </c:pt>
                <c:pt idx="2">
                  <c:v>19.004524886877828</c:v>
                </c:pt>
                <c:pt idx="3">
                  <c:v>25.339366515837103</c:v>
                </c:pt>
                <c:pt idx="4">
                  <c:v>31.674208144796381</c:v>
                </c:pt>
                <c:pt idx="5">
                  <c:v>38.009049773755656</c:v>
                </c:pt>
                <c:pt idx="6">
                  <c:v>44.343891402714938</c:v>
                </c:pt>
                <c:pt idx="7">
                  <c:v>50.678733031674206</c:v>
                </c:pt>
                <c:pt idx="8">
                  <c:v>57.013574660633488</c:v>
                </c:pt>
                <c:pt idx="9">
                  <c:v>63.348416289592762</c:v>
                </c:pt>
                <c:pt idx="10">
                  <c:v>69.68325791855203</c:v>
                </c:pt>
                <c:pt idx="11">
                  <c:v>76.018099547511312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D-394F-BAE8-92DF72B51580}"/>
            </c:ext>
          </c:extLst>
        </c:ser>
        <c:ser>
          <c:idx val="1"/>
          <c:order val="1"/>
          <c:tx>
            <c:strRef>
              <c:f>'Spacecraft Sizing'!$B$18</c:f>
              <c:strCache>
                <c:ptCount val="1"/>
                <c:pt idx="0">
                  <c:v>solar array area (m2)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'Spacecraft Sizing'!$C$18:$N$18</c:f>
              <c:numCache>
                <c:formatCode>General</c:formatCode>
                <c:ptCount val="12"/>
                <c:pt idx="0">
                  <c:v>1.6210889781002453</c:v>
                </c:pt>
                <c:pt idx="1">
                  <c:v>3.2421779562004907</c:v>
                </c:pt>
                <c:pt idx="2">
                  <c:v>4.8632669343007366</c:v>
                </c:pt>
                <c:pt idx="3">
                  <c:v>6.4843559124009813</c:v>
                </c:pt>
                <c:pt idx="4">
                  <c:v>8.1054448905012286</c:v>
                </c:pt>
                <c:pt idx="5">
                  <c:v>9.7265338686014733</c:v>
                </c:pt>
                <c:pt idx="6">
                  <c:v>11.347622846701721</c:v>
                </c:pt>
                <c:pt idx="7">
                  <c:v>12.968711824801963</c:v>
                </c:pt>
                <c:pt idx="8">
                  <c:v>14.589800802902211</c:v>
                </c:pt>
                <c:pt idx="9">
                  <c:v>16.210889781002457</c:v>
                </c:pt>
                <c:pt idx="10">
                  <c:v>17.8319787591027</c:v>
                </c:pt>
                <c:pt idx="11">
                  <c:v>19.453067737202947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394F-BAE8-92DF72B5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smooth val="0"/>
        <c:axId val="830295648"/>
        <c:axId val="874754048"/>
      </c:lineChart>
      <c:catAx>
        <c:axId val="8302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54048"/>
        <c:crosses val="autoZero"/>
        <c:auto val="1"/>
        <c:lblAlgn val="ctr"/>
        <c:lblOffset val="100"/>
        <c:noMultiLvlLbl val="0"/>
      </c:catAx>
      <c:valAx>
        <c:axId val="8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(KG 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807075867109"/>
          <c:y val="0.26422204176969188"/>
          <c:w val="0.19642312639206952"/>
          <c:h val="0.10979043693507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7954831428609"/>
          <c:y val="3.7359917166317515E-2"/>
          <c:w val="0.85573480003632174"/>
          <c:h val="0.86800854021687657"/>
        </c:manualLayout>
      </c:layout>
      <c:lineChart>
        <c:grouping val="standard"/>
        <c:varyColors val="0"/>
        <c:ser>
          <c:idx val="0"/>
          <c:order val="0"/>
          <c:tx>
            <c:v>One Laser / Satellite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analysis'!$A$38:$A$43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analysis'!$C$38:$C$43</c:f>
              <c:numCache>
                <c:formatCode>0</c:formatCode>
                <c:ptCount val="6"/>
                <c:pt idx="0">
                  <c:v>410.4</c:v>
                </c:pt>
                <c:pt idx="1">
                  <c:v>820.8</c:v>
                </c:pt>
                <c:pt idx="2">
                  <c:v>1231.2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3-194D-91D1-52B0500A817F}"/>
            </c:ext>
          </c:extLst>
        </c:ser>
        <c:ser>
          <c:idx val="1"/>
          <c:order val="1"/>
          <c:tx>
            <c:v>Two Lasers / Satellite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analysis'!$A$38:$A$43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analysis'!$D$38:$D$43</c:f>
              <c:numCache>
                <c:formatCode>0</c:formatCode>
                <c:ptCount val="6"/>
                <c:pt idx="0">
                  <c:v>257.2</c:v>
                </c:pt>
                <c:pt idx="1">
                  <c:v>514.4</c:v>
                </c:pt>
                <c:pt idx="2">
                  <c:v>771.6</c:v>
                </c:pt>
                <c:pt idx="3">
                  <c:v>1028.8</c:v>
                </c:pt>
                <c:pt idx="4">
                  <c:v>1286</c:v>
                </c:pt>
                <c:pt idx="5">
                  <c:v>1543.2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3-194D-91D1-52B0500A817F}"/>
            </c:ext>
          </c:extLst>
        </c:ser>
        <c:ser>
          <c:idx val="2"/>
          <c:order val="2"/>
          <c:tx>
            <c:v>Four Lasers / Satellite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'Fleet cost analysis'!$A$38:$A$43</c:f>
              <c:strCache>
                <c:ptCount val="6"/>
                <c:pt idx="0">
                  <c:v>2 Lasers</c:v>
                </c:pt>
                <c:pt idx="1">
                  <c:v>4 Lasers</c:v>
                </c:pt>
                <c:pt idx="2">
                  <c:v>6 Lasers</c:v>
                </c:pt>
                <c:pt idx="3">
                  <c:v>8 Lasers</c:v>
                </c:pt>
                <c:pt idx="4">
                  <c:v>10 Lasers</c:v>
                </c:pt>
                <c:pt idx="5">
                  <c:v>12 Lasers</c:v>
                </c:pt>
              </c:strCache>
            </c:strRef>
          </c:cat>
          <c:val>
            <c:numRef>
              <c:f>'Fleet cost analysis'!$E$38:$E$43</c:f>
              <c:numCache>
                <c:formatCode>0</c:formatCode>
                <c:ptCount val="6"/>
                <c:pt idx="1">
                  <c:v>361.2</c:v>
                </c:pt>
                <c:pt idx="3">
                  <c:v>722.4</c:v>
                </c:pt>
                <c:pt idx="5">
                  <c:v>1083.5999999999999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3-194D-91D1-52B0500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266814080"/>
        <c:axId val="1255739072"/>
      </c:lineChart>
      <c:catAx>
        <c:axId val="12668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Lasers</a:t>
                </a:r>
              </a:p>
            </c:rich>
          </c:tx>
          <c:layout>
            <c:manualLayout>
              <c:xMode val="edge"/>
              <c:yMode val="edge"/>
              <c:x val="0.45502289561416026"/>
              <c:y val="0.953822629969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39072"/>
        <c:crosses val="autoZero"/>
        <c:auto val="1"/>
        <c:lblAlgn val="ctr"/>
        <c:lblOffset val="100"/>
        <c:noMultiLvlLbl val="0"/>
      </c:catAx>
      <c:valAx>
        <c:axId val="1255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Euro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30148270181219E-2"/>
              <c:y val="0.3730105067141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80792330942162"/>
          <c:y val="0.16818480258774995"/>
          <c:w val="0.22234858410408745"/>
          <c:h val="0.1254039345999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27936"/>
        <c:axId val="1631414496"/>
      </c:lineChart>
      <c:catAx>
        <c:axId val="16314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96"/>
        <c:crosses val="autoZero"/>
        <c:auto val="1"/>
        <c:lblAlgn val="ctr"/>
        <c:lblOffset val="100"/>
        <c:noMultiLvlLbl val="0"/>
      </c:catAx>
      <c:valAx>
        <c:axId val="1631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193040</xdr:colOff>
      <xdr:row>24</xdr:row>
      <xdr:rowOff>50800</xdr:rowOff>
    </xdr:from>
    <xdr:to>
      <xdr:col>24</xdr:col>
      <xdr:colOff>215900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2D12-27C0-0B4D-A024-6E380CDA5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0.35727</cdr:x>
      <cdr:y>0.90221</cdr:y>
    </cdr:from>
    <cdr:to>
      <cdr:x>0.65009</cdr:x>
      <cdr:y>0.97792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DF00B7-C68A-E27D-C484-9CCDDA4BA573}"/>
            </a:ext>
          </a:extLst>
        </cdr:cNvPr>
        <cdr:cNvSpPr txBox="1"/>
      </cdr:nvSpPr>
      <cdr:spPr>
        <a:xfrm xmlns:a="http://schemas.openxmlformats.org/drawingml/2006/main">
          <a:off x="1971040" y="2905760"/>
          <a:ext cx="16154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</a:t>
          </a:r>
          <a:r>
            <a:rPr lang="en-US" sz="1100" baseline="0"/>
            <a:t> Power Reqt (W)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18</xdr:row>
      <xdr:rowOff>133350</xdr:rowOff>
    </xdr:from>
    <xdr:to>
      <xdr:col>14</xdr:col>
      <xdr:colOff>76200</xdr:colOff>
      <xdr:row>42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1510AB-532C-2253-B835-F42FDFD9E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33</xdr:row>
      <xdr:rowOff>69850</xdr:rowOff>
    </xdr:from>
    <xdr:to>
      <xdr:col>20</xdr:col>
      <xdr:colOff>533400</xdr:colOff>
      <xdr:row>66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2B4AD-3E09-681A-BDA4-6C7F930E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0.27512</cdr:x>
      <cdr:y>0.03568</cdr:y>
    </cdr:from>
    <cdr:to>
      <cdr:x>0.76277</cdr:x>
      <cdr:y>0.10907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A437AA-6AEC-E447-7AEB-8137B2BBDB79}"/>
            </a:ext>
          </a:extLst>
        </cdr:cNvPr>
        <cdr:cNvSpPr txBox="1"/>
      </cdr:nvSpPr>
      <cdr:spPr>
        <a:xfrm xmlns:a="http://schemas.openxmlformats.org/drawingml/2006/main">
          <a:off x="2120900" y="222250"/>
          <a:ext cx="37592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Total Cost to Orbit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641350</xdr:colOff>
      <xdr:row>3</xdr:row>
      <xdr:rowOff>139700</xdr:rowOff>
    </xdr:from>
    <xdr:to>
      <xdr:col>19</xdr:col>
      <xdr:colOff>260350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5F3D5-999B-5748-A47B-B09E9850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B46A-223E-4370-BADF-6F68045EC825}">
  <dimension ref="B1:J42"/>
  <sheetViews>
    <sheetView zoomScale="140" zoomScaleNormal="140" workbookViewId="0">
      <selection activeCell="J12" sqref="J12"/>
    </sheetView>
  </sheetViews>
  <sheetFormatPr baseColWidth="10" defaultColWidth="8.83203125" defaultRowHeight="15" x14ac:dyDescent="0.2"/>
  <cols>
    <col min="2" max="2" width="27.6640625" customWidth="1"/>
    <col min="14" max="14" width="4.6640625" bestFit="1" customWidth="1"/>
    <col min="15" max="20" width="5.5" customWidth="1"/>
    <col min="21" max="25" width="5.6640625" bestFit="1" customWidth="1"/>
    <col min="26" max="31" width="5.6640625" customWidth="1"/>
    <col min="32" max="35" width="5.6640625" bestFit="1" customWidth="1"/>
  </cols>
  <sheetData>
    <row r="1" spans="2:10" x14ac:dyDescent="0.2">
      <c r="G1" s="6"/>
      <c r="H1" s="6"/>
      <c r="I1" s="6"/>
      <c r="J1" s="6"/>
    </row>
    <row r="2" spans="2:10" ht="16" customHeight="1" x14ac:dyDescent="0.2">
      <c r="B2" t="s">
        <v>0</v>
      </c>
      <c r="C2" t="s">
        <v>1</v>
      </c>
      <c r="D2" s="5">
        <v>72</v>
      </c>
      <c r="E2" s="5">
        <f>72/11.6</f>
        <v>6.2068965517241379</v>
      </c>
      <c r="F2" s="5">
        <v>6.21</v>
      </c>
      <c r="G2" s="5">
        <v>12.42</v>
      </c>
      <c r="H2" s="5">
        <v>24.84</v>
      </c>
      <c r="I2" s="5">
        <v>37.5</v>
      </c>
      <c r="J2" s="5">
        <v>50</v>
      </c>
    </row>
    <row r="3" spans="2:10" ht="16" customHeight="1" x14ac:dyDescent="0.2">
      <c r="B3" t="s">
        <v>2</v>
      </c>
      <c r="C3" t="s">
        <v>3</v>
      </c>
      <c r="D3" s="5">
        <v>1373</v>
      </c>
      <c r="E3" s="5">
        <v>1373</v>
      </c>
      <c r="F3" s="5">
        <v>1373</v>
      </c>
      <c r="G3" s="5">
        <v>1373</v>
      </c>
      <c r="H3" s="5">
        <v>1373</v>
      </c>
      <c r="I3" s="5">
        <v>1373</v>
      </c>
      <c r="J3" s="5">
        <v>1373</v>
      </c>
    </row>
    <row r="4" spans="2:10" x14ac:dyDescent="0.2">
      <c r="B4" t="s">
        <v>4</v>
      </c>
      <c r="D4" s="4">
        <v>0.3</v>
      </c>
      <c r="E4" s="4">
        <v>0.3</v>
      </c>
      <c r="F4" s="4">
        <v>0.3</v>
      </c>
      <c r="G4" s="4">
        <v>0.3</v>
      </c>
      <c r="H4" s="4">
        <v>0.3</v>
      </c>
      <c r="I4" s="4">
        <v>0.3</v>
      </c>
      <c r="J4" s="4">
        <v>0.3</v>
      </c>
    </row>
    <row r="5" spans="2:10" x14ac:dyDescent="0.2">
      <c r="B5" t="s">
        <v>5</v>
      </c>
      <c r="C5" t="s">
        <v>6</v>
      </c>
      <c r="D5" s="2">
        <f t="shared" ref="D5:J5" si="0">D2*D3*D4/1000</f>
        <v>29.6568</v>
      </c>
      <c r="E5" s="2">
        <f t="shared" si="0"/>
        <v>2.5566206896551722</v>
      </c>
      <c r="F5" s="2">
        <f t="shared" si="0"/>
        <v>2.5578989999999999</v>
      </c>
      <c r="G5" s="2">
        <f t="shared" si="0"/>
        <v>5.1157979999999998</v>
      </c>
      <c r="H5" s="2">
        <f t="shared" si="0"/>
        <v>10.231596</v>
      </c>
      <c r="I5" s="2">
        <f t="shared" si="0"/>
        <v>15.446249999999999</v>
      </c>
      <c r="J5" s="2">
        <f t="shared" si="0"/>
        <v>20.594999999999999</v>
      </c>
    </row>
    <row r="6" spans="2:10" ht="25" customHeight="1" x14ac:dyDescent="0.2"/>
    <row r="7" spans="2:10" x14ac:dyDescent="0.2">
      <c r="B7" t="s">
        <v>7</v>
      </c>
      <c r="C7" t="s">
        <v>8</v>
      </c>
      <c r="D7" s="5">
        <v>148</v>
      </c>
      <c r="E7" s="5">
        <v>148</v>
      </c>
      <c r="F7" s="5">
        <v>148</v>
      </c>
      <c r="G7" s="5">
        <v>148</v>
      </c>
      <c r="H7" s="5">
        <v>148</v>
      </c>
      <c r="I7" s="5">
        <v>148</v>
      </c>
      <c r="J7" s="5">
        <v>148</v>
      </c>
    </row>
    <row r="8" spans="2:10" x14ac:dyDescent="0.2">
      <c r="D8" s="5"/>
      <c r="E8" s="5"/>
      <c r="F8" s="5"/>
      <c r="G8" s="5"/>
      <c r="H8" s="5"/>
      <c r="I8" s="5"/>
      <c r="J8" s="5"/>
    </row>
    <row r="9" spans="2:10" x14ac:dyDescent="0.2">
      <c r="B9" t="s">
        <v>9</v>
      </c>
      <c r="C9" t="s">
        <v>8</v>
      </c>
      <c r="D9" s="5">
        <v>21</v>
      </c>
      <c r="E9" s="5">
        <v>21</v>
      </c>
      <c r="F9" s="5">
        <v>21</v>
      </c>
      <c r="G9" s="5">
        <v>21</v>
      </c>
      <c r="H9" s="5">
        <v>21</v>
      </c>
      <c r="I9" s="5">
        <v>21</v>
      </c>
      <c r="J9" s="5">
        <v>21</v>
      </c>
    </row>
    <row r="10" spans="2:10" x14ac:dyDescent="0.2">
      <c r="B10" t="s">
        <v>10</v>
      </c>
      <c r="C10" t="s">
        <v>8</v>
      </c>
      <c r="D10">
        <f t="shared" ref="D10:J10" si="1">D7-D9</f>
        <v>127</v>
      </c>
      <c r="E10">
        <f t="shared" si="1"/>
        <v>127</v>
      </c>
      <c r="F10">
        <f t="shared" si="1"/>
        <v>127</v>
      </c>
      <c r="G10">
        <f t="shared" si="1"/>
        <v>127</v>
      </c>
      <c r="H10">
        <f t="shared" si="1"/>
        <v>127</v>
      </c>
      <c r="I10">
        <f t="shared" si="1"/>
        <v>127</v>
      </c>
      <c r="J10">
        <f t="shared" si="1"/>
        <v>127</v>
      </c>
    </row>
    <row r="11" spans="2:10" x14ac:dyDescent="0.2">
      <c r="B11" t="s">
        <v>11</v>
      </c>
      <c r="D11" s="4">
        <v>0.74</v>
      </c>
      <c r="E11" s="4">
        <v>0.74</v>
      </c>
      <c r="F11" s="4">
        <v>0.74</v>
      </c>
      <c r="G11" s="4">
        <v>0.74</v>
      </c>
      <c r="H11" s="4">
        <v>0.74</v>
      </c>
      <c r="I11" s="4">
        <v>0.74</v>
      </c>
      <c r="J11" s="4">
        <v>0.74</v>
      </c>
    </row>
    <row r="12" spans="2:10" x14ac:dyDescent="0.2">
      <c r="B12" t="s">
        <v>12</v>
      </c>
      <c r="C12" t="s">
        <v>8</v>
      </c>
      <c r="D12" s="3">
        <f t="shared" ref="D12:J12" si="2">D7*D11</f>
        <v>109.52</v>
      </c>
      <c r="E12" s="3">
        <f t="shared" si="2"/>
        <v>109.52</v>
      </c>
      <c r="F12" s="3">
        <f t="shared" si="2"/>
        <v>109.52</v>
      </c>
      <c r="G12" s="3">
        <f t="shared" si="2"/>
        <v>109.52</v>
      </c>
      <c r="H12" s="3">
        <f t="shared" si="2"/>
        <v>109.52</v>
      </c>
      <c r="I12" s="3">
        <f t="shared" si="2"/>
        <v>109.52</v>
      </c>
      <c r="J12" s="3">
        <f t="shared" si="2"/>
        <v>109.52</v>
      </c>
    </row>
    <row r="13" spans="2:10" x14ac:dyDescent="0.2">
      <c r="B13" t="s">
        <v>13</v>
      </c>
      <c r="C13" t="s">
        <v>14</v>
      </c>
      <c r="D13" s="2">
        <f t="shared" ref="D13:J13" si="3">D5*D12/60</f>
        <v>54.133545600000005</v>
      </c>
      <c r="E13" s="2">
        <f t="shared" si="3"/>
        <v>4.6666849655172404</v>
      </c>
      <c r="F13" s="2">
        <f t="shared" si="3"/>
        <v>4.6690183080000001</v>
      </c>
      <c r="G13" s="2">
        <f t="shared" si="3"/>
        <v>9.3380366160000001</v>
      </c>
      <c r="H13" s="2">
        <f t="shared" si="3"/>
        <v>18.676073232</v>
      </c>
      <c r="I13" s="2">
        <f t="shared" si="3"/>
        <v>28.194554999999998</v>
      </c>
      <c r="J13" s="2">
        <f t="shared" si="3"/>
        <v>37.592739999999999</v>
      </c>
    </row>
    <row r="14" spans="2:10" x14ac:dyDescent="0.2">
      <c r="B14" t="s">
        <v>135</v>
      </c>
      <c r="C14" t="s">
        <v>108</v>
      </c>
      <c r="D14" s="2">
        <f>D13/0.25</f>
        <v>216.53418240000002</v>
      </c>
      <c r="E14" s="2">
        <f t="shared" ref="E14:J14" si="4">E13/0.25</f>
        <v>18.666739862068962</v>
      </c>
      <c r="F14" s="2">
        <f t="shared" si="4"/>
        <v>18.676073232</v>
      </c>
      <c r="G14" s="2">
        <f t="shared" si="4"/>
        <v>37.352146464</v>
      </c>
      <c r="H14" s="2">
        <f t="shared" si="4"/>
        <v>74.704292928000001</v>
      </c>
      <c r="I14" s="2">
        <f t="shared" si="4"/>
        <v>112.77821999999999</v>
      </c>
      <c r="J14" s="2">
        <f t="shared" si="4"/>
        <v>150.37096</v>
      </c>
    </row>
    <row r="15" spans="2:10" x14ac:dyDescent="0.2">
      <c r="D15" s="2"/>
      <c r="E15" s="2"/>
      <c r="F15" s="2"/>
      <c r="G15" s="2"/>
      <c r="H15" s="2"/>
      <c r="I15" s="2"/>
      <c r="J15" s="2"/>
    </row>
    <row r="16" spans="2:10" x14ac:dyDescent="0.2">
      <c r="B16" t="s">
        <v>15</v>
      </c>
      <c r="C16" t="s">
        <v>16</v>
      </c>
      <c r="D16" s="2">
        <f t="shared" ref="D16:J16" si="5">24*60/D7</f>
        <v>9.7297297297297298</v>
      </c>
      <c r="E16" s="2">
        <f t="shared" si="5"/>
        <v>9.7297297297297298</v>
      </c>
      <c r="F16" s="2">
        <f t="shared" si="5"/>
        <v>9.7297297297297298</v>
      </c>
      <c r="G16" s="2">
        <f t="shared" si="5"/>
        <v>9.7297297297297298</v>
      </c>
      <c r="H16" s="2">
        <f t="shared" si="5"/>
        <v>9.7297297297297298</v>
      </c>
      <c r="I16" s="2">
        <f t="shared" si="5"/>
        <v>9.7297297297297298</v>
      </c>
      <c r="J16" s="2">
        <f t="shared" si="5"/>
        <v>9.7297297297297298</v>
      </c>
    </row>
    <row r="18" spans="2:10" x14ac:dyDescent="0.2">
      <c r="B18" t="s">
        <v>17</v>
      </c>
      <c r="D18" s="4">
        <v>0.3</v>
      </c>
      <c r="E18" s="4">
        <v>0.3</v>
      </c>
      <c r="F18" s="4">
        <v>0.3</v>
      </c>
      <c r="G18" s="4">
        <v>0.3</v>
      </c>
      <c r="H18" s="4">
        <v>0.3</v>
      </c>
      <c r="I18" s="4">
        <v>0.3</v>
      </c>
      <c r="J18" s="4">
        <v>0.3</v>
      </c>
    </row>
    <row r="19" spans="2:10" x14ac:dyDescent="0.2">
      <c r="B19" t="s">
        <v>18</v>
      </c>
      <c r="D19" s="4">
        <v>0.15</v>
      </c>
      <c r="E19" s="4">
        <v>0.15</v>
      </c>
      <c r="F19" s="4">
        <v>0.15</v>
      </c>
      <c r="G19" s="4">
        <v>0.15</v>
      </c>
      <c r="H19" s="4">
        <v>0.15</v>
      </c>
      <c r="I19" s="4">
        <v>0.15</v>
      </c>
      <c r="J19" s="4">
        <v>0.15</v>
      </c>
    </row>
    <row r="20" spans="2:10" x14ac:dyDescent="0.2">
      <c r="B20" t="s">
        <v>19</v>
      </c>
      <c r="C20" t="s">
        <v>20</v>
      </c>
      <c r="D20" s="1">
        <f t="shared" ref="D20:J20" si="6">D13*D18*D19</f>
        <v>2.4360095520000002</v>
      </c>
      <c r="E20" s="1">
        <f t="shared" si="6"/>
        <v>0.21000082344827581</v>
      </c>
      <c r="F20" s="1">
        <f t="shared" si="6"/>
        <v>0.21010582385999999</v>
      </c>
      <c r="G20" s="1">
        <f t="shared" si="6"/>
        <v>0.42021164771999997</v>
      </c>
      <c r="H20" s="1">
        <f t="shared" si="6"/>
        <v>0.84042329543999994</v>
      </c>
      <c r="I20" s="1">
        <f t="shared" si="6"/>
        <v>1.2687549749999998</v>
      </c>
      <c r="J20" s="1">
        <f t="shared" si="6"/>
        <v>1.6916732999999997</v>
      </c>
    </row>
    <row r="21" spans="2:10" x14ac:dyDescent="0.2">
      <c r="B21" t="s">
        <v>21</v>
      </c>
      <c r="C21" t="s">
        <v>14</v>
      </c>
      <c r="D21" s="2">
        <f t="shared" ref="D21:J21" si="7">D13*D18</f>
        <v>16.240063680000002</v>
      </c>
      <c r="E21" s="2">
        <f t="shared" si="7"/>
        <v>1.4000054896551721</v>
      </c>
      <c r="F21" s="2">
        <f t="shared" si="7"/>
        <v>1.4007054924</v>
      </c>
      <c r="G21" s="2">
        <f t="shared" si="7"/>
        <v>2.8014109847999999</v>
      </c>
      <c r="H21" s="2">
        <f t="shared" si="7"/>
        <v>5.6028219695999999</v>
      </c>
      <c r="I21" s="2">
        <f t="shared" si="7"/>
        <v>8.4583664999999986</v>
      </c>
      <c r="J21" s="2">
        <f t="shared" si="7"/>
        <v>11.277821999999999</v>
      </c>
    </row>
    <row r="22" spans="2:10" x14ac:dyDescent="0.2">
      <c r="B22" t="s">
        <v>22</v>
      </c>
      <c r="D22" s="4">
        <v>0.25</v>
      </c>
      <c r="E22" s="4">
        <v>0.25</v>
      </c>
      <c r="F22" s="4">
        <v>0.25</v>
      </c>
      <c r="G22" s="4">
        <v>0.25</v>
      </c>
      <c r="H22" s="4">
        <v>0.25</v>
      </c>
      <c r="I22" s="4">
        <v>0.25</v>
      </c>
      <c r="J22" s="4">
        <v>0.25</v>
      </c>
    </row>
    <row r="23" spans="2:10" x14ac:dyDescent="0.2">
      <c r="B23" t="s">
        <v>23</v>
      </c>
      <c r="C23" t="s">
        <v>6</v>
      </c>
      <c r="D23" s="1">
        <f t="shared" ref="D23:J23" si="8">D21/21*60*D22</f>
        <v>11.600045485714286</v>
      </c>
      <c r="E23" s="1">
        <f t="shared" si="8"/>
        <v>1.0000039211822658</v>
      </c>
      <c r="F23" s="10">
        <f t="shared" si="8"/>
        <v>1.0005039231428572</v>
      </c>
      <c r="G23" s="10">
        <f t="shared" si="8"/>
        <v>2.0010078462857144</v>
      </c>
      <c r="H23" s="10">
        <f t="shared" si="8"/>
        <v>4.0020156925714288</v>
      </c>
      <c r="I23" s="10">
        <f t="shared" si="8"/>
        <v>6.0416903571428557</v>
      </c>
      <c r="J23" s="10">
        <f t="shared" si="8"/>
        <v>8.0555871428571422</v>
      </c>
    </row>
    <row r="25" spans="2:10" x14ac:dyDescent="0.2">
      <c r="B25" t="s">
        <v>24</v>
      </c>
      <c r="D25">
        <f t="shared" ref="D25:J25" si="9">FLOOR(D23,1)</f>
        <v>11</v>
      </c>
      <c r="E25">
        <f t="shared" si="9"/>
        <v>1</v>
      </c>
      <c r="F25" s="9">
        <f t="shared" si="9"/>
        <v>1</v>
      </c>
      <c r="G25" s="9">
        <f t="shared" si="9"/>
        <v>2</v>
      </c>
      <c r="H25" s="9">
        <f t="shared" si="9"/>
        <v>4</v>
      </c>
      <c r="I25" s="9">
        <f t="shared" si="9"/>
        <v>6</v>
      </c>
      <c r="J25" s="9">
        <f t="shared" si="9"/>
        <v>8</v>
      </c>
    </row>
    <row r="26" spans="2:10" x14ac:dyDescent="0.2">
      <c r="B26" t="s">
        <v>25</v>
      </c>
      <c r="D26">
        <v>8</v>
      </c>
      <c r="E26">
        <v>8</v>
      </c>
      <c r="F26">
        <v>8</v>
      </c>
      <c r="G26">
        <v>8</v>
      </c>
      <c r="H26">
        <v>8</v>
      </c>
      <c r="I26">
        <v>8</v>
      </c>
      <c r="J26">
        <v>8</v>
      </c>
    </row>
    <row r="27" spans="2:10" x14ac:dyDescent="0.2">
      <c r="B27" t="s">
        <v>26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9" spans="2:10" x14ac:dyDescent="0.2">
      <c r="B29" t="s">
        <v>27</v>
      </c>
      <c r="C29" t="s">
        <v>14</v>
      </c>
      <c r="D29" s="1">
        <f t="shared" ref="D29:J29" si="10">D23*D9/60</f>
        <v>4.0600159200000006</v>
      </c>
      <c r="E29" s="1">
        <f t="shared" si="10"/>
        <v>0.35000137241379303</v>
      </c>
      <c r="F29" s="1">
        <f t="shared" si="10"/>
        <v>0.35017637309999999</v>
      </c>
      <c r="G29" s="1">
        <f t="shared" si="10"/>
        <v>0.70035274619999999</v>
      </c>
      <c r="H29" s="1">
        <f t="shared" si="10"/>
        <v>1.4007054924</v>
      </c>
      <c r="I29" s="1">
        <f t="shared" si="10"/>
        <v>2.1145916249999996</v>
      </c>
      <c r="J29" s="1">
        <f t="shared" si="10"/>
        <v>2.8194554999999997</v>
      </c>
    </row>
    <row r="30" spans="2:10" x14ac:dyDescent="0.2">
      <c r="B30" t="s">
        <v>28</v>
      </c>
      <c r="C30" t="s">
        <v>14</v>
      </c>
      <c r="D30" s="1">
        <f t="shared" ref="D30:J30" si="11">D29/D26</f>
        <v>0.50750199000000007</v>
      </c>
      <c r="E30" s="1">
        <f t="shared" si="11"/>
        <v>4.3750171551724129E-2</v>
      </c>
      <c r="F30" s="1">
        <f t="shared" si="11"/>
        <v>4.3772046637499999E-2</v>
      </c>
      <c r="G30" s="1">
        <f t="shared" si="11"/>
        <v>8.7544093274999998E-2</v>
      </c>
      <c r="H30" s="1">
        <f t="shared" si="11"/>
        <v>0.17508818655</v>
      </c>
      <c r="I30" s="1">
        <f t="shared" si="11"/>
        <v>0.26432395312499996</v>
      </c>
      <c r="J30" s="1">
        <f t="shared" si="11"/>
        <v>0.35243193749999996</v>
      </c>
    </row>
    <row r="32" spans="2:10" x14ac:dyDescent="0.2">
      <c r="B32" t="s">
        <v>29</v>
      </c>
      <c r="C32" t="s">
        <v>14</v>
      </c>
      <c r="D32" s="1">
        <f t="shared" ref="D32:J32" si="12">D29*D16</f>
        <v>39.502857600000006</v>
      </c>
      <c r="E32" s="1">
        <f t="shared" si="12"/>
        <v>3.405418758620689</v>
      </c>
      <c r="F32" s="1">
        <f t="shared" si="12"/>
        <v>3.4071214680000002</v>
      </c>
      <c r="G32" s="1">
        <f t="shared" si="12"/>
        <v>6.8142429360000003</v>
      </c>
      <c r="H32" s="1">
        <f t="shared" si="12"/>
        <v>13.628485872000001</v>
      </c>
      <c r="I32" s="1">
        <f t="shared" si="12"/>
        <v>20.574404999999995</v>
      </c>
      <c r="J32" s="1">
        <f t="shared" si="12"/>
        <v>27.432539999999996</v>
      </c>
    </row>
    <row r="33" spans="2:10" x14ac:dyDescent="0.2">
      <c r="B33" t="s">
        <v>30</v>
      </c>
      <c r="C33" t="s">
        <v>14</v>
      </c>
      <c r="D33" s="1">
        <f t="shared" ref="D33:J33" si="13">D32/D26</f>
        <v>4.9378572000000007</v>
      </c>
      <c r="E33" s="1">
        <f t="shared" si="13"/>
        <v>0.42567734482758612</v>
      </c>
      <c r="F33" s="1">
        <f t="shared" si="13"/>
        <v>0.42589018350000002</v>
      </c>
      <c r="G33" s="1">
        <f t="shared" si="13"/>
        <v>0.85178036700000004</v>
      </c>
      <c r="H33" s="1">
        <f t="shared" si="13"/>
        <v>1.7035607340000001</v>
      </c>
      <c r="I33" s="1">
        <f t="shared" si="13"/>
        <v>2.5718006249999994</v>
      </c>
      <c r="J33" s="1">
        <f t="shared" si="13"/>
        <v>3.4290674999999995</v>
      </c>
    </row>
    <row r="35" spans="2:10" x14ac:dyDescent="0.2">
      <c r="B35" t="s">
        <v>31</v>
      </c>
      <c r="D35" s="4">
        <v>0.85</v>
      </c>
      <c r="E35" s="4">
        <v>0.85</v>
      </c>
      <c r="F35" s="4">
        <v>0.85</v>
      </c>
      <c r="G35" s="4">
        <v>0.85</v>
      </c>
      <c r="H35" s="4">
        <v>0.85</v>
      </c>
      <c r="I35" s="4">
        <v>0.85</v>
      </c>
      <c r="J35" s="4">
        <v>0.85</v>
      </c>
    </row>
    <row r="36" spans="2:10" x14ac:dyDescent="0.2">
      <c r="B36" t="s">
        <v>32</v>
      </c>
      <c r="D36" s="4">
        <v>0.4</v>
      </c>
      <c r="E36" s="4">
        <v>0.4</v>
      </c>
      <c r="F36" s="4">
        <v>0.4</v>
      </c>
      <c r="G36" s="4">
        <v>0.4</v>
      </c>
      <c r="H36" s="4">
        <v>0.4</v>
      </c>
      <c r="I36" s="4">
        <v>0.4</v>
      </c>
      <c r="J36" s="4">
        <v>0.4</v>
      </c>
    </row>
    <row r="38" spans="2:10" x14ac:dyDescent="0.2">
      <c r="B38" t="s">
        <v>27</v>
      </c>
      <c r="C38" t="s">
        <v>14</v>
      </c>
      <c r="D38" s="1">
        <f t="shared" ref="D38:H39" si="14">D29*D$36*D$35</f>
        <v>1.3804054128000003</v>
      </c>
      <c r="E38" s="1">
        <f t="shared" si="14"/>
        <v>0.11900046662068964</v>
      </c>
      <c r="F38" s="1">
        <f t="shared" si="14"/>
        <v>0.119059966854</v>
      </c>
      <c r="G38" s="1">
        <f t="shared" si="14"/>
        <v>0.238119933708</v>
      </c>
      <c r="H38" s="1">
        <f t="shared" si="14"/>
        <v>0.476239867416</v>
      </c>
      <c r="I38" s="1">
        <f t="shared" ref="I38:J38" si="15">I29*I$36*I$35</f>
        <v>0.71896115249999981</v>
      </c>
      <c r="J38" s="1">
        <f t="shared" si="15"/>
        <v>0.9586148699999999</v>
      </c>
    </row>
    <row r="39" spans="2:10" x14ac:dyDescent="0.2">
      <c r="B39" t="s">
        <v>28</v>
      </c>
      <c r="C39" t="s">
        <v>14</v>
      </c>
      <c r="D39" s="1">
        <f t="shared" si="14"/>
        <v>0.17255067660000004</v>
      </c>
      <c r="E39" s="1">
        <f t="shared" si="14"/>
        <v>1.4875058327586205E-2</v>
      </c>
      <c r="F39" s="1">
        <f t="shared" si="14"/>
        <v>1.488249585675E-2</v>
      </c>
      <c r="G39" s="1">
        <f t="shared" si="14"/>
        <v>2.97649917135E-2</v>
      </c>
      <c r="H39" s="1">
        <f t="shared" si="14"/>
        <v>5.9529983426999999E-2</v>
      </c>
      <c r="I39" s="1">
        <f t="shared" ref="I39:J39" si="16">I30*I$36*I$35</f>
        <v>8.9870144062499976E-2</v>
      </c>
      <c r="J39" s="1">
        <f t="shared" si="16"/>
        <v>0.11982685874999999</v>
      </c>
    </row>
    <row r="40" spans="2:10" x14ac:dyDescent="0.2">
      <c r="C40" s="1"/>
      <c r="D40" s="1"/>
      <c r="E40" s="1"/>
      <c r="F40" s="1"/>
      <c r="G40" s="1"/>
      <c r="H40" s="1"/>
      <c r="I40" s="1"/>
      <c r="J40" s="1"/>
    </row>
    <row r="41" spans="2:10" x14ac:dyDescent="0.2">
      <c r="B41" t="s">
        <v>29</v>
      </c>
      <c r="C41" t="s">
        <v>14</v>
      </c>
      <c r="D41" s="1">
        <f t="shared" ref="D41:H42" si="17">D32*D$36*D$35</f>
        <v>13.430971584000002</v>
      </c>
      <c r="E41" s="1">
        <f t="shared" si="17"/>
        <v>1.1578423779310343</v>
      </c>
      <c r="F41" s="1">
        <f t="shared" si="17"/>
        <v>1.1584212991200002</v>
      </c>
      <c r="G41" s="1">
        <f t="shared" si="17"/>
        <v>2.3168425982400005</v>
      </c>
      <c r="H41" s="1">
        <f t="shared" si="17"/>
        <v>4.633685196480001</v>
      </c>
      <c r="I41" s="1">
        <f t="shared" ref="I41:J41" si="18">I32*I$36*I$35</f>
        <v>6.9952976999999992</v>
      </c>
      <c r="J41" s="1">
        <f t="shared" si="18"/>
        <v>9.3270635999999989</v>
      </c>
    </row>
    <row r="42" spans="2:10" x14ac:dyDescent="0.2">
      <c r="B42" t="s">
        <v>30</v>
      </c>
      <c r="C42" t="s">
        <v>14</v>
      </c>
      <c r="D42" s="1">
        <f t="shared" si="17"/>
        <v>1.6788714480000002</v>
      </c>
      <c r="E42" s="1">
        <f t="shared" si="17"/>
        <v>0.14473029724137929</v>
      </c>
      <c r="F42" s="1">
        <f t="shared" si="17"/>
        <v>0.14480266239000003</v>
      </c>
      <c r="G42" s="1">
        <f t="shared" si="17"/>
        <v>0.28960532478000006</v>
      </c>
      <c r="H42" s="1">
        <f t="shared" si="17"/>
        <v>0.57921064956000012</v>
      </c>
      <c r="I42" s="1">
        <f t="shared" ref="I42:J42" si="19">I33*I$36*I$35</f>
        <v>0.8744122124999999</v>
      </c>
      <c r="J42" s="1">
        <f t="shared" si="19"/>
        <v>1.1658829499999999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9735-DBDE-7D4D-BD04-2A4022804EEC}">
  <dimension ref="A1:AB23"/>
  <sheetViews>
    <sheetView zoomScale="150" zoomScaleNormal="150" workbookViewId="0">
      <selection activeCell="T8" sqref="T8"/>
    </sheetView>
  </sheetViews>
  <sheetFormatPr baseColWidth="10" defaultRowHeight="15" x14ac:dyDescent="0.2"/>
  <cols>
    <col min="5" max="9" width="4.6640625" bestFit="1" customWidth="1"/>
    <col min="10" max="28" width="5.6640625" bestFit="1" customWidth="1"/>
  </cols>
  <sheetData>
    <row r="1" spans="1:28" ht="17" thickBot="1" x14ac:dyDescent="0.25">
      <c r="A1" s="22" t="s">
        <v>79</v>
      </c>
      <c r="B1" s="22" t="s">
        <v>80</v>
      </c>
      <c r="C1" s="22" t="s">
        <v>81</v>
      </c>
      <c r="D1" s="26" t="s">
        <v>82</v>
      </c>
    </row>
    <row r="2" spans="1:28" ht="17" thickBot="1" x14ac:dyDescent="0.25">
      <c r="A2" s="24" t="s">
        <v>76</v>
      </c>
      <c r="B2" s="23" t="s">
        <v>83</v>
      </c>
      <c r="C2" s="23" t="s">
        <v>84</v>
      </c>
      <c r="D2" s="25" t="s">
        <v>85</v>
      </c>
      <c r="E2" s="31"/>
    </row>
    <row r="3" spans="1:28" ht="17" thickBot="1" x14ac:dyDescent="0.25">
      <c r="A3" s="24" t="s">
        <v>78</v>
      </c>
      <c r="B3" s="23" t="s">
        <v>84</v>
      </c>
      <c r="C3" s="23" t="s">
        <v>86</v>
      </c>
      <c r="D3" s="25" t="s">
        <v>87</v>
      </c>
      <c r="E3" s="27"/>
    </row>
    <row r="4" spans="1:28" ht="17" thickBot="1" x14ac:dyDescent="0.25">
      <c r="A4" s="24" t="s">
        <v>77</v>
      </c>
      <c r="B4" s="23" t="s">
        <v>85</v>
      </c>
      <c r="C4" s="23" t="s">
        <v>88</v>
      </c>
      <c r="D4" s="25" t="s">
        <v>89</v>
      </c>
      <c r="E4" s="27"/>
    </row>
    <row r="5" spans="1:28" ht="17" thickBot="1" x14ac:dyDescent="0.25">
      <c r="A5" s="24" t="s">
        <v>103</v>
      </c>
      <c r="B5" s="23">
        <v>83</v>
      </c>
      <c r="C5" s="23">
        <v>325</v>
      </c>
      <c r="D5" s="25">
        <v>450</v>
      </c>
      <c r="E5" s="27"/>
      <c r="F5" s="27"/>
    </row>
    <row r="7" spans="1:28" x14ac:dyDescent="0.2">
      <c r="D7" s="29" t="s">
        <v>104</v>
      </c>
      <c r="E7">
        <v>40</v>
      </c>
      <c r="F7">
        <v>60</v>
      </c>
      <c r="G7">
        <v>80</v>
      </c>
      <c r="H7">
        <v>100</v>
      </c>
      <c r="I7">
        <v>120</v>
      </c>
      <c r="J7">
        <v>140</v>
      </c>
      <c r="K7">
        <v>160</v>
      </c>
      <c r="L7">
        <v>180</v>
      </c>
      <c r="M7">
        <v>200</v>
      </c>
      <c r="N7">
        <v>220</v>
      </c>
      <c r="O7">
        <v>240</v>
      </c>
      <c r="P7">
        <v>260</v>
      </c>
      <c r="Q7">
        <v>280</v>
      </c>
      <c r="R7">
        <v>300</v>
      </c>
      <c r="S7">
        <v>320</v>
      </c>
      <c r="T7">
        <v>340</v>
      </c>
      <c r="U7">
        <v>360</v>
      </c>
      <c r="V7">
        <v>380</v>
      </c>
      <c r="W7">
        <v>400</v>
      </c>
      <c r="X7">
        <v>420</v>
      </c>
      <c r="Y7">
        <v>440</v>
      </c>
      <c r="Z7">
        <v>460</v>
      </c>
      <c r="AA7">
        <v>480</v>
      </c>
      <c r="AB7">
        <v>500</v>
      </c>
    </row>
    <row r="8" spans="1:28" x14ac:dyDescent="0.2">
      <c r="D8" s="29" t="s">
        <v>97</v>
      </c>
      <c r="E8" s="1">
        <f t="shared" ref="E8:AB8" si="0">E7*24/1000</f>
        <v>0.96</v>
      </c>
      <c r="F8" s="1">
        <f t="shared" si="0"/>
        <v>1.44</v>
      </c>
      <c r="G8" s="1">
        <f t="shared" si="0"/>
        <v>1.92</v>
      </c>
      <c r="H8" s="1">
        <f t="shared" si="0"/>
        <v>2.4</v>
      </c>
      <c r="I8" s="1">
        <f t="shared" si="0"/>
        <v>2.88</v>
      </c>
      <c r="J8" s="1">
        <f t="shared" si="0"/>
        <v>3.36</v>
      </c>
      <c r="K8" s="1">
        <f t="shared" si="0"/>
        <v>3.84</v>
      </c>
      <c r="L8" s="1">
        <f t="shared" si="0"/>
        <v>4.32</v>
      </c>
      <c r="M8" s="1">
        <f t="shared" si="0"/>
        <v>4.8</v>
      </c>
      <c r="N8" s="1">
        <f t="shared" si="0"/>
        <v>5.28</v>
      </c>
      <c r="O8" s="1">
        <f t="shared" si="0"/>
        <v>5.76</v>
      </c>
      <c r="P8" s="1">
        <f t="shared" si="0"/>
        <v>6.24</v>
      </c>
      <c r="Q8" s="1">
        <f t="shared" si="0"/>
        <v>6.72</v>
      </c>
      <c r="R8" s="1">
        <f t="shared" si="0"/>
        <v>7.2</v>
      </c>
      <c r="S8" s="1">
        <f t="shared" si="0"/>
        <v>7.68</v>
      </c>
      <c r="T8" s="1">
        <f t="shared" si="0"/>
        <v>8.16</v>
      </c>
      <c r="U8" s="1">
        <f t="shared" si="0"/>
        <v>8.64</v>
      </c>
      <c r="V8" s="1">
        <f t="shared" si="0"/>
        <v>9.1199999999999992</v>
      </c>
      <c r="W8" s="1">
        <f t="shared" si="0"/>
        <v>9.6</v>
      </c>
      <c r="X8" s="1">
        <f t="shared" si="0"/>
        <v>10.08</v>
      </c>
      <c r="Y8" s="1">
        <f t="shared" si="0"/>
        <v>10.56</v>
      </c>
      <c r="Z8" s="1">
        <f t="shared" si="0"/>
        <v>11.04</v>
      </c>
      <c r="AA8" s="1">
        <f t="shared" si="0"/>
        <v>11.52</v>
      </c>
      <c r="AB8" s="1">
        <f t="shared" si="0"/>
        <v>12</v>
      </c>
    </row>
    <row r="9" spans="1:28" x14ac:dyDescent="0.2">
      <c r="D9" s="29"/>
    </row>
    <row r="10" spans="1:28" x14ac:dyDescent="0.2">
      <c r="D10" s="29" t="s">
        <v>92</v>
      </c>
      <c r="E10" s="28">
        <v>0.85</v>
      </c>
      <c r="F10" s="28">
        <v>0.85</v>
      </c>
      <c r="G10" s="28">
        <v>0.85</v>
      </c>
      <c r="H10" s="28">
        <v>0.85</v>
      </c>
      <c r="I10" s="28">
        <v>0.85</v>
      </c>
      <c r="J10" s="28">
        <v>0.85</v>
      </c>
      <c r="K10" s="28">
        <v>0.85</v>
      </c>
      <c r="L10" s="28">
        <v>0.85</v>
      </c>
      <c r="M10" s="28">
        <v>0.85</v>
      </c>
      <c r="N10" s="28">
        <v>0.85</v>
      </c>
      <c r="O10" s="28">
        <v>0.85</v>
      </c>
      <c r="P10" s="28">
        <v>0.85</v>
      </c>
      <c r="Q10" s="28">
        <v>0.85</v>
      </c>
      <c r="R10" s="28">
        <v>0.85</v>
      </c>
      <c r="S10" s="28">
        <v>0.85</v>
      </c>
      <c r="T10" s="28">
        <v>0.85</v>
      </c>
      <c r="U10" s="28">
        <v>0.85</v>
      </c>
      <c r="V10" s="28">
        <v>0.85</v>
      </c>
      <c r="W10" s="28">
        <v>0.85</v>
      </c>
      <c r="X10" s="28">
        <v>0.85</v>
      </c>
      <c r="Y10" s="28">
        <v>0.85</v>
      </c>
      <c r="Z10" s="28">
        <v>0.85</v>
      </c>
      <c r="AA10" s="28">
        <v>0.85</v>
      </c>
      <c r="AB10" s="28">
        <v>0.85</v>
      </c>
    </row>
    <row r="11" spans="1:28" x14ac:dyDescent="0.2">
      <c r="D11" s="29" t="s">
        <v>91</v>
      </c>
      <c r="E11" s="28">
        <v>0.4</v>
      </c>
      <c r="F11" s="28">
        <v>0.4</v>
      </c>
      <c r="G11" s="28">
        <v>0.4</v>
      </c>
      <c r="H11" s="28">
        <v>0.4</v>
      </c>
      <c r="I11" s="28">
        <v>0.4</v>
      </c>
      <c r="J11" s="28">
        <v>0.4</v>
      </c>
      <c r="K11" s="28">
        <v>0.4</v>
      </c>
      <c r="L11" s="28">
        <v>0.4</v>
      </c>
      <c r="M11" s="28">
        <v>0.4</v>
      </c>
      <c r="N11" s="28">
        <v>0.4</v>
      </c>
      <c r="O11" s="28">
        <v>0.4</v>
      </c>
      <c r="P11" s="28">
        <v>0.4</v>
      </c>
      <c r="Q11" s="28">
        <v>0.4</v>
      </c>
      <c r="R11" s="28">
        <v>0.4</v>
      </c>
      <c r="S11" s="28">
        <v>0.4</v>
      </c>
      <c r="T11" s="28">
        <v>0.4</v>
      </c>
      <c r="U11" s="28">
        <v>0.4</v>
      </c>
      <c r="V11" s="28">
        <v>0.4</v>
      </c>
      <c r="W11" s="28">
        <v>0.4</v>
      </c>
      <c r="X11" s="28">
        <v>0.4</v>
      </c>
      <c r="Y11" s="28">
        <v>0.4</v>
      </c>
      <c r="Z11" s="28">
        <v>0.4</v>
      </c>
      <c r="AA11" s="28">
        <v>0.4</v>
      </c>
      <c r="AB11" s="28">
        <v>0.4</v>
      </c>
    </row>
    <row r="12" spans="1:28" x14ac:dyDescent="0.2">
      <c r="D12" s="29" t="s">
        <v>90</v>
      </c>
      <c r="E12" s="28">
        <v>0.9</v>
      </c>
      <c r="F12" s="28">
        <v>0.9</v>
      </c>
      <c r="G12" s="28">
        <v>0.9</v>
      </c>
      <c r="H12" s="28">
        <v>0.9</v>
      </c>
      <c r="I12" s="28">
        <v>0.9</v>
      </c>
      <c r="J12" s="28">
        <v>0.9</v>
      </c>
      <c r="K12" s="28">
        <v>0.9</v>
      </c>
      <c r="L12" s="28">
        <v>0.9</v>
      </c>
      <c r="M12" s="28">
        <v>0.9</v>
      </c>
      <c r="N12" s="28">
        <v>0.9</v>
      </c>
      <c r="O12" s="28">
        <v>0.9</v>
      </c>
      <c r="P12" s="28">
        <v>0.9</v>
      </c>
      <c r="Q12" s="28">
        <v>0.9</v>
      </c>
      <c r="R12" s="28">
        <v>0.9</v>
      </c>
      <c r="S12" s="28">
        <v>0.9</v>
      </c>
      <c r="T12" s="28">
        <v>0.9</v>
      </c>
      <c r="U12" s="28">
        <v>0.9</v>
      </c>
      <c r="V12" s="28">
        <v>0.9</v>
      </c>
      <c r="W12" s="28">
        <v>0.9</v>
      </c>
      <c r="X12" s="28">
        <v>0.9</v>
      </c>
      <c r="Y12" s="28">
        <v>0.9</v>
      </c>
      <c r="Z12" s="28">
        <v>0.9</v>
      </c>
      <c r="AA12" s="28">
        <v>0.9</v>
      </c>
      <c r="AB12" s="28">
        <v>0.9</v>
      </c>
    </row>
    <row r="13" spans="1:28" x14ac:dyDescent="0.2">
      <c r="D13" s="29" t="s">
        <v>96</v>
      </c>
      <c r="E13" s="1">
        <f t="shared" ref="E13:AB13" si="1">E8/E10/E11/E12</f>
        <v>3.1372549019607838</v>
      </c>
      <c r="F13" s="1">
        <f t="shared" si="1"/>
        <v>4.7058823529411766</v>
      </c>
      <c r="G13" s="1">
        <f t="shared" si="1"/>
        <v>6.2745098039215677</v>
      </c>
      <c r="H13" s="1">
        <f t="shared" si="1"/>
        <v>7.8431372549019605</v>
      </c>
      <c r="I13" s="1">
        <f t="shared" si="1"/>
        <v>9.4117647058823533</v>
      </c>
      <c r="J13" s="1">
        <f t="shared" si="1"/>
        <v>10.980392156862745</v>
      </c>
      <c r="K13" s="1">
        <f t="shared" si="1"/>
        <v>12.549019607843135</v>
      </c>
      <c r="L13" s="1">
        <f t="shared" si="1"/>
        <v>14.117647058823531</v>
      </c>
      <c r="M13" s="1">
        <f t="shared" si="1"/>
        <v>15.686274509803921</v>
      </c>
      <c r="N13" s="1">
        <f t="shared" si="1"/>
        <v>17.254901960784313</v>
      </c>
      <c r="O13" s="1">
        <f t="shared" si="1"/>
        <v>18.823529411764707</v>
      </c>
      <c r="P13" s="1">
        <f t="shared" si="1"/>
        <v>20.392156862745097</v>
      </c>
      <c r="Q13" s="1">
        <f t="shared" si="1"/>
        <v>21.96078431372549</v>
      </c>
      <c r="R13" s="1">
        <f t="shared" si="1"/>
        <v>23.52941176470588</v>
      </c>
      <c r="S13" s="1">
        <f t="shared" si="1"/>
        <v>25.098039215686271</v>
      </c>
      <c r="T13" s="1">
        <f t="shared" si="1"/>
        <v>26.666666666666661</v>
      </c>
      <c r="U13" s="1">
        <f t="shared" si="1"/>
        <v>28.235294117647062</v>
      </c>
      <c r="V13" s="1">
        <f t="shared" si="1"/>
        <v>29.803921568627448</v>
      </c>
      <c r="W13" s="1">
        <f t="shared" si="1"/>
        <v>31.372549019607842</v>
      </c>
      <c r="X13" s="1">
        <f t="shared" si="1"/>
        <v>32.941176470588239</v>
      </c>
      <c r="Y13" s="1">
        <f t="shared" si="1"/>
        <v>34.509803921568626</v>
      </c>
      <c r="Z13" s="1">
        <f t="shared" si="1"/>
        <v>36.078431372549019</v>
      </c>
      <c r="AA13" s="1">
        <f t="shared" si="1"/>
        <v>37.647058823529413</v>
      </c>
      <c r="AB13" s="1">
        <f t="shared" si="1"/>
        <v>39.2156862745098</v>
      </c>
    </row>
    <row r="15" spans="1:28" x14ac:dyDescent="0.2">
      <c r="D15" s="29" t="s">
        <v>93</v>
      </c>
      <c r="E15" s="3">
        <v>21</v>
      </c>
      <c r="F15" s="3">
        <v>21</v>
      </c>
      <c r="G15" s="3">
        <v>21</v>
      </c>
      <c r="H15" s="3">
        <v>21</v>
      </c>
      <c r="I15" s="3">
        <v>21</v>
      </c>
      <c r="J15" s="3">
        <v>21</v>
      </c>
      <c r="K15" s="3">
        <v>21</v>
      </c>
      <c r="L15" s="3">
        <v>21</v>
      </c>
      <c r="M15" s="3">
        <v>21</v>
      </c>
      <c r="N15" s="3">
        <v>21</v>
      </c>
      <c r="O15" s="3">
        <v>21</v>
      </c>
      <c r="P15" s="3">
        <v>21</v>
      </c>
      <c r="Q15" s="3">
        <v>21</v>
      </c>
      <c r="R15" s="3">
        <v>21</v>
      </c>
      <c r="S15" s="3">
        <v>21</v>
      </c>
      <c r="T15" s="3">
        <v>21</v>
      </c>
      <c r="U15" s="3">
        <v>21</v>
      </c>
      <c r="V15" s="3">
        <v>21</v>
      </c>
      <c r="W15" s="3">
        <v>21</v>
      </c>
      <c r="X15" s="3">
        <v>21</v>
      </c>
      <c r="Y15" s="3">
        <v>21</v>
      </c>
      <c r="Z15" s="3">
        <v>21</v>
      </c>
      <c r="AA15" s="3">
        <v>21</v>
      </c>
      <c r="AB15" s="3">
        <v>21</v>
      </c>
    </row>
    <row r="16" spans="1:28" x14ac:dyDescent="0.2">
      <c r="D16" s="29" t="s">
        <v>95</v>
      </c>
      <c r="E16" s="1">
        <f>24*60/148</f>
        <v>9.7297297297297298</v>
      </c>
      <c r="F16" s="1">
        <f t="shared" ref="F16:AB16" si="2">24*60/148</f>
        <v>9.7297297297297298</v>
      </c>
      <c r="G16" s="1">
        <f t="shared" si="2"/>
        <v>9.7297297297297298</v>
      </c>
      <c r="H16" s="1">
        <f t="shared" si="2"/>
        <v>9.7297297297297298</v>
      </c>
      <c r="I16" s="1">
        <f t="shared" si="2"/>
        <v>9.7297297297297298</v>
      </c>
      <c r="J16" s="1">
        <f t="shared" si="2"/>
        <v>9.7297297297297298</v>
      </c>
      <c r="K16" s="1">
        <f t="shared" si="2"/>
        <v>9.7297297297297298</v>
      </c>
      <c r="L16" s="1">
        <f t="shared" si="2"/>
        <v>9.7297297297297298</v>
      </c>
      <c r="M16" s="1">
        <f t="shared" si="2"/>
        <v>9.7297297297297298</v>
      </c>
      <c r="N16" s="1">
        <f t="shared" si="2"/>
        <v>9.7297297297297298</v>
      </c>
      <c r="O16" s="1">
        <f t="shared" si="2"/>
        <v>9.7297297297297298</v>
      </c>
      <c r="P16" s="1">
        <f t="shared" si="2"/>
        <v>9.7297297297297298</v>
      </c>
      <c r="Q16" s="1">
        <f t="shared" si="2"/>
        <v>9.7297297297297298</v>
      </c>
      <c r="R16" s="1">
        <f t="shared" si="2"/>
        <v>9.7297297297297298</v>
      </c>
      <c r="S16" s="1">
        <f t="shared" si="2"/>
        <v>9.7297297297297298</v>
      </c>
      <c r="T16" s="1">
        <f t="shared" si="2"/>
        <v>9.7297297297297298</v>
      </c>
      <c r="U16" s="1">
        <f t="shared" si="2"/>
        <v>9.7297297297297298</v>
      </c>
      <c r="V16" s="1">
        <f t="shared" si="2"/>
        <v>9.7297297297297298</v>
      </c>
      <c r="W16" s="1">
        <f t="shared" si="2"/>
        <v>9.7297297297297298</v>
      </c>
      <c r="X16" s="1">
        <f t="shared" si="2"/>
        <v>9.7297297297297298</v>
      </c>
      <c r="Y16" s="1">
        <f t="shared" si="2"/>
        <v>9.7297297297297298</v>
      </c>
      <c r="Z16" s="1">
        <f t="shared" si="2"/>
        <v>9.7297297297297298</v>
      </c>
      <c r="AA16" s="1">
        <f t="shared" si="2"/>
        <v>9.7297297297297298</v>
      </c>
      <c r="AB16" s="1">
        <f t="shared" si="2"/>
        <v>9.7297297297297298</v>
      </c>
    </row>
    <row r="17" spans="1:28" x14ac:dyDescent="0.2">
      <c r="D17" s="29" t="s">
        <v>94</v>
      </c>
      <c r="E17" s="1">
        <f t="shared" ref="E17:AB17" si="3">E15/60*E16</f>
        <v>3.4054054054054053</v>
      </c>
      <c r="F17" s="1">
        <f t="shared" si="3"/>
        <v>3.4054054054054053</v>
      </c>
      <c r="G17" s="1">
        <f t="shared" si="3"/>
        <v>3.4054054054054053</v>
      </c>
      <c r="H17" s="1">
        <f t="shared" si="3"/>
        <v>3.4054054054054053</v>
      </c>
      <c r="I17" s="1">
        <f t="shared" si="3"/>
        <v>3.4054054054054053</v>
      </c>
      <c r="J17" s="1">
        <f t="shared" si="3"/>
        <v>3.4054054054054053</v>
      </c>
      <c r="K17" s="1">
        <f t="shared" si="3"/>
        <v>3.4054054054054053</v>
      </c>
      <c r="L17" s="1">
        <f t="shared" si="3"/>
        <v>3.4054054054054053</v>
      </c>
      <c r="M17" s="1">
        <f t="shared" si="3"/>
        <v>3.4054054054054053</v>
      </c>
      <c r="N17" s="1">
        <f t="shared" si="3"/>
        <v>3.4054054054054053</v>
      </c>
      <c r="O17" s="1">
        <f t="shared" si="3"/>
        <v>3.4054054054054053</v>
      </c>
      <c r="P17" s="1">
        <f t="shared" si="3"/>
        <v>3.4054054054054053</v>
      </c>
      <c r="Q17" s="1">
        <f t="shared" si="3"/>
        <v>3.4054054054054053</v>
      </c>
      <c r="R17" s="1">
        <f t="shared" si="3"/>
        <v>3.4054054054054053</v>
      </c>
      <c r="S17" s="1">
        <f t="shared" si="3"/>
        <v>3.4054054054054053</v>
      </c>
      <c r="T17" s="1">
        <f t="shared" si="3"/>
        <v>3.4054054054054053</v>
      </c>
      <c r="U17" s="1">
        <f t="shared" si="3"/>
        <v>3.4054054054054053</v>
      </c>
      <c r="V17" s="1">
        <f t="shared" si="3"/>
        <v>3.4054054054054053</v>
      </c>
      <c r="W17" s="1">
        <f t="shared" si="3"/>
        <v>3.4054054054054053</v>
      </c>
      <c r="X17" s="1">
        <f t="shared" si="3"/>
        <v>3.4054054054054053</v>
      </c>
      <c r="Y17" s="1">
        <f t="shared" si="3"/>
        <v>3.4054054054054053</v>
      </c>
      <c r="Z17" s="1">
        <f t="shared" si="3"/>
        <v>3.4054054054054053</v>
      </c>
      <c r="AA17" s="1">
        <f t="shared" si="3"/>
        <v>3.4054054054054053</v>
      </c>
      <c r="AB17" s="1">
        <f t="shared" si="3"/>
        <v>3.4054054054054053</v>
      </c>
    </row>
    <row r="19" spans="1:28" x14ac:dyDescent="0.2">
      <c r="A19" s="41"/>
      <c r="D19" s="29" t="s">
        <v>98</v>
      </c>
      <c r="E19" s="1">
        <f t="shared" ref="E19:AB19" si="4">E13/E17</f>
        <v>0.92125739184562705</v>
      </c>
      <c r="F19" s="1">
        <f t="shared" si="4"/>
        <v>1.3818860877684409</v>
      </c>
      <c r="G19" s="1">
        <f t="shared" si="4"/>
        <v>1.8425147836912541</v>
      </c>
      <c r="H19" s="1">
        <f t="shared" si="4"/>
        <v>2.303143479614068</v>
      </c>
      <c r="I19" s="1">
        <f t="shared" si="4"/>
        <v>2.7637721755368818</v>
      </c>
      <c r="J19" s="1">
        <f t="shared" si="4"/>
        <v>3.2244008714596952</v>
      </c>
      <c r="K19" s="1">
        <f t="shared" si="4"/>
        <v>3.6850295673825082</v>
      </c>
      <c r="L19" s="1">
        <f t="shared" si="4"/>
        <v>4.1456582633053225</v>
      </c>
      <c r="M19" s="1">
        <f t="shared" si="4"/>
        <v>4.6062869592281359</v>
      </c>
      <c r="N19" s="1">
        <f t="shared" si="4"/>
        <v>5.0669156551509493</v>
      </c>
      <c r="O19" s="1">
        <f t="shared" si="4"/>
        <v>5.5275443510737636</v>
      </c>
      <c r="P19" s="1">
        <f t="shared" si="4"/>
        <v>5.9881730469965762</v>
      </c>
      <c r="Q19" s="1">
        <f t="shared" si="4"/>
        <v>6.4488017429193905</v>
      </c>
      <c r="R19" s="1">
        <f t="shared" si="4"/>
        <v>6.909430438842203</v>
      </c>
      <c r="S19" s="1">
        <f t="shared" si="4"/>
        <v>7.3700591347650164</v>
      </c>
      <c r="T19" s="1">
        <f t="shared" si="4"/>
        <v>7.8306878306878289</v>
      </c>
      <c r="U19" s="1">
        <f t="shared" si="4"/>
        <v>8.291316526610645</v>
      </c>
      <c r="V19" s="1">
        <f t="shared" si="4"/>
        <v>8.7519452225334575</v>
      </c>
      <c r="W19" s="1">
        <f t="shared" si="4"/>
        <v>9.2125739184562718</v>
      </c>
      <c r="X19" s="1">
        <f t="shared" si="4"/>
        <v>9.6732026143790861</v>
      </c>
      <c r="Y19" s="1">
        <f t="shared" si="4"/>
        <v>10.133831310301899</v>
      </c>
      <c r="Z19" s="1">
        <f t="shared" si="4"/>
        <v>10.594460006224713</v>
      </c>
      <c r="AA19" s="1">
        <f t="shared" si="4"/>
        <v>11.055088702147527</v>
      </c>
      <c r="AB19" s="1">
        <f t="shared" si="4"/>
        <v>11.515717398070338</v>
      </c>
    </row>
    <row r="20" spans="1:28" x14ac:dyDescent="0.2">
      <c r="A20" s="41"/>
      <c r="D20" s="29" t="s">
        <v>99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</row>
    <row r="21" spans="1:28" x14ac:dyDescent="0.2">
      <c r="A21" s="41"/>
      <c r="D21" s="29" t="s">
        <v>100</v>
      </c>
      <c r="E21">
        <f t="shared" ref="E21:AB21" si="5">CEILING(E19/E20,1)</f>
        <v>1</v>
      </c>
      <c r="F21">
        <f t="shared" si="5"/>
        <v>2</v>
      </c>
      <c r="G21">
        <f t="shared" si="5"/>
        <v>2</v>
      </c>
      <c r="H21">
        <f t="shared" si="5"/>
        <v>3</v>
      </c>
      <c r="I21">
        <f t="shared" si="5"/>
        <v>3</v>
      </c>
      <c r="J21">
        <f t="shared" si="5"/>
        <v>4</v>
      </c>
      <c r="K21">
        <f t="shared" si="5"/>
        <v>4</v>
      </c>
      <c r="L21">
        <f t="shared" si="5"/>
        <v>5</v>
      </c>
      <c r="M21">
        <f t="shared" si="5"/>
        <v>5</v>
      </c>
      <c r="N21">
        <f t="shared" si="5"/>
        <v>6</v>
      </c>
      <c r="O21">
        <f t="shared" si="5"/>
        <v>6</v>
      </c>
      <c r="P21">
        <f t="shared" si="5"/>
        <v>6</v>
      </c>
      <c r="Q21">
        <f t="shared" si="5"/>
        <v>7</v>
      </c>
      <c r="R21">
        <f t="shared" si="5"/>
        <v>7</v>
      </c>
      <c r="S21">
        <f t="shared" si="5"/>
        <v>8</v>
      </c>
      <c r="T21">
        <f t="shared" si="5"/>
        <v>8</v>
      </c>
      <c r="U21">
        <f t="shared" si="5"/>
        <v>9</v>
      </c>
      <c r="V21">
        <f t="shared" si="5"/>
        <v>9</v>
      </c>
      <c r="W21">
        <f t="shared" si="5"/>
        <v>10</v>
      </c>
      <c r="X21">
        <f t="shared" si="5"/>
        <v>10</v>
      </c>
      <c r="Y21">
        <f t="shared" si="5"/>
        <v>11</v>
      </c>
      <c r="Z21">
        <f t="shared" si="5"/>
        <v>11</v>
      </c>
      <c r="AA21">
        <f t="shared" si="5"/>
        <v>12</v>
      </c>
      <c r="AB21">
        <f t="shared" si="5"/>
        <v>12</v>
      </c>
    </row>
    <row r="22" spans="1:28" x14ac:dyDescent="0.2">
      <c r="D22" s="29" t="s">
        <v>102</v>
      </c>
      <c r="E22" s="2">
        <f t="shared" ref="E22:AB22" si="6">(E21*E20)</f>
        <v>1</v>
      </c>
      <c r="F22" s="2">
        <f t="shared" si="6"/>
        <v>2</v>
      </c>
      <c r="G22" s="2">
        <f t="shared" si="6"/>
        <v>2</v>
      </c>
      <c r="H22" s="2">
        <f t="shared" si="6"/>
        <v>3</v>
      </c>
      <c r="I22" s="2">
        <f t="shared" si="6"/>
        <v>3</v>
      </c>
      <c r="J22" s="2">
        <f t="shared" si="6"/>
        <v>4</v>
      </c>
      <c r="K22" s="2">
        <f t="shared" si="6"/>
        <v>4</v>
      </c>
      <c r="L22" s="2">
        <f t="shared" si="6"/>
        <v>5</v>
      </c>
      <c r="M22" s="2">
        <f t="shared" si="6"/>
        <v>5</v>
      </c>
      <c r="N22" s="2">
        <f t="shared" si="6"/>
        <v>6</v>
      </c>
      <c r="O22" s="2">
        <f t="shared" si="6"/>
        <v>6</v>
      </c>
      <c r="P22" s="2">
        <f t="shared" si="6"/>
        <v>6</v>
      </c>
      <c r="Q22" s="2">
        <f t="shared" si="6"/>
        <v>7</v>
      </c>
      <c r="R22" s="2">
        <f t="shared" si="6"/>
        <v>7</v>
      </c>
      <c r="S22" s="2">
        <f t="shared" si="6"/>
        <v>8</v>
      </c>
      <c r="T22" s="2">
        <f t="shared" si="6"/>
        <v>8</v>
      </c>
      <c r="U22" s="2">
        <f t="shared" si="6"/>
        <v>9</v>
      </c>
      <c r="V22" s="2">
        <f t="shared" si="6"/>
        <v>9</v>
      </c>
      <c r="W22" s="2">
        <f t="shared" si="6"/>
        <v>10</v>
      </c>
      <c r="X22" s="2">
        <f t="shared" si="6"/>
        <v>10</v>
      </c>
      <c r="Y22" s="2">
        <f t="shared" si="6"/>
        <v>11</v>
      </c>
      <c r="Z22" s="2">
        <f t="shared" si="6"/>
        <v>11</v>
      </c>
      <c r="AA22" s="2">
        <f t="shared" si="6"/>
        <v>12</v>
      </c>
      <c r="AB22" s="2">
        <f t="shared" si="6"/>
        <v>12</v>
      </c>
    </row>
    <row r="23" spans="1:28" x14ac:dyDescent="0.2">
      <c r="D23" s="29" t="s">
        <v>101</v>
      </c>
      <c r="E23" s="30">
        <f t="shared" ref="E23:AB23" si="7">(E21*E20-E19)/(E21*E20)</f>
        <v>7.8742608154372951E-2</v>
      </c>
      <c r="F23" s="30">
        <f t="shared" si="7"/>
        <v>0.30905695611577955</v>
      </c>
      <c r="G23" s="30">
        <f t="shared" si="7"/>
        <v>7.8742608154372951E-2</v>
      </c>
      <c r="H23" s="30">
        <f t="shared" si="7"/>
        <v>0.23228550679531068</v>
      </c>
      <c r="I23" s="30">
        <f t="shared" si="7"/>
        <v>7.8742608154372729E-2</v>
      </c>
      <c r="J23" s="30">
        <f t="shared" si="7"/>
        <v>0.19389978213507619</v>
      </c>
      <c r="K23" s="30">
        <f t="shared" si="7"/>
        <v>7.8742608154372951E-2</v>
      </c>
      <c r="L23" s="30">
        <f t="shared" si="7"/>
        <v>0.17086834733893549</v>
      </c>
      <c r="M23" s="30">
        <f t="shared" si="7"/>
        <v>7.8742608154372812E-2</v>
      </c>
      <c r="N23" s="30">
        <f t="shared" si="7"/>
        <v>0.15551405747484179</v>
      </c>
      <c r="O23" s="30">
        <f t="shared" si="7"/>
        <v>7.8742608154372729E-2</v>
      </c>
      <c r="P23" s="30">
        <f t="shared" si="7"/>
        <v>1.9711588339039743E-3</v>
      </c>
      <c r="Q23" s="30">
        <f t="shared" si="7"/>
        <v>7.8742608154372798E-2</v>
      </c>
      <c r="R23" s="30">
        <f t="shared" si="7"/>
        <v>1.2938508736828145E-2</v>
      </c>
      <c r="S23" s="30">
        <f t="shared" si="7"/>
        <v>7.8742608154372951E-2</v>
      </c>
      <c r="T23" s="30">
        <f t="shared" si="7"/>
        <v>2.1164021164021385E-2</v>
      </c>
      <c r="U23" s="30">
        <f t="shared" si="7"/>
        <v>7.8742608154372784E-2</v>
      </c>
      <c r="V23" s="30">
        <f t="shared" si="7"/>
        <v>2.7561641940726942E-2</v>
      </c>
      <c r="W23" s="30">
        <f t="shared" si="7"/>
        <v>7.8742608154372812E-2</v>
      </c>
      <c r="X23" s="30">
        <f t="shared" si="7"/>
        <v>3.2679738562091387E-2</v>
      </c>
      <c r="Y23" s="30">
        <f t="shared" si="7"/>
        <v>7.8742608154372853E-2</v>
      </c>
      <c r="Z23" s="30">
        <f t="shared" si="7"/>
        <v>3.6867272161389734E-2</v>
      </c>
      <c r="AA23" s="30">
        <f t="shared" si="7"/>
        <v>7.8742608154372729E-2</v>
      </c>
      <c r="AB23" s="30">
        <f t="shared" si="7"/>
        <v>4.0356883494138497E-2</v>
      </c>
    </row>
  </sheetData>
  <mergeCells count="1">
    <mergeCell ref="A19:A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BC88-0916-3A47-BF9E-DDA64C4AACEA}">
  <dimension ref="B3:N18"/>
  <sheetViews>
    <sheetView tabSelected="1" zoomScale="125" zoomScaleNormal="125" workbookViewId="0">
      <selection activeCell="R14" sqref="R14"/>
    </sheetView>
  </sheetViews>
  <sheetFormatPr baseColWidth="10" defaultRowHeight="15" x14ac:dyDescent="0.2"/>
  <cols>
    <col min="2" max="2" width="18.5" style="29" customWidth="1"/>
    <col min="3" max="13" width="6.5" customWidth="1"/>
    <col min="14" max="14" width="5.6640625" customWidth="1"/>
  </cols>
  <sheetData>
    <row r="3" spans="2:14" x14ac:dyDescent="0.2">
      <c r="B3" s="29" t="s">
        <v>136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2:14" x14ac:dyDescent="0.2">
      <c r="B4" s="29" t="s">
        <v>137</v>
      </c>
      <c r="C4" s="28">
        <v>0.25</v>
      </c>
      <c r="D4" s="28">
        <v>0.25</v>
      </c>
      <c r="E4" s="28">
        <v>0.25</v>
      </c>
      <c r="F4" s="28">
        <v>0.25</v>
      </c>
      <c r="G4" s="28">
        <v>0.25</v>
      </c>
      <c r="H4" s="28">
        <v>0.25</v>
      </c>
      <c r="I4" s="28">
        <v>0.25</v>
      </c>
      <c r="J4" s="28">
        <v>0.25</v>
      </c>
      <c r="K4" s="28">
        <v>0.25</v>
      </c>
      <c r="L4" s="28">
        <v>0.25</v>
      </c>
      <c r="M4" s="28">
        <v>0.25</v>
      </c>
      <c r="N4" s="28">
        <v>0.25</v>
      </c>
    </row>
    <row r="5" spans="2:14" x14ac:dyDescent="0.2">
      <c r="B5" s="29" t="s">
        <v>138</v>
      </c>
      <c r="C5">
        <f>C3/C4</f>
        <v>4</v>
      </c>
      <c r="D5">
        <f t="shared" ref="D5:N5" si="0">D3/D4</f>
        <v>8</v>
      </c>
      <c r="E5">
        <f t="shared" si="0"/>
        <v>12</v>
      </c>
      <c r="F5">
        <f t="shared" si="0"/>
        <v>16</v>
      </c>
      <c r="G5">
        <f t="shared" si="0"/>
        <v>20</v>
      </c>
      <c r="H5">
        <f t="shared" si="0"/>
        <v>24</v>
      </c>
      <c r="I5">
        <f t="shared" si="0"/>
        <v>28</v>
      </c>
      <c r="J5">
        <f t="shared" si="0"/>
        <v>32</v>
      </c>
      <c r="K5">
        <f t="shared" si="0"/>
        <v>36</v>
      </c>
      <c r="L5">
        <f t="shared" si="0"/>
        <v>40</v>
      </c>
      <c r="M5">
        <f t="shared" si="0"/>
        <v>44</v>
      </c>
      <c r="N5">
        <f t="shared" si="0"/>
        <v>48</v>
      </c>
    </row>
    <row r="6" spans="2:14" x14ac:dyDescent="0.2">
      <c r="B6" s="29" t="s">
        <v>139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</row>
    <row r="7" spans="2:14" x14ac:dyDescent="0.2">
      <c r="B7" s="29" t="s">
        <v>140</v>
      </c>
      <c r="C7">
        <f>C5*C6/60</f>
        <v>1.4</v>
      </c>
      <c r="D7">
        <f t="shared" ref="D7:N7" si="1">D5*D6/60</f>
        <v>2.8</v>
      </c>
      <c r="E7">
        <f t="shared" si="1"/>
        <v>4.2</v>
      </c>
      <c r="F7">
        <f t="shared" si="1"/>
        <v>5.6</v>
      </c>
      <c r="G7">
        <f t="shared" si="1"/>
        <v>7</v>
      </c>
      <c r="H7">
        <f t="shared" si="1"/>
        <v>8.4</v>
      </c>
      <c r="I7">
        <f t="shared" si="1"/>
        <v>9.8000000000000007</v>
      </c>
      <c r="J7">
        <f t="shared" si="1"/>
        <v>11.2</v>
      </c>
      <c r="K7">
        <f t="shared" si="1"/>
        <v>12.6</v>
      </c>
      <c r="L7">
        <f t="shared" si="1"/>
        <v>14</v>
      </c>
      <c r="M7">
        <f t="shared" si="1"/>
        <v>15.4</v>
      </c>
      <c r="N7">
        <f t="shared" si="1"/>
        <v>16.8</v>
      </c>
    </row>
    <row r="8" spans="2:14" x14ac:dyDescent="0.2">
      <c r="B8" s="29" t="s">
        <v>146</v>
      </c>
      <c r="C8" s="28">
        <v>0.85</v>
      </c>
      <c r="D8" s="28">
        <v>0.85</v>
      </c>
      <c r="E8" s="28">
        <v>0.85</v>
      </c>
      <c r="F8" s="28">
        <v>0.85</v>
      </c>
      <c r="G8" s="28">
        <v>0.85</v>
      </c>
      <c r="H8" s="28">
        <v>0.85</v>
      </c>
      <c r="I8" s="28">
        <v>0.85</v>
      </c>
      <c r="J8" s="28">
        <v>0.85</v>
      </c>
      <c r="K8" s="28">
        <v>0.85</v>
      </c>
      <c r="L8" s="28">
        <v>0.85</v>
      </c>
      <c r="M8" s="28">
        <v>0.85</v>
      </c>
      <c r="N8" s="28">
        <v>0.85</v>
      </c>
    </row>
    <row r="9" spans="2:14" x14ac:dyDescent="0.2">
      <c r="B9" s="29" t="s">
        <v>147</v>
      </c>
      <c r="C9" s="2">
        <f>C7/C8</f>
        <v>1.6470588235294117</v>
      </c>
      <c r="D9" s="2">
        <f t="shared" ref="D9:N9" si="2">D7/D8</f>
        <v>3.2941176470588234</v>
      </c>
      <c r="E9" s="2">
        <f t="shared" si="2"/>
        <v>4.9411764705882355</v>
      </c>
      <c r="F9" s="2">
        <f t="shared" si="2"/>
        <v>6.5882352941176467</v>
      </c>
      <c r="G9" s="2">
        <f t="shared" si="2"/>
        <v>8.2352941176470598</v>
      </c>
      <c r="H9" s="2">
        <f t="shared" si="2"/>
        <v>9.882352941176471</v>
      </c>
      <c r="I9" s="2">
        <f t="shared" si="2"/>
        <v>11.529411764705884</v>
      </c>
      <c r="J9" s="2">
        <f t="shared" si="2"/>
        <v>13.176470588235293</v>
      </c>
      <c r="K9" s="2">
        <f t="shared" si="2"/>
        <v>14.823529411764707</v>
      </c>
      <c r="L9" s="2">
        <f t="shared" si="2"/>
        <v>16.47058823529412</v>
      </c>
      <c r="M9" s="2">
        <f t="shared" si="2"/>
        <v>18.117647058823529</v>
      </c>
      <c r="N9" s="2">
        <f t="shared" si="2"/>
        <v>19.764705882352942</v>
      </c>
    </row>
    <row r="10" spans="2:14" x14ac:dyDescent="0.2">
      <c r="B10" s="29" t="s">
        <v>149</v>
      </c>
      <c r="C10">
        <v>260</v>
      </c>
      <c r="D10">
        <v>260</v>
      </c>
      <c r="E10">
        <v>260</v>
      </c>
      <c r="F10">
        <v>260</v>
      </c>
      <c r="G10">
        <v>260</v>
      </c>
      <c r="H10">
        <v>260</v>
      </c>
      <c r="I10">
        <v>260</v>
      </c>
      <c r="J10">
        <v>260</v>
      </c>
      <c r="K10">
        <v>260</v>
      </c>
      <c r="L10">
        <v>260</v>
      </c>
      <c r="M10">
        <v>260</v>
      </c>
      <c r="N10">
        <v>260</v>
      </c>
    </row>
    <row r="11" spans="2:14" x14ac:dyDescent="0.2">
      <c r="B11" s="29" t="s">
        <v>148</v>
      </c>
      <c r="C11">
        <f t="shared" ref="C11:N11" si="3">C9*1000/C10</f>
        <v>6.3348416289592757</v>
      </c>
      <c r="D11">
        <f t="shared" si="3"/>
        <v>12.669683257918551</v>
      </c>
      <c r="E11">
        <f t="shared" si="3"/>
        <v>19.004524886877828</v>
      </c>
      <c r="F11">
        <f t="shared" si="3"/>
        <v>25.339366515837103</v>
      </c>
      <c r="G11">
        <f t="shared" si="3"/>
        <v>31.674208144796381</v>
      </c>
      <c r="H11">
        <f t="shared" si="3"/>
        <v>38.009049773755656</v>
      </c>
      <c r="I11">
        <f t="shared" si="3"/>
        <v>44.343891402714938</v>
      </c>
      <c r="J11">
        <f t="shared" si="3"/>
        <v>50.678733031674206</v>
      </c>
      <c r="K11">
        <f t="shared" si="3"/>
        <v>57.013574660633488</v>
      </c>
      <c r="L11">
        <f t="shared" si="3"/>
        <v>63.348416289592762</v>
      </c>
      <c r="M11">
        <f t="shared" si="3"/>
        <v>69.68325791855203</v>
      </c>
      <c r="N11">
        <f t="shared" si="3"/>
        <v>76.018099547511312</v>
      </c>
    </row>
    <row r="13" spans="2:14" x14ac:dyDescent="0.2">
      <c r="B13" s="29" t="s">
        <v>7</v>
      </c>
      <c r="C13">
        <v>148</v>
      </c>
      <c r="D13">
        <v>148</v>
      </c>
      <c r="E13">
        <v>148</v>
      </c>
      <c r="F13">
        <v>148</v>
      </c>
      <c r="G13">
        <v>148</v>
      </c>
      <c r="H13">
        <v>148</v>
      </c>
      <c r="I13">
        <v>148</v>
      </c>
      <c r="J13">
        <v>148</v>
      </c>
      <c r="K13">
        <v>148</v>
      </c>
      <c r="L13">
        <v>148</v>
      </c>
      <c r="M13">
        <v>148</v>
      </c>
      <c r="N13">
        <v>148</v>
      </c>
    </row>
    <row r="14" spans="2:14" x14ac:dyDescent="0.2">
      <c r="B14" s="29" t="s">
        <v>143</v>
      </c>
      <c r="C14" s="28">
        <v>0.75</v>
      </c>
      <c r="D14" s="28">
        <v>0.75</v>
      </c>
      <c r="E14" s="28">
        <v>0.75</v>
      </c>
      <c r="F14" s="28">
        <v>0.75</v>
      </c>
      <c r="G14" s="28">
        <v>0.75</v>
      </c>
      <c r="H14" s="28">
        <v>0.75</v>
      </c>
      <c r="I14" s="28">
        <v>0.75</v>
      </c>
      <c r="J14" s="28">
        <v>0.75</v>
      </c>
      <c r="K14" s="28">
        <v>0.75</v>
      </c>
      <c r="L14" s="28">
        <v>0.75</v>
      </c>
      <c r="M14" s="28">
        <v>0.75</v>
      </c>
      <c r="N14" s="28">
        <v>0.75</v>
      </c>
    </row>
    <row r="15" spans="2:14" x14ac:dyDescent="0.2">
      <c r="B15" s="29" t="s">
        <v>144</v>
      </c>
      <c r="C15">
        <f t="shared" ref="C15:N15" si="4">C13*C14</f>
        <v>111</v>
      </c>
      <c r="D15">
        <f t="shared" si="4"/>
        <v>111</v>
      </c>
      <c r="E15">
        <f t="shared" si="4"/>
        <v>111</v>
      </c>
      <c r="F15">
        <f t="shared" si="4"/>
        <v>111</v>
      </c>
      <c r="G15">
        <f t="shared" si="4"/>
        <v>111</v>
      </c>
      <c r="H15">
        <f t="shared" si="4"/>
        <v>111</v>
      </c>
      <c r="I15">
        <f t="shared" si="4"/>
        <v>111</v>
      </c>
      <c r="J15">
        <f t="shared" si="4"/>
        <v>111</v>
      </c>
      <c r="K15">
        <f t="shared" si="4"/>
        <v>111</v>
      </c>
      <c r="L15">
        <f t="shared" si="4"/>
        <v>111</v>
      </c>
      <c r="M15">
        <f t="shared" si="4"/>
        <v>111</v>
      </c>
      <c r="N15">
        <f t="shared" si="4"/>
        <v>111</v>
      </c>
    </row>
    <row r="16" spans="2:14" x14ac:dyDescent="0.2">
      <c r="B16" s="29" t="s">
        <v>141</v>
      </c>
      <c r="C16">
        <v>1373</v>
      </c>
      <c r="D16">
        <v>1373</v>
      </c>
      <c r="E16">
        <v>1373</v>
      </c>
      <c r="F16">
        <v>1373</v>
      </c>
      <c r="G16">
        <v>1373</v>
      </c>
      <c r="H16">
        <v>1373</v>
      </c>
      <c r="I16">
        <v>1373</v>
      </c>
      <c r="J16">
        <v>1373</v>
      </c>
      <c r="K16">
        <v>1373</v>
      </c>
      <c r="L16">
        <v>1373</v>
      </c>
      <c r="M16">
        <v>1373</v>
      </c>
      <c r="N16">
        <v>1373</v>
      </c>
    </row>
    <row r="17" spans="2:14" x14ac:dyDescent="0.2">
      <c r="B17" s="29" t="s">
        <v>142</v>
      </c>
      <c r="C17" s="28">
        <v>0.4</v>
      </c>
      <c r="D17" s="28">
        <v>0.4</v>
      </c>
      <c r="E17" s="28">
        <v>0.4</v>
      </c>
      <c r="F17" s="28">
        <v>0.4</v>
      </c>
      <c r="G17" s="28">
        <v>0.4</v>
      </c>
      <c r="H17" s="28">
        <v>0.4</v>
      </c>
      <c r="I17" s="28">
        <v>0.4</v>
      </c>
      <c r="J17" s="28">
        <v>0.4</v>
      </c>
      <c r="K17" s="28">
        <v>0.4</v>
      </c>
      <c r="L17" s="28">
        <v>0.4</v>
      </c>
      <c r="M17" s="28">
        <v>0.4</v>
      </c>
      <c r="N17" s="28">
        <v>0.4</v>
      </c>
    </row>
    <row r="18" spans="2:14" x14ac:dyDescent="0.2">
      <c r="B18" s="29" t="s">
        <v>145</v>
      </c>
      <c r="C18">
        <f t="shared" ref="C18:N18" si="5">C9/(C15/60*C16/1000)/C17</f>
        <v>1.6210889781002453</v>
      </c>
      <c r="D18">
        <f t="shared" si="5"/>
        <v>3.2421779562004907</v>
      </c>
      <c r="E18">
        <f t="shared" si="5"/>
        <v>4.8632669343007366</v>
      </c>
      <c r="F18">
        <f>F9/(F15/60*F16/1000)/F17</f>
        <v>6.4843559124009813</v>
      </c>
      <c r="G18">
        <f t="shared" si="5"/>
        <v>8.1054448905012286</v>
      </c>
      <c r="H18">
        <f t="shared" si="5"/>
        <v>9.7265338686014733</v>
      </c>
      <c r="I18">
        <f t="shared" si="5"/>
        <v>11.347622846701721</v>
      </c>
      <c r="J18">
        <f t="shared" si="5"/>
        <v>12.968711824801963</v>
      </c>
      <c r="K18">
        <f t="shared" si="5"/>
        <v>14.589800802902211</v>
      </c>
      <c r="L18">
        <f t="shared" si="5"/>
        <v>16.210889781002457</v>
      </c>
      <c r="M18">
        <f t="shared" si="5"/>
        <v>17.8319787591027</v>
      </c>
      <c r="N18">
        <f t="shared" si="5"/>
        <v>19.453067737202947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DE7-7053-48E5-A37D-9197A6AFEE4B}">
  <dimension ref="A1:Y43"/>
  <sheetViews>
    <sheetView zoomScale="125" zoomScaleNormal="125" workbookViewId="0">
      <selection activeCell="P21" sqref="P21"/>
    </sheetView>
  </sheetViews>
  <sheetFormatPr baseColWidth="10" defaultColWidth="8.83203125" defaultRowHeight="15" x14ac:dyDescent="0.2"/>
  <cols>
    <col min="1" max="1" width="36.1640625" bestFit="1" customWidth="1"/>
    <col min="2" max="2" width="10.83203125" customWidth="1"/>
    <col min="3" max="3" width="8.1640625" bestFit="1" customWidth="1"/>
    <col min="4" max="20" width="7.1640625" bestFit="1" customWidth="1"/>
  </cols>
  <sheetData>
    <row r="1" spans="1:20" ht="16" x14ac:dyDescent="0.2">
      <c r="A1" s="7"/>
      <c r="B1" s="7"/>
      <c r="C1" s="7"/>
      <c r="D1" s="7"/>
      <c r="E1" s="7"/>
    </row>
    <row r="2" spans="1:20" ht="16" x14ac:dyDescent="0.2">
      <c r="A2" s="7"/>
      <c r="B2" s="7"/>
      <c r="C2" s="7"/>
      <c r="D2" s="7"/>
      <c r="E2" s="7"/>
    </row>
    <row r="3" spans="1:20" ht="16" x14ac:dyDescent="0.2">
      <c r="A3" s="7" t="s">
        <v>105</v>
      </c>
      <c r="B3" s="7" t="s">
        <v>33</v>
      </c>
      <c r="C3" s="8">
        <v>50</v>
      </c>
      <c r="D3" s="8">
        <v>50</v>
      </c>
      <c r="E3" s="8">
        <v>50</v>
      </c>
      <c r="F3" s="8">
        <v>50</v>
      </c>
      <c r="G3" s="8">
        <v>50</v>
      </c>
      <c r="H3" s="8">
        <v>50</v>
      </c>
      <c r="I3" s="8">
        <v>50</v>
      </c>
      <c r="J3" s="8">
        <v>50</v>
      </c>
      <c r="K3" s="8">
        <v>50</v>
      </c>
      <c r="L3" s="8">
        <v>50</v>
      </c>
      <c r="M3" s="8">
        <v>50</v>
      </c>
      <c r="N3" s="8">
        <v>50</v>
      </c>
      <c r="O3" s="33">
        <v>50</v>
      </c>
      <c r="P3" s="33">
        <v>50</v>
      </c>
      <c r="Q3" s="33">
        <v>50</v>
      </c>
      <c r="R3" s="33">
        <v>50</v>
      </c>
      <c r="S3" s="33">
        <v>50</v>
      </c>
      <c r="T3" s="33">
        <v>50</v>
      </c>
    </row>
    <row r="4" spans="1:20" ht="16" x14ac:dyDescent="0.2">
      <c r="A4" s="7" t="s">
        <v>114</v>
      </c>
      <c r="B4" s="7" t="s">
        <v>108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33">
        <v>200</v>
      </c>
      <c r="P4" s="33">
        <v>200</v>
      </c>
      <c r="Q4" s="33">
        <v>200</v>
      </c>
      <c r="R4" s="33">
        <v>200</v>
      </c>
      <c r="S4" s="33">
        <v>200</v>
      </c>
      <c r="T4" s="33">
        <v>200</v>
      </c>
    </row>
    <row r="5" spans="1:20" ht="16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4"/>
      <c r="P5" s="34"/>
      <c r="Q5" s="34"/>
      <c r="R5" s="34"/>
      <c r="S5" s="34"/>
      <c r="T5" s="34"/>
    </row>
    <row r="6" spans="1:20" ht="16" x14ac:dyDescent="0.2">
      <c r="A6" s="7" t="s">
        <v>106</v>
      </c>
      <c r="B6" s="7" t="s">
        <v>33</v>
      </c>
      <c r="C6" s="8">
        <v>150</v>
      </c>
      <c r="D6" s="8">
        <v>150</v>
      </c>
      <c r="E6" s="8">
        <v>150</v>
      </c>
      <c r="F6" s="8">
        <v>150</v>
      </c>
      <c r="G6" s="8">
        <v>150</v>
      </c>
      <c r="H6" s="8">
        <v>150</v>
      </c>
      <c r="I6" s="8">
        <v>150</v>
      </c>
      <c r="J6" s="8">
        <v>150</v>
      </c>
      <c r="K6" s="8">
        <v>150</v>
      </c>
      <c r="L6" s="8">
        <v>150</v>
      </c>
      <c r="M6" s="8">
        <v>150</v>
      </c>
      <c r="N6" s="8">
        <v>150</v>
      </c>
      <c r="O6" s="33">
        <v>150</v>
      </c>
      <c r="P6" s="33">
        <v>150</v>
      </c>
      <c r="Q6" s="33">
        <v>150</v>
      </c>
      <c r="R6" s="33">
        <v>150</v>
      </c>
      <c r="S6" s="33">
        <v>150</v>
      </c>
      <c r="T6" s="33">
        <v>150</v>
      </c>
    </row>
    <row r="7" spans="1:20" ht="16" x14ac:dyDescent="0.2">
      <c r="A7" s="7" t="s">
        <v>109</v>
      </c>
      <c r="B7" s="7" t="s">
        <v>108</v>
      </c>
      <c r="C7" s="32">
        <v>320</v>
      </c>
      <c r="D7" s="32">
        <v>320</v>
      </c>
      <c r="E7" s="32">
        <v>320</v>
      </c>
      <c r="F7" s="32">
        <v>320</v>
      </c>
      <c r="G7" s="32">
        <v>320</v>
      </c>
      <c r="H7" s="32">
        <v>320</v>
      </c>
      <c r="I7" s="32">
        <v>320</v>
      </c>
      <c r="J7" s="32">
        <v>320</v>
      </c>
      <c r="K7" s="32">
        <v>320</v>
      </c>
      <c r="L7" s="32">
        <v>320</v>
      </c>
      <c r="M7" s="32">
        <v>320</v>
      </c>
      <c r="N7" s="32">
        <v>320</v>
      </c>
      <c r="O7" s="33">
        <v>320</v>
      </c>
      <c r="P7" s="33">
        <v>320</v>
      </c>
      <c r="Q7" s="33">
        <v>320</v>
      </c>
      <c r="R7" s="33">
        <v>320</v>
      </c>
      <c r="S7" s="33">
        <v>320</v>
      </c>
      <c r="T7" s="33">
        <v>320</v>
      </c>
    </row>
    <row r="8" spans="1:20" x14ac:dyDescent="0.2">
      <c r="O8" s="35"/>
      <c r="P8" s="35"/>
      <c r="Q8" s="35"/>
      <c r="R8" s="35"/>
      <c r="S8" s="35"/>
      <c r="T8" s="35"/>
    </row>
    <row r="9" spans="1:20" ht="16" x14ac:dyDescent="0.2">
      <c r="A9" s="7" t="s">
        <v>34</v>
      </c>
      <c r="B9" s="7"/>
      <c r="C9" s="8">
        <v>1</v>
      </c>
      <c r="D9" s="8">
        <v>2</v>
      </c>
      <c r="E9" s="8">
        <v>3</v>
      </c>
      <c r="F9" s="8">
        <v>4</v>
      </c>
      <c r="G9" s="8">
        <v>5</v>
      </c>
      <c r="H9" s="8">
        <v>6</v>
      </c>
      <c r="I9" s="8">
        <v>1</v>
      </c>
      <c r="J9" s="8">
        <v>2</v>
      </c>
      <c r="K9" s="8">
        <v>3</v>
      </c>
      <c r="L9" s="8">
        <v>4</v>
      </c>
      <c r="M9" s="8">
        <v>5</v>
      </c>
      <c r="N9" s="8">
        <v>6</v>
      </c>
      <c r="O9" s="33">
        <v>1</v>
      </c>
      <c r="P9" s="33">
        <v>2</v>
      </c>
      <c r="Q9" s="33">
        <v>3</v>
      </c>
      <c r="R9" s="33">
        <v>4</v>
      </c>
      <c r="S9" s="33">
        <v>5</v>
      </c>
      <c r="T9" s="33">
        <v>6</v>
      </c>
    </row>
    <row r="10" spans="1:20" ht="16" x14ac:dyDescent="0.2">
      <c r="A10" s="7" t="s">
        <v>35</v>
      </c>
      <c r="B10" s="7"/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2</v>
      </c>
      <c r="J10" s="32">
        <v>2</v>
      </c>
      <c r="K10" s="32">
        <v>2</v>
      </c>
      <c r="L10" s="32">
        <v>2</v>
      </c>
      <c r="M10" s="32">
        <v>2</v>
      </c>
      <c r="N10" s="32">
        <v>2</v>
      </c>
      <c r="O10" s="33">
        <v>4</v>
      </c>
      <c r="P10" s="33">
        <v>4</v>
      </c>
      <c r="Q10" s="33">
        <v>4</v>
      </c>
      <c r="R10" s="33">
        <v>4</v>
      </c>
      <c r="S10" s="33">
        <v>4</v>
      </c>
      <c r="T10" s="33">
        <v>4</v>
      </c>
    </row>
    <row r="11" spans="1:20" x14ac:dyDescent="0.2">
      <c r="O11" s="35"/>
      <c r="P11" s="35"/>
      <c r="Q11" s="35"/>
      <c r="R11" s="35"/>
      <c r="S11" s="35"/>
      <c r="T11" s="35"/>
    </row>
    <row r="12" spans="1:20" ht="16" x14ac:dyDescent="0.2">
      <c r="A12" s="7" t="s">
        <v>113</v>
      </c>
      <c r="B12" s="7" t="s">
        <v>108</v>
      </c>
      <c r="C12">
        <f>C7+(C10*C4)</f>
        <v>520</v>
      </c>
      <c r="D12">
        <f t="shared" ref="D12:T12" si="0">D7+(D10*D4)</f>
        <v>520</v>
      </c>
      <c r="E12">
        <f t="shared" si="0"/>
        <v>520</v>
      </c>
      <c r="F12">
        <f t="shared" si="0"/>
        <v>520</v>
      </c>
      <c r="G12">
        <f t="shared" si="0"/>
        <v>520</v>
      </c>
      <c r="H12">
        <f t="shared" si="0"/>
        <v>520</v>
      </c>
      <c r="I12">
        <f t="shared" si="0"/>
        <v>720</v>
      </c>
      <c r="J12">
        <f t="shared" si="0"/>
        <v>720</v>
      </c>
      <c r="K12">
        <f t="shared" si="0"/>
        <v>720</v>
      </c>
      <c r="L12">
        <f t="shared" si="0"/>
        <v>720</v>
      </c>
      <c r="M12">
        <f t="shared" si="0"/>
        <v>720</v>
      </c>
      <c r="N12">
        <f t="shared" si="0"/>
        <v>720</v>
      </c>
      <c r="O12">
        <f t="shared" si="0"/>
        <v>1120</v>
      </c>
      <c r="P12">
        <f t="shared" si="0"/>
        <v>1120</v>
      </c>
      <c r="Q12">
        <f t="shared" si="0"/>
        <v>1120</v>
      </c>
      <c r="R12">
        <f t="shared" si="0"/>
        <v>1120</v>
      </c>
      <c r="S12">
        <f t="shared" si="0"/>
        <v>1120</v>
      </c>
      <c r="T12">
        <f t="shared" si="0"/>
        <v>1120</v>
      </c>
    </row>
    <row r="13" spans="1:20" ht="16" x14ac:dyDescent="0.2">
      <c r="A13" s="7" t="s">
        <v>110</v>
      </c>
      <c r="B13" s="7" t="s">
        <v>108</v>
      </c>
      <c r="C13" s="7">
        <f>C12*C9</f>
        <v>520</v>
      </c>
      <c r="D13" s="7">
        <f t="shared" ref="D13:T13" si="1">D12*D9</f>
        <v>1040</v>
      </c>
      <c r="E13" s="7">
        <f t="shared" si="1"/>
        <v>1560</v>
      </c>
      <c r="F13" s="7">
        <f t="shared" si="1"/>
        <v>2080</v>
      </c>
      <c r="G13" s="7">
        <f t="shared" si="1"/>
        <v>2600</v>
      </c>
      <c r="H13" s="7">
        <f t="shared" si="1"/>
        <v>3120</v>
      </c>
      <c r="I13" s="7">
        <f t="shared" si="1"/>
        <v>720</v>
      </c>
      <c r="J13" s="7">
        <f t="shared" si="1"/>
        <v>1440</v>
      </c>
      <c r="K13" s="7">
        <f t="shared" si="1"/>
        <v>2160</v>
      </c>
      <c r="L13" s="7">
        <f t="shared" si="1"/>
        <v>2880</v>
      </c>
      <c r="M13" s="7">
        <f t="shared" si="1"/>
        <v>3600</v>
      </c>
      <c r="N13" s="7">
        <f t="shared" si="1"/>
        <v>4320</v>
      </c>
      <c r="O13" s="7">
        <f t="shared" si="1"/>
        <v>1120</v>
      </c>
      <c r="P13" s="7">
        <f t="shared" si="1"/>
        <v>2240</v>
      </c>
      <c r="Q13" s="7">
        <f t="shared" si="1"/>
        <v>3360</v>
      </c>
      <c r="R13" s="7">
        <f t="shared" si="1"/>
        <v>4480</v>
      </c>
      <c r="S13" s="7">
        <f t="shared" si="1"/>
        <v>5600</v>
      </c>
      <c r="T13" s="7">
        <f t="shared" si="1"/>
        <v>6720</v>
      </c>
    </row>
    <row r="14" spans="1:20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" x14ac:dyDescent="0.2">
      <c r="A15" s="7" t="s">
        <v>107</v>
      </c>
      <c r="B15" s="7" t="s">
        <v>33</v>
      </c>
      <c r="C15" s="7">
        <f>C6+C3*C10</f>
        <v>200</v>
      </c>
      <c r="D15" s="7">
        <f t="shared" ref="D15:T15" si="2">D6+D3*D10</f>
        <v>200</v>
      </c>
      <c r="E15" s="7">
        <f t="shared" si="2"/>
        <v>200</v>
      </c>
      <c r="F15" s="7">
        <f t="shared" si="2"/>
        <v>200</v>
      </c>
      <c r="G15" s="7">
        <f t="shared" si="2"/>
        <v>200</v>
      </c>
      <c r="H15" s="7">
        <f t="shared" si="2"/>
        <v>200</v>
      </c>
      <c r="I15" s="7">
        <f t="shared" si="2"/>
        <v>250</v>
      </c>
      <c r="J15" s="7">
        <f t="shared" si="2"/>
        <v>250</v>
      </c>
      <c r="K15" s="7">
        <f t="shared" si="2"/>
        <v>250</v>
      </c>
      <c r="L15" s="7">
        <f t="shared" si="2"/>
        <v>250</v>
      </c>
      <c r="M15" s="7">
        <f t="shared" si="2"/>
        <v>250</v>
      </c>
      <c r="N15" s="7">
        <f t="shared" si="2"/>
        <v>250</v>
      </c>
      <c r="O15" s="7">
        <f t="shared" si="2"/>
        <v>350</v>
      </c>
      <c r="P15" s="7">
        <f t="shared" si="2"/>
        <v>350</v>
      </c>
      <c r="Q15" s="7">
        <f t="shared" si="2"/>
        <v>350</v>
      </c>
      <c r="R15" s="7">
        <f t="shared" si="2"/>
        <v>350</v>
      </c>
      <c r="S15" s="7">
        <f t="shared" si="2"/>
        <v>350</v>
      </c>
      <c r="T15" s="7">
        <f t="shared" si="2"/>
        <v>350</v>
      </c>
    </row>
    <row r="16" spans="1:20" ht="16" x14ac:dyDescent="0.2">
      <c r="A16" s="7" t="s">
        <v>36</v>
      </c>
      <c r="B16" s="7" t="s">
        <v>33</v>
      </c>
      <c r="C16" s="7">
        <f>C15*C9</f>
        <v>200</v>
      </c>
      <c r="D16" s="7">
        <f t="shared" ref="D16:T16" si="3">D15*D9</f>
        <v>400</v>
      </c>
      <c r="E16" s="7">
        <f t="shared" si="3"/>
        <v>600</v>
      </c>
      <c r="F16" s="7">
        <f t="shared" si="3"/>
        <v>800</v>
      </c>
      <c r="G16" s="7">
        <f t="shared" si="3"/>
        <v>1000</v>
      </c>
      <c r="H16" s="7">
        <f t="shared" si="3"/>
        <v>1200</v>
      </c>
      <c r="I16" s="7">
        <f t="shared" si="3"/>
        <v>250</v>
      </c>
      <c r="J16" s="7">
        <f t="shared" si="3"/>
        <v>500</v>
      </c>
      <c r="K16" s="7">
        <f t="shared" si="3"/>
        <v>750</v>
      </c>
      <c r="L16" s="7">
        <f t="shared" si="3"/>
        <v>1000</v>
      </c>
      <c r="M16" s="7">
        <f t="shared" si="3"/>
        <v>1250</v>
      </c>
      <c r="N16" s="7">
        <f t="shared" si="3"/>
        <v>1500</v>
      </c>
      <c r="O16" s="7">
        <f t="shared" si="3"/>
        <v>350</v>
      </c>
      <c r="P16" s="7">
        <f t="shared" si="3"/>
        <v>700</v>
      </c>
      <c r="Q16" s="7">
        <f t="shared" si="3"/>
        <v>1050</v>
      </c>
      <c r="R16" s="7">
        <f t="shared" si="3"/>
        <v>1400</v>
      </c>
      <c r="S16" s="7">
        <f t="shared" si="3"/>
        <v>1750</v>
      </c>
      <c r="T16" s="7">
        <f t="shared" si="3"/>
        <v>2100</v>
      </c>
    </row>
    <row r="17" spans="1:25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5" ht="16" x14ac:dyDescent="0.2">
      <c r="A18" s="7" t="s">
        <v>112</v>
      </c>
      <c r="B18" s="7" t="s">
        <v>115</v>
      </c>
      <c r="C18" s="32">
        <v>100000</v>
      </c>
      <c r="D18" s="32">
        <v>100000</v>
      </c>
      <c r="E18" s="32">
        <v>100000</v>
      </c>
      <c r="F18" s="32">
        <v>100000</v>
      </c>
      <c r="G18" s="32">
        <v>100000</v>
      </c>
      <c r="H18" s="32">
        <v>100000</v>
      </c>
      <c r="I18" s="32">
        <v>100000</v>
      </c>
      <c r="J18" s="32">
        <v>100000</v>
      </c>
      <c r="K18" s="32">
        <v>100000</v>
      </c>
      <c r="L18" s="32">
        <v>100000</v>
      </c>
      <c r="M18" s="32">
        <v>100000</v>
      </c>
      <c r="N18" s="32">
        <v>100000</v>
      </c>
      <c r="O18" s="32">
        <v>100000</v>
      </c>
      <c r="P18" s="32">
        <v>100000</v>
      </c>
      <c r="Q18" s="32">
        <v>100000</v>
      </c>
      <c r="R18" s="32">
        <v>100000</v>
      </c>
      <c r="S18" s="32">
        <v>100000</v>
      </c>
      <c r="T18" s="32">
        <v>100000</v>
      </c>
    </row>
    <row r="19" spans="1:25" ht="16" x14ac:dyDescent="0.2">
      <c r="A19" s="7" t="s">
        <v>111</v>
      </c>
      <c r="B19" s="7" t="s">
        <v>33</v>
      </c>
      <c r="C19" s="7">
        <f>C13*C18/10000000</f>
        <v>5.2</v>
      </c>
      <c r="D19" s="7">
        <f t="shared" ref="D19:T19" si="4">D13*D18/10000000</f>
        <v>10.4</v>
      </c>
      <c r="E19" s="7">
        <f t="shared" si="4"/>
        <v>15.6</v>
      </c>
      <c r="F19" s="7">
        <f t="shared" si="4"/>
        <v>20.8</v>
      </c>
      <c r="G19" s="7">
        <f t="shared" si="4"/>
        <v>26</v>
      </c>
      <c r="H19" s="7">
        <f t="shared" si="4"/>
        <v>31.2</v>
      </c>
      <c r="I19" s="7">
        <f t="shared" si="4"/>
        <v>7.2</v>
      </c>
      <c r="J19" s="7">
        <f t="shared" si="4"/>
        <v>14.4</v>
      </c>
      <c r="K19" s="7">
        <f t="shared" si="4"/>
        <v>21.6</v>
      </c>
      <c r="L19" s="7">
        <f t="shared" si="4"/>
        <v>28.8</v>
      </c>
      <c r="M19" s="7">
        <f t="shared" si="4"/>
        <v>36</v>
      </c>
      <c r="N19" s="7">
        <f t="shared" si="4"/>
        <v>43.2</v>
      </c>
      <c r="O19" s="7">
        <f t="shared" si="4"/>
        <v>11.2</v>
      </c>
      <c r="P19" s="7">
        <f t="shared" si="4"/>
        <v>22.4</v>
      </c>
      <c r="Q19" s="7">
        <f t="shared" si="4"/>
        <v>33.6</v>
      </c>
      <c r="R19" s="7">
        <f t="shared" si="4"/>
        <v>44.8</v>
      </c>
      <c r="S19" s="7">
        <f t="shared" si="4"/>
        <v>56</v>
      </c>
      <c r="T19" s="7">
        <f t="shared" si="4"/>
        <v>67.2</v>
      </c>
    </row>
    <row r="20" spans="1:25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5" ht="16" x14ac:dyDescent="0.2">
      <c r="A21" s="37" t="s">
        <v>37</v>
      </c>
      <c r="B21" s="38" t="s">
        <v>33</v>
      </c>
      <c r="C21" s="39">
        <f>C19+C16</f>
        <v>205.2</v>
      </c>
      <c r="D21" s="39">
        <f t="shared" ref="D21:T21" si="5">D19+D16</f>
        <v>410.4</v>
      </c>
      <c r="E21" s="39">
        <f t="shared" si="5"/>
        <v>615.6</v>
      </c>
      <c r="F21" s="39">
        <f t="shared" si="5"/>
        <v>820.8</v>
      </c>
      <c r="G21" s="39">
        <f t="shared" si="5"/>
        <v>1026</v>
      </c>
      <c r="H21" s="39">
        <f t="shared" si="5"/>
        <v>1231.2</v>
      </c>
      <c r="I21" s="39">
        <f t="shared" si="5"/>
        <v>257.2</v>
      </c>
      <c r="J21" s="39">
        <f t="shared" si="5"/>
        <v>514.4</v>
      </c>
      <c r="K21" s="39">
        <f t="shared" si="5"/>
        <v>771.6</v>
      </c>
      <c r="L21" s="39">
        <f t="shared" si="5"/>
        <v>1028.8</v>
      </c>
      <c r="M21" s="39">
        <f t="shared" si="5"/>
        <v>1286</v>
      </c>
      <c r="N21" s="39">
        <f t="shared" si="5"/>
        <v>1543.2</v>
      </c>
      <c r="O21" s="39">
        <f t="shared" si="5"/>
        <v>361.2</v>
      </c>
      <c r="P21" s="39">
        <f t="shared" si="5"/>
        <v>722.4</v>
      </c>
      <c r="Q21" s="39">
        <f t="shared" si="5"/>
        <v>1083.5999999999999</v>
      </c>
      <c r="R21" s="39">
        <f t="shared" si="5"/>
        <v>1444.8</v>
      </c>
      <c r="S21" s="39">
        <f t="shared" si="5"/>
        <v>1806</v>
      </c>
      <c r="T21" s="40">
        <f t="shared" si="5"/>
        <v>2167.1999999999998</v>
      </c>
    </row>
    <row r="23" spans="1:25" ht="16" x14ac:dyDescent="0.2">
      <c r="A23" s="7" t="s">
        <v>116</v>
      </c>
      <c r="C23">
        <f>C10*C9</f>
        <v>1</v>
      </c>
      <c r="D23">
        <f t="shared" ref="D23:T23" si="6">D10*D9</f>
        <v>2</v>
      </c>
      <c r="E23">
        <f t="shared" si="6"/>
        <v>3</v>
      </c>
      <c r="F23">
        <f t="shared" si="6"/>
        <v>4</v>
      </c>
      <c r="G23">
        <f t="shared" si="6"/>
        <v>5</v>
      </c>
      <c r="H23">
        <f t="shared" si="6"/>
        <v>6</v>
      </c>
      <c r="I23">
        <f t="shared" si="6"/>
        <v>2</v>
      </c>
      <c r="J23">
        <f t="shared" si="6"/>
        <v>4</v>
      </c>
      <c r="K23">
        <f t="shared" si="6"/>
        <v>6</v>
      </c>
      <c r="L23">
        <f t="shared" si="6"/>
        <v>8</v>
      </c>
      <c r="M23">
        <f t="shared" si="6"/>
        <v>10</v>
      </c>
      <c r="N23">
        <f t="shared" si="6"/>
        <v>12</v>
      </c>
      <c r="O23">
        <f t="shared" si="6"/>
        <v>4</v>
      </c>
      <c r="P23">
        <f t="shared" si="6"/>
        <v>8</v>
      </c>
      <c r="Q23">
        <f t="shared" si="6"/>
        <v>12</v>
      </c>
      <c r="R23">
        <f t="shared" si="6"/>
        <v>16</v>
      </c>
      <c r="S23">
        <f t="shared" si="6"/>
        <v>20</v>
      </c>
      <c r="T23">
        <f t="shared" si="6"/>
        <v>24</v>
      </c>
    </row>
    <row r="24" spans="1:25" x14ac:dyDescent="0.2">
      <c r="A24" s="36" t="s">
        <v>123</v>
      </c>
      <c r="B24" s="3"/>
      <c r="C24" s="3">
        <v>21</v>
      </c>
      <c r="D24" s="3">
        <v>21</v>
      </c>
      <c r="E24" s="3">
        <v>21</v>
      </c>
      <c r="F24" s="3">
        <v>21</v>
      </c>
      <c r="G24" s="3">
        <v>21</v>
      </c>
      <c r="H24" s="3">
        <v>21</v>
      </c>
      <c r="I24" s="3">
        <v>21</v>
      </c>
      <c r="J24" s="3">
        <v>21</v>
      </c>
      <c r="K24" s="3">
        <v>21</v>
      </c>
      <c r="L24" s="3">
        <v>21</v>
      </c>
      <c r="M24" s="3">
        <v>21</v>
      </c>
      <c r="N24" s="3">
        <v>21</v>
      </c>
      <c r="O24" s="3">
        <v>21</v>
      </c>
      <c r="P24" s="3">
        <v>21</v>
      </c>
      <c r="Q24" s="3">
        <v>21</v>
      </c>
      <c r="R24" s="3">
        <v>21</v>
      </c>
      <c r="S24" s="3">
        <v>21</v>
      </c>
      <c r="T24" s="3">
        <v>21</v>
      </c>
      <c r="U24" s="3"/>
      <c r="V24" s="3"/>
      <c r="W24" s="3"/>
      <c r="X24" s="3"/>
      <c r="Y24" s="3"/>
    </row>
    <row r="25" spans="1:25" x14ac:dyDescent="0.2">
      <c r="A25" s="36" t="s">
        <v>124</v>
      </c>
      <c r="B25" s="1"/>
      <c r="C25" s="1">
        <f t="shared" ref="C25:T25" si="7">24*60/148</f>
        <v>9.7297297297297298</v>
      </c>
      <c r="D25" s="1">
        <f t="shared" si="7"/>
        <v>9.7297297297297298</v>
      </c>
      <c r="E25" s="1">
        <f t="shared" si="7"/>
        <v>9.7297297297297298</v>
      </c>
      <c r="F25" s="1">
        <f t="shared" si="7"/>
        <v>9.7297297297297298</v>
      </c>
      <c r="G25" s="1">
        <f t="shared" si="7"/>
        <v>9.7297297297297298</v>
      </c>
      <c r="H25" s="1">
        <f t="shared" si="7"/>
        <v>9.7297297297297298</v>
      </c>
      <c r="I25" s="1">
        <f t="shared" si="7"/>
        <v>9.7297297297297298</v>
      </c>
      <c r="J25" s="1">
        <f t="shared" si="7"/>
        <v>9.7297297297297298</v>
      </c>
      <c r="K25" s="1">
        <f t="shared" si="7"/>
        <v>9.7297297297297298</v>
      </c>
      <c r="L25" s="1">
        <f t="shared" si="7"/>
        <v>9.7297297297297298</v>
      </c>
      <c r="M25" s="1">
        <f t="shared" si="7"/>
        <v>9.7297297297297298</v>
      </c>
      <c r="N25" s="1">
        <f t="shared" si="7"/>
        <v>9.7297297297297298</v>
      </c>
      <c r="O25" s="1">
        <f t="shared" si="7"/>
        <v>9.7297297297297298</v>
      </c>
      <c r="P25" s="1">
        <f t="shared" si="7"/>
        <v>9.7297297297297298</v>
      </c>
      <c r="Q25" s="1">
        <f t="shared" si="7"/>
        <v>9.7297297297297298</v>
      </c>
      <c r="R25" s="1">
        <f t="shared" si="7"/>
        <v>9.7297297297297298</v>
      </c>
      <c r="S25" s="1">
        <f t="shared" si="7"/>
        <v>9.7297297297297298</v>
      </c>
      <c r="T25" s="1">
        <f t="shared" si="7"/>
        <v>9.7297297297297298</v>
      </c>
      <c r="U25" s="1"/>
      <c r="V25" s="1"/>
      <c r="W25" s="1"/>
      <c r="X25" s="1"/>
      <c r="Y25" s="1"/>
    </row>
    <row r="26" spans="1:25" x14ac:dyDescent="0.2">
      <c r="A26" s="36" t="s">
        <v>125</v>
      </c>
      <c r="B26" s="1"/>
      <c r="C26" s="1">
        <f t="shared" ref="C26" si="8">C24/60*C25</f>
        <v>3.4054054054054053</v>
      </c>
      <c r="D26" s="1">
        <f t="shared" ref="D26" si="9">D24/60*D25</f>
        <v>3.4054054054054053</v>
      </c>
      <c r="E26" s="1">
        <f t="shared" ref="E26" si="10">E24/60*E25</f>
        <v>3.4054054054054053</v>
      </c>
      <c r="F26" s="1">
        <f t="shared" ref="F26" si="11">F24/60*F25</f>
        <v>3.4054054054054053</v>
      </c>
      <c r="G26" s="1">
        <f t="shared" ref="G26" si="12">G24/60*G25</f>
        <v>3.4054054054054053</v>
      </c>
      <c r="H26" s="1">
        <f t="shared" ref="H26" si="13">H24/60*H25</f>
        <v>3.4054054054054053</v>
      </c>
      <c r="I26" s="1">
        <f t="shared" ref="I26" si="14">I24/60*I25</f>
        <v>3.4054054054054053</v>
      </c>
      <c r="J26" s="1">
        <f t="shared" ref="J26" si="15">J24/60*J25</f>
        <v>3.4054054054054053</v>
      </c>
      <c r="K26" s="1">
        <f t="shared" ref="K26" si="16">K24/60*K25</f>
        <v>3.4054054054054053</v>
      </c>
      <c r="L26" s="1">
        <f t="shared" ref="L26" si="17">L24/60*L25</f>
        <v>3.4054054054054053</v>
      </c>
      <c r="M26" s="1">
        <f t="shared" ref="M26" si="18">M24/60*M25</f>
        <v>3.4054054054054053</v>
      </c>
      <c r="N26" s="1">
        <f t="shared" ref="N26" si="19">N24/60*N25</f>
        <v>3.4054054054054053</v>
      </c>
      <c r="O26" s="1">
        <f t="shared" ref="O26" si="20">O24/60*O25</f>
        <v>3.4054054054054053</v>
      </c>
      <c r="P26" s="1">
        <f t="shared" ref="P26" si="21">P24/60*P25</f>
        <v>3.4054054054054053</v>
      </c>
      <c r="Q26" s="1">
        <f t="shared" ref="Q26" si="22">Q24/60*Q25</f>
        <v>3.4054054054054053</v>
      </c>
      <c r="R26" s="1">
        <f t="shared" ref="R26" si="23">R24/60*R25</f>
        <v>3.4054054054054053</v>
      </c>
      <c r="S26" s="1">
        <f t="shared" ref="S26" si="24">S24/60*S25</f>
        <v>3.4054054054054053</v>
      </c>
      <c r="T26" s="1">
        <f t="shared" ref="T26" si="25">T24/60*T25</f>
        <v>3.4054054054054053</v>
      </c>
      <c r="U26" s="1"/>
      <c r="V26" s="1"/>
      <c r="W26" s="1"/>
      <c r="X26" s="1"/>
      <c r="Y26" s="1"/>
    </row>
    <row r="27" spans="1:25" ht="16" x14ac:dyDescent="0.2">
      <c r="A27" s="7" t="s">
        <v>117</v>
      </c>
      <c r="C27" s="1">
        <f>C23*C26</f>
        <v>3.4054054054054053</v>
      </c>
      <c r="D27" s="1">
        <f t="shared" ref="D27:T27" si="26">D23*D26</f>
        <v>6.8108108108108105</v>
      </c>
      <c r="E27" s="1">
        <f t="shared" si="26"/>
        <v>10.216216216216216</v>
      </c>
      <c r="F27" s="1">
        <f t="shared" si="26"/>
        <v>13.621621621621621</v>
      </c>
      <c r="G27" s="1">
        <f t="shared" si="26"/>
        <v>17.027027027027025</v>
      </c>
      <c r="H27" s="1">
        <f t="shared" si="26"/>
        <v>20.432432432432432</v>
      </c>
      <c r="I27" s="1">
        <f t="shared" si="26"/>
        <v>6.8108108108108105</v>
      </c>
      <c r="J27" s="1">
        <f t="shared" si="26"/>
        <v>13.621621621621621</v>
      </c>
      <c r="K27" s="1">
        <f t="shared" si="26"/>
        <v>20.432432432432432</v>
      </c>
      <c r="L27" s="1">
        <f t="shared" si="26"/>
        <v>27.243243243243242</v>
      </c>
      <c r="M27" s="1">
        <f t="shared" si="26"/>
        <v>34.054054054054049</v>
      </c>
      <c r="N27" s="1">
        <f t="shared" si="26"/>
        <v>40.864864864864863</v>
      </c>
      <c r="O27" s="1">
        <f t="shared" si="26"/>
        <v>13.621621621621621</v>
      </c>
      <c r="P27" s="1">
        <f t="shared" si="26"/>
        <v>27.243243243243242</v>
      </c>
      <c r="Q27" s="1">
        <f t="shared" si="26"/>
        <v>40.864864864864863</v>
      </c>
      <c r="R27" s="1">
        <f t="shared" si="26"/>
        <v>54.486486486486484</v>
      </c>
      <c r="S27" s="1">
        <f t="shared" si="26"/>
        <v>68.108108108108098</v>
      </c>
      <c r="T27" s="1">
        <f t="shared" si="26"/>
        <v>81.729729729729726</v>
      </c>
    </row>
    <row r="28" spans="1:25" ht="16" x14ac:dyDescent="0.2">
      <c r="A28" s="7" t="s">
        <v>121</v>
      </c>
      <c r="C28" s="3">
        <f>365*C27</f>
        <v>1242.9729729729729</v>
      </c>
      <c r="D28" s="3">
        <f t="shared" ref="D28:T28" si="27">365*D27</f>
        <v>2485.9459459459458</v>
      </c>
      <c r="E28" s="3">
        <f t="shared" si="27"/>
        <v>3728.9189189189187</v>
      </c>
      <c r="F28" s="3">
        <f t="shared" si="27"/>
        <v>4971.8918918918916</v>
      </c>
      <c r="G28" s="3">
        <f t="shared" si="27"/>
        <v>6214.8648648648641</v>
      </c>
      <c r="H28" s="3">
        <f t="shared" si="27"/>
        <v>7457.8378378378375</v>
      </c>
      <c r="I28" s="3">
        <f t="shared" si="27"/>
        <v>2485.9459459459458</v>
      </c>
      <c r="J28" s="3">
        <f t="shared" si="27"/>
        <v>4971.8918918918916</v>
      </c>
      <c r="K28" s="3">
        <f t="shared" si="27"/>
        <v>7457.8378378378375</v>
      </c>
      <c r="L28" s="3">
        <f t="shared" si="27"/>
        <v>9943.7837837837833</v>
      </c>
      <c r="M28" s="3">
        <f t="shared" si="27"/>
        <v>12429.729729729728</v>
      </c>
      <c r="N28" s="3">
        <f t="shared" si="27"/>
        <v>14915.675675675675</v>
      </c>
      <c r="O28" s="3">
        <f t="shared" si="27"/>
        <v>4971.8918918918916</v>
      </c>
      <c r="P28" s="3">
        <f t="shared" si="27"/>
        <v>9943.7837837837833</v>
      </c>
      <c r="Q28" s="3">
        <f t="shared" si="27"/>
        <v>14915.675675675675</v>
      </c>
      <c r="R28" s="3">
        <f t="shared" si="27"/>
        <v>19887.567567567567</v>
      </c>
      <c r="S28" s="3">
        <f t="shared" si="27"/>
        <v>24859.459459459456</v>
      </c>
      <c r="T28" s="3">
        <f t="shared" si="27"/>
        <v>29831.35135135135</v>
      </c>
    </row>
    <row r="29" spans="1:25" ht="16" x14ac:dyDescent="0.2">
      <c r="A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5" x14ac:dyDescent="0.2">
      <c r="A30" s="36" t="s">
        <v>118</v>
      </c>
      <c r="B30" t="s">
        <v>115</v>
      </c>
      <c r="C30" s="3">
        <f>C21/(C28)*1000000</f>
        <v>165088.0626223092</v>
      </c>
      <c r="D30" s="3">
        <f t="shared" ref="D30:T30" si="28">D21/(D28)*1000000</f>
        <v>165088.0626223092</v>
      </c>
      <c r="E30" s="3">
        <f t="shared" si="28"/>
        <v>165088.06262230923</v>
      </c>
      <c r="F30" s="3">
        <f t="shared" si="28"/>
        <v>165088.0626223092</v>
      </c>
      <c r="G30" s="3">
        <f t="shared" si="28"/>
        <v>165088.06262230923</v>
      </c>
      <c r="H30" s="3">
        <f t="shared" si="28"/>
        <v>165088.06262230923</v>
      </c>
      <c r="I30" s="3">
        <f t="shared" si="28"/>
        <v>103461.62209175907</v>
      </c>
      <c r="J30" s="3">
        <f t="shared" si="28"/>
        <v>103461.62209175907</v>
      </c>
      <c r="K30" s="3">
        <f t="shared" si="28"/>
        <v>103461.62209175908</v>
      </c>
      <c r="L30" s="3">
        <f t="shared" si="28"/>
        <v>103461.62209175907</v>
      </c>
      <c r="M30" s="3">
        <f t="shared" si="28"/>
        <v>103461.62209175908</v>
      </c>
      <c r="N30" s="3">
        <f t="shared" si="28"/>
        <v>103461.62209175908</v>
      </c>
      <c r="O30" s="3">
        <f t="shared" si="28"/>
        <v>72648.401826484027</v>
      </c>
      <c r="P30" s="3">
        <f t="shared" si="28"/>
        <v>72648.401826484027</v>
      </c>
      <c r="Q30" s="3">
        <f t="shared" si="28"/>
        <v>72648.401826484027</v>
      </c>
      <c r="R30" s="3">
        <f t="shared" si="28"/>
        <v>72648.401826484027</v>
      </c>
      <c r="S30" s="3">
        <f t="shared" si="28"/>
        <v>72648.401826484027</v>
      </c>
      <c r="T30" s="3">
        <f t="shared" si="28"/>
        <v>72648.401826484027</v>
      </c>
    </row>
    <row r="31" spans="1:25" x14ac:dyDescent="0.2">
      <c r="A31" s="36" t="s">
        <v>119</v>
      </c>
      <c r="B31" t="s">
        <v>115</v>
      </c>
      <c r="C31" s="3">
        <f>C21/(C28*2)*1000000</f>
        <v>82544.031311154598</v>
      </c>
      <c r="D31" s="3">
        <f t="shared" ref="D31:T31" si="29">D21/(D28*2)*1000000</f>
        <v>82544.031311154598</v>
      </c>
      <c r="E31" s="3">
        <f t="shared" si="29"/>
        <v>82544.031311154613</v>
      </c>
      <c r="F31" s="3">
        <f t="shared" si="29"/>
        <v>82544.031311154598</v>
      </c>
      <c r="G31" s="3">
        <f t="shared" si="29"/>
        <v>82544.031311154613</v>
      </c>
      <c r="H31" s="3">
        <f t="shared" si="29"/>
        <v>82544.031311154613</v>
      </c>
      <c r="I31" s="3">
        <f t="shared" si="29"/>
        <v>51730.811045879535</v>
      </c>
      <c r="J31" s="3">
        <f t="shared" si="29"/>
        <v>51730.811045879535</v>
      </c>
      <c r="K31" s="3">
        <f t="shared" si="29"/>
        <v>51730.811045879542</v>
      </c>
      <c r="L31" s="3">
        <f t="shared" si="29"/>
        <v>51730.811045879535</v>
      </c>
      <c r="M31" s="3">
        <f t="shared" si="29"/>
        <v>51730.811045879542</v>
      </c>
      <c r="N31" s="3">
        <f t="shared" si="29"/>
        <v>51730.811045879542</v>
      </c>
      <c r="O31" s="3">
        <f t="shared" si="29"/>
        <v>36324.200913242013</v>
      </c>
      <c r="P31" s="3">
        <f t="shared" si="29"/>
        <v>36324.200913242013</v>
      </c>
      <c r="Q31" s="3">
        <f t="shared" si="29"/>
        <v>36324.200913242013</v>
      </c>
      <c r="R31" s="3">
        <f t="shared" si="29"/>
        <v>36324.200913242013</v>
      </c>
      <c r="S31" s="3">
        <f t="shared" si="29"/>
        <v>36324.200913242013</v>
      </c>
      <c r="T31" s="3">
        <f t="shared" si="29"/>
        <v>36324.200913242013</v>
      </c>
    </row>
    <row r="32" spans="1:25" x14ac:dyDescent="0.2">
      <c r="A32" s="36" t="s">
        <v>120</v>
      </c>
      <c r="B32" t="s">
        <v>115</v>
      </c>
      <c r="C32" s="3">
        <f>C21/(C28*5)*1000000</f>
        <v>33017.612524461838</v>
      </c>
      <c r="D32" s="3">
        <f t="shared" ref="D32:T32" si="30">D21/(D28*5)*1000000</f>
        <v>33017.612524461838</v>
      </c>
      <c r="E32" s="3">
        <f t="shared" si="30"/>
        <v>33017.612524461845</v>
      </c>
      <c r="F32" s="3">
        <f t="shared" si="30"/>
        <v>33017.612524461838</v>
      </c>
      <c r="G32" s="3">
        <f t="shared" si="30"/>
        <v>33017.612524461845</v>
      </c>
      <c r="H32" s="3">
        <f t="shared" si="30"/>
        <v>33017.612524461845</v>
      </c>
      <c r="I32" s="3">
        <f t="shared" si="30"/>
        <v>20692.324418351815</v>
      </c>
      <c r="J32" s="3">
        <f t="shared" si="30"/>
        <v>20692.324418351815</v>
      </c>
      <c r="K32" s="3">
        <f t="shared" si="30"/>
        <v>20692.324418351818</v>
      </c>
      <c r="L32" s="3">
        <f t="shared" si="30"/>
        <v>20692.324418351815</v>
      </c>
      <c r="M32" s="3">
        <f t="shared" si="30"/>
        <v>20692.324418351822</v>
      </c>
      <c r="N32" s="3">
        <f t="shared" si="30"/>
        <v>20692.324418351818</v>
      </c>
      <c r="O32" s="3">
        <f t="shared" si="30"/>
        <v>14529.680365296803</v>
      </c>
      <c r="P32" s="3">
        <f t="shared" si="30"/>
        <v>14529.680365296803</v>
      </c>
      <c r="Q32" s="3">
        <f t="shared" si="30"/>
        <v>14529.680365296803</v>
      </c>
      <c r="R32" s="3">
        <f t="shared" si="30"/>
        <v>14529.680365296803</v>
      </c>
      <c r="S32" s="3">
        <f t="shared" si="30"/>
        <v>14529.680365296806</v>
      </c>
      <c r="T32" s="3">
        <f t="shared" si="30"/>
        <v>14529.680365296803</v>
      </c>
    </row>
    <row r="33" spans="1:20" x14ac:dyDescent="0.2">
      <c r="A33" s="36" t="s">
        <v>122</v>
      </c>
      <c r="B33" t="s">
        <v>115</v>
      </c>
      <c r="C33" s="3">
        <f>C21/(C28*10)*1000000</f>
        <v>16508.806262230919</v>
      </c>
      <c r="D33" s="3">
        <f t="shared" ref="D33:T33" si="31">D21/(D28*10)*1000000</f>
        <v>16508.806262230919</v>
      </c>
      <c r="E33" s="3">
        <f t="shared" si="31"/>
        <v>16508.806262230923</v>
      </c>
      <c r="F33" s="3">
        <f t="shared" si="31"/>
        <v>16508.806262230919</v>
      </c>
      <c r="G33" s="3">
        <f t="shared" si="31"/>
        <v>16508.806262230923</v>
      </c>
      <c r="H33" s="3">
        <f t="shared" si="31"/>
        <v>16508.806262230923</v>
      </c>
      <c r="I33" s="3">
        <f t="shared" si="31"/>
        <v>10346.162209175907</v>
      </c>
      <c r="J33" s="3">
        <f t="shared" si="31"/>
        <v>10346.162209175907</v>
      </c>
      <c r="K33" s="3">
        <f t="shared" si="31"/>
        <v>10346.162209175909</v>
      </c>
      <c r="L33" s="3">
        <f t="shared" si="31"/>
        <v>10346.162209175907</v>
      </c>
      <c r="M33" s="3">
        <f t="shared" si="31"/>
        <v>10346.162209175911</v>
      </c>
      <c r="N33" s="3">
        <f t="shared" si="31"/>
        <v>10346.162209175909</v>
      </c>
      <c r="O33" s="3">
        <f t="shared" si="31"/>
        <v>7264.8401826484014</v>
      </c>
      <c r="P33" s="3">
        <f t="shared" si="31"/>
        <v>7264.8401826484014</v>
      </c>
      <c r="Q33" s="3">
        <f t="shared" si="31"/>
        <v>7264.8401826484014</v>
      </c>
      <c r="R33" s="3">
        <f t="shared" si="31"/>
        <v>7264.8401826484014</v>
      </c>
      <c r="S33" s="3">
        <f t="shared" si="31"/>
        <v>7264.8401826484032</v>
      </c>
      <c r="T33" s="3">
        <f t="shared" si="31"/>
        <v>7264.8401826484014</v>
      </c>
    </row>
    <row r="37" spans="1:20" x14ac:dyDescent="0.2">
      <c r="C37" t="s">
        <v>131</v>
      </c>
      <c r="D37" t="s">
        <v>132</v>
      </c>
      <c r="E37" t="s">
        <v>133</v>
      </c>
    </row>
    <row r="38" spans="1:20" x14ac:dyDescent="0.2">
      <c r="A38" t="s">
        <v>126</v>
      </c>
      <c r="C38" s="3">
        <f>D21</f>
        <v>410.4</v>
      </c>
      <c r="D38" s="3">
        <f>I21</f>
        <v>257.2</v>
      </c>
      <c r="G38" s="3"/>
      <c r="H38" s="3"/>
    </row>
    <row r="39" spans="1:20" x14ac:dyDescent="0.2">
      <c r="A39" t="s">
        <v>127</v>
      </c>
      <c r="C39" s="3">
        <f>F21</f>
        <v>820.8</v>
      </c>
      <c r="D39" s="3">
        <f>J21</f>
        <v>514.4</v>
      </c>
      <c r="E39" s="3">
        <f>O21</f>
        <v>361.2</v>
      </c>
      <c r="G39" s="30"/>
      <c r="H39" s="3"/>
      <c r="I39" s="3"/>
    </row>
    <row r="40" spans="1:20" x14ac:dyDescent="0.2">
      <c r="A40" t="s">
        <v>128</v>
      </c>
      <c r="C40" s="3">
        <f>H21</f>
        <v>1231.2</v>
      </c>
      <c r="D40" s="3">
        <f>K21</f>
        <v>771.6</v>
      </c>
      <c r="G40" s="3"/>
      <c r="H40" s="3"/>
    </row>
    <row r="41" spans="1:20" x14ac:dyDescent="0.2">
      <c r="A41" t="s">
        <v>129</v>
      </c>
      <c r="D41" s="3">
        <f>L21</f>
        <v>1028.8</v>
      </c>
      <c r="E41" s="3">
        <f>P21</f>
        <v>722.4</v>
      </c>
      <c r="I41" s="3"/>
    </row>
    <row r="42" spans="1:20" x14ac:dyDescent="0.2">
      <c r="A42" t="s">
        <v>134</v>
      </c>
      <c r="D42" s="3">
        <f>M21</f>
        <v>1286</v>
      </c>
      <c r="E42" s="3"/>
      <c r="I42" s="3"/>
    </row>
    <row r="43" spans="1:20" x14ac:dyDescent="0.2">
      <c r="A43" t="s">
        <v>130</v>
      </c>
      <c r="D43" s="3">
        <f>N21</f>
        <v>1543.2</v>
      </c>
      <c r="E43" s="3">
        <f>Q21</f>
        <v>1083.5999999999999</v>
      </c>
      <c r="H43" s="3"/>
      <c r="I43" s="3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90B1-52D8-A842-8268-804FFB128667}">
  <dimension ref="A2:Q56"/>
  <sheetViews>
    <sheetView workbookViewId="0">
      <selection activeCell="J24" sqref="J24"/>
    </sheetView>
  </sheetViews>
  <sheetFormatPr baseColWidth="10" defaultRowHeight="15" x14ac:dyDescent="0.2"/>
  <sheetData>
    <row r="2" spans="1:17" s="18" customFormat="1" x14ac:dyDescent="0.2">
      <c r="A2" s="18" t="s">
        <v>63</v>
      </c>
      <c r="C2" s="19" t="s">
        <v>46</v>
      </c>
      <c r="D2" s="19" t="s">
        <v>47</v>
      </c>
      <c r="F2" s="19" t="s">
        <v>56</v>
      </c>
      <c r="G2" s="19" t="s">
        <v>57</v>
      </c>
      <c r="H2" s="19" t="s">
        <v>58</v>
      </c>
      <c r="I2" s="19" t="s">
        <v>75</v>
      </c>
      <c r="J2" s="19" t="s">
        <v>71</v>
      </c>
      <c r="K2" s="19" t="s">
        <v>72</v>
      </c>
      <c r="L2" s="19" t="s">
        <v>73</v>
      </c>
      <c r="M2" s="19" t="s">
        <v>74</v>
      </c>
      <c r="O2" s="19"/>
      <c r="P2" s="19"/>
      <c r="Q2" s="19"/>
    </row>
    <row r="3" spans="1:17" x14ac:dyDescent="0.2">
      <c r="A3" t="s">
        <v>55</v>
      </c>
      <c r="B3" s="17">
        <v>90</v>
      </c>
      <c r="C3" s="6">
        <f>B3</f>
        <v>90</v>
      </c>
      <c r="D3" s="13">
        <f>C3*PI()/180</f>
        <v>1.5707963267948966</v>
      </c>
      <c r="E3" t="s">
        <v>63</v>
      </c>
      <c r="F3" s="14">
        <f>COS(D3)*COS(D4)*$B5</f>
        <v>1.0873192537314003E-13</v>
      </c>
      <c r="G3" s="14">
        <f>SIN(D3)*COS(D4)*$B5</f>
        <v>1775</v>
      </c>
      <c r="H3" s="14">
        <f>SIN(D4)*$B5</f>
        <v>0</v>
      </c>
      <c r="I3" s="14">
        <f>SQRT(F3*F3+G3*G3+H3*H3)</f>
        <v>1775</v>
      </c>
      <c r="J3" s="13">
        <f>ATAN((G3/F3))</f>
        <v>1.5707963267948966</v>
      </c>
      <c r="K3" s="14">
        <f>J3*180/PI()</f>
        <v>90</v>
      </c>
      <c r="L3" s="13">
        <f>ASIN(H3/I3)</f>
        <v>0</v>
      </c>
      <c r="M3" s="14">
        <f>L3*180/PI()</f>
        <v>0</v>
      </c>
      <c r="O3" s="12"/>
      <c r="P3" s="12"/>
      <c r="Q3" s="16"/>
    </row>
    <row r="4" spans="1:17" x14ac:dyDescent="0.2">
      <c r="A4" t="s">
        <v>44</v>
      </c>
      <c r="B4" s="17">
        <v>0</v>
      </c>
      <c r="C4" s="6">
        <f>B4</f>
        <v>0</v>
      </c>
      <c r="D4" s="13">
        <f>C4*PI()/180</f>
        <v>0</v>
      </c>
      <c r="E4" t="s">
        <v>64</v>
      </c>
      <c r="F4" s="14">
        <f>COS(D8)*COS(D9)*$B10</f>
        <v>-1373</v>
      </c>
      <c r="G4" s="14">
        <f>SIN(D8)*COS(D9)*$B10</f>
        <v>1.6821288285895353E-13</v>
      </c>
      <c r="H4" s="14">
        <f>SIN(D9)*$B10</f>
        <v>0</v>
      </c>
      <c r="I4" s="14">
        <f>SQRT(F4*F4+G4*G4+H4*H4)</f>
        <v>1373</v>
      </c>
      <c r="J4" s="13">
        <f>ATAN((G4/F4))</f>
        <v>-1.22514845490862E-16</v>
      </c>
      <c r="K4" s="14">
        <f>J4*180/PI()</f>
        <v>-7.0195835743237771E-15</v>
      </c>
      <c r="L4" s="13">
        <f>ASIN(H4/I4)</f>
        <v>0</v>
      </c>
      <c r="M4" s="14">
        <f>L4*180/PI()</f>
        <v>0</v>
      </c>
      <c r="Q4" s="16"/>
    </row>
    <row r="5" spans="1:17" x14ac:dyDescent="0.2">
      <c r="A5" t="s">
        <v>62</v>
      </c>
      <c r="B5" s="17">
        <f>1373+402</f>
        <v>1775</v>
      </c>
      <c r="E5" t="s">
        <v>65</v>
      </c>
      <c r="F5" s="14">
        <f>F4-F3</f>
        <v>-1373</v>
      </c>
      <c r="G5" s="14">
        <f>G4-G3</f>
        <v>-1774.9999999999998</v>
      </c>
      <c r="H5" s="14">
        <f>H4-H3</f>
        <v>0</v>
      </c>
      <c r="I5" s="14">
        <f>SQRT(F5*F5+G5*G5+H5*H5)</f>
        <v>2244.0485734493359</v>
      </c>
      <c r="J5" s="13">
        <f>ATAN((G5/F5))</f>
        <v>0.91241085511833719</v>
      </c>
      <c r="K5" s="14">
        <f>J5*180/PI()</f>
        <v>52.27729118020315</v>
      </c>
      <c r="L5" s="13">
        <f>ASIN(H5/I5)</f>
        <v>0</v>
      </c>
      <c r="M5" s="14">
        <f>L5*180/PI()</f>
        <v>0</v>
      </c>
      <c r="O5" s="6"/>
      <c r="P5" s="6"/>
    </row>
    <row r="6" spans="1:17" x14ac:dyDescent="0.2">
      <c r="C6" s="6"/>
      <c r="D6" s="13"/>
      <c r="E6" s="16"/>
      <c r="F6" s="12"/>
      <c r="G6" s="12"/>
      <c r="H6" s="12"/>
      <c r="I6" s="6"/>
      <c r="J6" s="12"/>
      <c r="K6" s="12"/>
      <c r="L6" s="6"/>
      <c r="M6" s="12"/>
      <c r="O6" s="6"/>
      <c r="P6" s="6"/>
    </row>
    <row r="7" spans="1:17" s="18" customFormat="1" x14ac:dyDescent="0.2">
      <c r="A7" s="18" t="s">
        <v>64</v>
      </c>
      <c r="C7" s="19" t="s">
        <v>46</v>
      </c>
      <c r="D7" s="20" t="s">
        <v>47</v>
      </c>
      <c r="E7" s="21"/>
      <c r="F7" s="19" t="s">
        <v>60</v>
      </c>
      <c r="G7" s="19" t="s">
        <v>61</v>
      </c>
      <c r="H7" s="19" t="s">
        <v>59</v>
      </c>
      <c r="I7" s="19" t="s">
        <v>75</v>
      </c>
      <c r="J7" s="19" t="s">
        <v>71</v>
      </c>
      <c r="K7" s="19" t="s">
        <v>72</v>
      </c>
      <c r="L7" s="19" t="s">
        <v>73</v>
      </c>
      <c r="M7" s="19" t="s">
        <v>74</v>
      </c>
    </row>
    <row r="8" spans="1:17" x14ac:dyDescent="0.2">
      <c r="A8" t="s">
        <v>55</v>
      </c>
      <c r="B8" s="17">
        <v>180</v>
      </c>
      <c r="C8" s="6">
        <f>B8</f>
        <v>180</v>
      </c>
      <c r="D8" s="13">
        <f>C8*PI()/180</f>
        <v>3.1415926535897931</v>
      </c>
      <c r="E8" t="s">
        <v>65</v>
      </c>
      <c r="F8" s="14">
        <f>F5*I18+G5*I19+H5*I20</f>
        <v>1.0873192537314001E-13</v>
      </c>
      <c r="G8" s="14">
        <f>F5*J18+G5*J19+H5*J20</f>
        <v>-1373</v>
      </c>
      <c r="H8" s="14">
        <f>F5*K18+G5*K19+H5*K20</f>
        <v>1.9283836680261679E-13</v>
      </c>
      <c r="I8" s="14">
        <f>SQRT(F8*F8+G8*G8+H8*H8)</f>
        <v>1373</v>
      </c>
      <c r="J8" s="13">
        <f>ATAN((G8/F8))</f>
        <v>-1.5707963267948966</v>
      </c>
      <c r="K8" s="14">
        <f>J8*180/PI()</f>
        <v>-90</v>
      </c>
      <c r="L8" s="13">
        <f>ASIN(F8/I8)</f>
        <v>7.9192953658514207E-17</v>
      </c>
      <c r="M8" s="12">
        <f>L8*180/PI()</f>
        <v>4.537422011807976E-15</v>
      </c>
      <c r="O8" s="6"/>
      <c r="P8" s="6"/>
      <c r="Q8" s="6"/>
    </row>
    <row r="9" spans="1:17" x14ac:dyDescent="0.2">
      <c r="A9" t="s">
        <v>44</v>
      </c>
      <c r="B9" s="17">
        <v>0</v>
      </c>
      <c r="C9" s="6">
        <f>B9</f>
        <v>0</v>
      </c>
      <c r="D9" s="13">
        <f>C9*PI()/180</f>
        <v>0</v>
      </c>
      <c r="N9" s="12"/>
      <c r="O9" s="12"/>
      <c r="P9" s="16"/>
    </row>
    <row r="10" spans="1:17" x14ac:dyDescent="0.2">
      <c r="A10" t="s">
        <v>62</v>
      </c>
      <c r="B10" s="17">
        <v>1373</v>
      </c>
      <c r="H10" t="s">
        <v>67</v>
      </c>
      <c r="I10">
        <f>1775*2-402</f>
        <v>3148</v>
      </c>
      <c r="P10" s="16"/>
      <c r="Q10" s="16"/>
    </row>
    <row r="11" spans="1:17" x14ac:dyDescent="0.2">
      <c r="H11" t="s">
        <v>68</v>
      </c>
      <c r="I11" s="3">
        <f>SQRT(B5*B5+B10*B10)</f>
        <v>2244.0485734493359</v>
      </c>
      <c r="M11" s="16"/>
    </row>
    <row r="12" spans="1:17" x14ac:dyDescent="0.2">
      <c r="M12" s="16"/>
    </row>
    <row r="13" spans="1:17" x14ac:dyDescent="0.2">
      <c r="M13" s="16"/>
    </row>
    <row r="14" spans="1:17" x14ac:dyDescent="0.2">
      <c r="L14" s="12"/>
      <c r="M14" s="16"/>
    </row>
    <row r="17" spans="1:11" s="18" customFormat="1" x14ac:dyDescent="0.2">
      <c r="A17" s="18" t="s">
        <v>45</v>
      </c>
      <c r="E17" s="18" t="s">
        <v>50</v>
      </c>
      <c r="I17" s="18" t="s">
        <v>66</v>
      </c>
    </row>
    <row r="18" spans="1:11" x14ac:dyDescent="0.2">
      <c r="A18" s="12">
        <f>COS(D3)</f>
        <v>6.1257422745431001E-17</v>
      </c>
      <c r="B18" s="12">
        <f>SIN(D3)</f>
        <v>1</v>
      </c>
      <c r="C18" s="14">
        <v>0</v>
      </c>
      <c r="E18" s="12">
        <f>COS(PI()/2-D4)</f>
        <v>6.1257422745431001E-17</v>
      </c>
      <c r="F18" s="6">
        <v>0</v>
      </c>
      <c r="G18" s="15">
        <f>-SIN(PI()/2-D4)</f>
        <v>-1</v>
      </c>
      <c r="I18" s="12">
        <f>E18*A18+E19*B18+E20*C18</f>
        <v>3.7524718414124473E-33</v>
      </c>
      <c r="J18" s="12">
        <f>F18*A18+F19*B18+F20*C18</f>
        <v>1</v>
      </c>
      <c r="K18" s="12">
        <f>G18*A18+G19*B18+G20*C18</f>
        <v>-6.1257422745431001E-17</v>
      </c>
    </row>
    <row r="19" spans="1:11" x14ac:dyDescent="0.2">
      <c r="A19" s="12">
        <f>-SIN(D3)</f>
        <v>-1</v>
      </c>
      <c r="B19" s="12">
        <f>COS(D3)</f>
        <v>6.1257422745431001E-17</v>
      </c>
      <c r="C19" s="14">
        <v>0</v>
      </c>
      <c r="E19" s="6">
        <v>0</v>
      </c>
      <c r="F19" s="6">
        <v>1</v>
      </c>
      <c r="G19" s="6">
        <v>0</v>
      </c>
      <c r="I19" s="12">
        <f>E18*A19+E19*B19+E20*C19</f>
        <v>-6.1257422745431001E-17</v>
      </c>
      <c r="J19" s="12">
        <f>F18*A19+F19*B19+F20*C19</f>
        <v>6.1257422745431001E-17</v>
      </c>
      <c r="K19" s="12">
        <f>G18*B19+G19*C19+G20*D19</f>
        <v>-6.1257422745431001E-17</v>
      </c>
    </row>
    <row r="20" spans="1:11" x14ac:dyDescent="0.2">
      <c r="A20" s="6">
        <v>0</v>
      </c>
      <c r="B20" s="6">
        <v>0</v>
      </c>
      <c r="C20" s="14">
        <v>1</v>
      </c>
      <c r="E20" s="12">
        <f>SIN(PI()/2-D4)</f>
        <v>1</v>
      </c>
      <c r="F20" s="6">
        <v>0</v>
      </c>
      <c r="G20" s="12">
        <f>COS(PI()/2-D4)</f>
        <v>6.1257422745431001E-17</v>
      </c>
      <c r="I20" s="12">
        <f>E18*A20+E19*B20+E20*C20</f>
        <v>1</v>
      </c>
      <c r="J20" s="12">
        <f>F18*A20+F19*B20+F20*C20</f>
        <v>0</v>
      </c>
      <c r="K20" s="12">
        <f>G18*B20+G19*C20+G20*D20</f>
        <v>0</v>
      </c>
    </row>
    <row r="21" spans="1:11" x14ac:dyDescent="0.2">
      <c r="A21" s="6"/>
      <c r="B21" s="6"/>
      <c r="C21" s="14"/>
      <c r="E21" s="12"/>
      <c r="F21" s="6"/>
      <c r="G21" s="12"/>
      <c r="I21" s="12"/>
      <c r="J21" s="12"/>
      <c r="K21" s="12"/>
    </row>
    <row r="22" spans="1:11" x14ac:dyDescent="0.2">
      <c r="A22" t="s">
        <v>70</v>
      </c>
      <c r="E22" t="s">
        <v>69</v>
      </c>
    </row>
    <row r="23" spans="1:11" x14ac:dyDescent="0.2">
      <c r="A23" s="6" t="s">
        <v>48</v>
      </c>
      <c r="B23" s="6" t="s">
        <v>49</v>
      </c>
      <c r="C23" s="6">
        <v>0</v>
      </c>
      <c r="E23" s="6" t="s">
        <v>51</v>
      </c>
      <c r="F23" s="6">
        <v>0</v>
      </c>
      <c r="G23" s="11" t="s">
        <v>53</v>
      </c>
    </row>
    <row r="24" spans="1:11" x14ac:dyDescent="0.2">
      <c r="A24" s="11" t="s">
        <v>54</v>
      </c>
      <c r="B24" s="6" t="s">
        <v>48</v>
      </c>
      <c r="C24" s="6">
        <v>0</v>
      </c>
      <c r="E24" s="6">
        <v>0</v>
      </c>
      <c r="F24" s="6">
        <v>1</v>
      </c>
      <c r="G24" s="6">
        <v>0</v>
      </c>
    </row>
    <row r="25" spans="1:11" x14ac:dyDescent="0.2">
      <c r="A25" s="6">
        <v>0</v>
      </c>
      <c r="B25" s="6">
        <v>0</v>
      </c>
      <c r="C25" s="6">
        <v>1</v>
      </c>
      <c r="E25" s="6" t="s">
        <v>52</v>
      </c>
      <c r="F25" s="6">
        <v>0</v>
      </c>
      <c r="G25" s="6" t="s">
        <v>51</v>
      </c>
    </row>
    <row r="32" spans="1:11" x14ac:dyDescent="0.2">
      <c r="C32" t="s">
        <v>43</v>
      </c>
      <c r="D32" t="s">
        <v>44</v>
      </c>
    </row>
    <row r="33" spans="1:12" x14ac:dyDescent="0.2">
      <c r="C33">
        <v>0</v>
      </c>
      <c r="D33">
        <v>90</v>
      </c>
      <c r="E33">
        <f t="shared" ref="E33:E40" si="0">C33-180</f>
        <v>-180</v>
      </c>
      <c r="F33">
        <f t="shared" ref="F33:F40" si="1">MOD(E33,90)</f>
        <v>0</v>
      </c>
      <c r="G33">
        <f t="shared" ref="G33:G40" si="2">IF(C33&gt;180,-MOD(C33,180),C33)</f>
        <v>0</v>
      </c>
      <c r="I33">
        <f>90-C33</f>
        <v>90</v>
      </c>
    </row>
    <row r="34" spans="1:12" x14ac:dyDescent="0.2">
      <c r="C34">
        <v>45</v>
      </c>
      <c r="D34">
        <v>45</v>
      </c>
      <c r="E34">
        <f t="shared" si="0"/>
        <v>-135</v>
      </c>
      <c r="F34">
        <f t="shared" si="1"/>
        <v>45</v>
      </c>
      <c r="G34">
        <f t="shared" si="2"/>
        <v>45</v>
      </c>
      <c r="I34">
        <f>90-C34</f>
        <v>45</v>
      </c>
    </row>
    <row r="35" spans="1:12" x14ac:dyDescent="0.2">
      <c r="C35">
        <v>90</v>
      </c>
      <c r="D35">
        <v>0</v>
      </c>
      <c r="E35">
        <f t="shared" si="0"/>
        <v>-90</v>
      </c>
      <c r="F35">
        <f t="shared" si="1"/>
        <v>0</v>
      </c>
      <c r="G35">
        <f t="shared" si="2"/>
        <v>90</v>
      </c>
      <c r="I35">
        <f>90-C35</f>
        <v>0</v>
      </c>
    </row>
    <row r="36" spans="1:12" x14ac:dyDescent="0.2">
      <c r="C36">
        <v>120</v>
      </c>
      <c r="D36">
        <v>-30</v>
      </c>
      <c r="E36">
        <f t="shared" si="0"/>
        <v>-60</v>
      </c>
      <c r="F36">
        <f t="shared" si="1"/>
        <v>30</v>
      </c>
      <c r="G36">
        <f t="shared" si="2"/>
        <v>120</v>
      </c>
      <c r="I36">
        <f>90-C36</f>
        <v>-30</v>
      </c>
    </row>
    <row r="37" spans="1:12" x14ac:dyDescent="0.2">
      <c r="C37">
        <v>180</v>
      </c>
      <c r="D37">
        <v>-90</v>
      </c>
      <c r="E37">
        <f t="shared" si="0"/>
        <v>0</v>
      </c>
      <c r="F37">
        <f t="shared" si="1"/>
        <v>0</v>
      </c>
      <c r="G37">
        <f t="shared" si="2"/>
        <v>180</v>
      </c>
      <c r="I37">
        <f>90-C37</f>
        <v>-90</v>
      </c>
    </row>
    <row r="38" spans="1:12" x14ac:dyDescent="0.2">
      <c r="C38">
        <v>220</v>
      </c>
      <c r="D38">
        <v>-50</v>
      </c>
      <c r="E38">
        <f t="shared" si="0"/>
        <v>40</v>
      </c>
      <c r="F38">
        <f t="shared" si="1"/>
        <v>40</v>
      </c>
      <c r="G38">
        <f t="shared" si="2"/>
        <v>-40</v>
      </c>
      <c r="I38">
        <f>-90+MOD(C38,180)</f>
        <v>-50</v>
      </c>
    </row>
    <row r="39" spans="1:12" x14ac:dyDescent="0.2">
      <c r="C39">
        <v>270</v>
      </c>
      <c r="D39">
        <v>0</v>
      </c>
      <c r="E39">
        <f t="shared" si="0"/>
        <v>90</v>
      </c>
      <c r="F39">
        <f t="shared" si="1"/>
        <v>0</v>
      </c>
      <c r="G39">
        <f t="shared" si="2"/>
        <v>-90</v>
      </c>
      <c r="I39">
        <f>-90+MOD(C39,180)</f>
        <v>0</v>
      </c>
    </row>
    <row r="40" spans="1:12" x14ac:dyDescent="0.2">
      <c r="C40">
        <v>330</v>
      </c>
      <c r="D40">
        <v>60</v>
      </c>
      <c r="E40">
        <f t="shared" si="0"/>
        <v>150</v>
      </c>
      <c r="F40">
        <f t="shared" si="1"/>
        <v>60</v>
      </c>
      <c r="G40">
        <f t="shared" si="2"/>
        <v>-150</v>
      </c>
      <c r="I40">
        <f>-90+MOD(C40,180)</f>
        <v>60</v>
      </c>
    </row>
    <row r="43" spans="1:12" x14ac:dyDescent="0.2">
      <c r="B43" t="s">
        <v>38</v>
      </c>
      <c r="E43" t="s">
        <v>41</v>
      </c>
      <c r="F43" t="s">
        <v>40</v>
      </c>
      <c r="G43" t="s">
        <v>39</v>
      </c>
      <c r="H43" t="s">
        <v>39</v>
      </c>
      <c r="J43" t="s">
        <v>39</v>
      </c>
      <c r="K43" t="s">
        <v>40</v>
      </c>
      <c r="L43" t="s">
        <v>42</v>
      </c>
    </row>
    <row r="44" spans="1:12" x14ac:dyDescent="0.2">
      <c r="A44">
        <v>-180</v>
      </c>
      <c r="B44">
        <f t="shared" ref="B44:B56" si="3">MOD(A44+360,360)</f>
        <v>180</v>
      </c>
      <c r="C44">
        <f t="shared" ref="C44:C56" si="4">A44+360</f>
        <v>180</v>
      </c>
      <c r="E44">
        <v>0</v>
      </c>
      <c r="F44">
        <f t="shared" ref="F44:F56" si="5">MOD(E44+90, 360)</f>
        <v>90</v>
      </c>
      <c r="G44">
        <f t="shared" ref="G44:G56" si="6">MOD(E44+270, 360)</f>
        <v>270</v>
      </c>
      <c r="H44">
        <f t="shared" ref="H44:H56" si="7">E44+360-90</f>
        <v>270</v>
      </c>
      <c r="I44">
        <f t="shared" ref="I44:I56" si="8">E44+360+90</f>
        <v>450</v>
      </c>
      <c r="J44">
        <f t="shared" ref="J44:J56" si="9">IF(B$44&lt;G44,1,0)</f>
        <v>1</v>
      </c>
      <c r="K44">
        <f t="shared" ref="K44:K56" si="10">IF($B44&lt;F44, 1, 0)</f>
        <v>0</v>
      </c>
      <c r="L44" t="b">
        <f t="shared" ref="L44:L56" si="11">AND(J44:K44)</f>
        <v>0</v>
      </c>
    </row>
    <row r="45" spans="1:12" x14ac:dyDescent="0.2">
      <c r="A45">
        <v>-150</v>
      </c>
      <c r="B45">
        <f t="shared" si="3"/>
        <v>210</v>
      </c>
      <c r="C45">
        <f t="shared" si="4"/>
        <v>210</v>
      </c>
      <c r="E45">
        <v>30</v>
      </c>
      <c r="F45">
        <f t="shared" si="5"/>
        <v>120</v>
      </c>
      <c r="G45">
        <f t="shared" si="6"/>
        <v>300</v>
      </c>
      <c r="H45">
        <f t="shared" si="7"/>
        <v>300</v>
      </c>
      <c r="I45">
        <f t="shared" si="8"/>
        <v>480</v>
      </c>
      <c r="J45">
        <f t="shared" si="9"/>
        <v>1</v>
      </c>
      <c r="K45">
        <f t="shared" si="10"/>
        <v>0</v>
      </c>
      <c r="L45" t="b">
        <f t="shared" si="11"/>
        <v>0</v>
      </c>
    </row>
    <row r="46" spans="1:12" x14ac:dyDescent="0.2">
      <c r="A46">
        <v>-120</v>
      </c>
      <c r="B46">
        <f t="shared" si="3"/>
        <v>240</v>
      </c>
      <c r="C46">
        <f t="shared" si="4"/>
        <v>240</v>
      </c>
      <c r="E46">
        <v>60</v>
      </c>
      <c r="F46">
        <f t="shared" si="5"/>
        <v>150</v>
      </c>
      <c r="G46">
        <f t="shared" si="6"/>
        <v>330</v>
      </c>
      <c r="H46">
        <f t="shared" si="7"/>
        <v>330</v>
      </c>
      <c r="I46">
        <f t="shared" si="8"/>
        <v>510</v>
      </c>
      <c r="J46">
        <f t="shared" si="9"/>
        <v>1</v>
      </c>
      <c r="K46">
        <f t="shared" si="10"/>
        <v>0</v>
      </c>
      <c r="L46" t="b">
        <f t="shared" si="11"/>
        <v>0</v>
      </c>
    </row>
    <row r="47" spans="1:12" x14ac:dyDescent="0.2">
      <c r="A47">
        <v>-90</v>
      </c>
      <c r="B47">
        <f t="shared" si="3"/>
        <v>270</v>
      </c>
      <c r="C47">
        <f t="shared" si="4"/>
        <v>270</v>
      </c>
      <c r="E47" s="9">
        <v>90</v>
      </c>
      <c r="F47" s="9">
        <f t="shared" si="5"/>
        <v>180</v>
      </c>
      <c r="G47" s="9">
        <f t="shared" si="6"/>
        <v>0</v>
      </c>
      <c r="H47">
        <f t="shared" si="7"/>
        <v>360</v>
      </c>
      <c r="I47">
        <f t="shared" si="8"/>
        <v>540</v>
      </c>
      <c r="J47">
        <f t="shared" si="9"/>
        <v>0</v>
      </c>
      <c r="K47">
        <f t="shared" si="10"/>
        <v>0</v>
      </c>
      <c r="L47" t="b">
        <f t="shared" si="11"/>
        <v>0</v>
      </c>
    </row>
    <row r="48" spans="1:12" x14ac:dyDescent="0.2">
      <c r="A48">
        <v>-60</v>
      </c>
      <c r="B48">
        <f t="shared" si="3"/>
        <v>300</v>
      </c>
      <c r="C48">
        <f t="shared" si="4"/>
        <v>300</v>
      </c>
      <c r="E48" s="9">
        <v>120</v>
      </c>
      <c r="F48" s="9">
        <f t="shared" si="5"/>
        <v>210</v>
      </c>
      <c r="G48" s="9">
        <f t="shared" si="6"/>
        <v>30</v>
      </c>
      <c r="H48">
        <f t="shared" si="7"/>
        <v>390</v>
      </c>
      <c r="I48">
        <f t="shared" si="8"/>
        <v>570</v>
      </c>
      <c r="J48">
        <f t="shared" si="9"/>
        <v>0</v>
      </c>
      <c r="K48">
        <f t="shared" si="10"/>
        <v>0</v>
      </c>
      <c r="L48" t="b">
        <f t="shared" si="11"/>
        <v>0</v>
      </c>
    </row>
    <row r="49" spans="1:12" x14ac:dyDescent="0.2">
      <c r="A49">
        <v>-30</v>
      </c>
      <c r="B49">
        <f t="shared" si="3"/>
        <v>330</v>
      </c>
      <c r="C49">
        <f t="shared" si="4"/>
        <v>330</v>
      </c>
      <c r="E49" s="9">
        <v>150</v>
      </c>
      <c r="F49" s="9">
        <f t="shared" si="5"/>
        <v>240</v>
      </c>
      <c r="G49" s="9">
        <f t="shared" si="6"/>
        <v>60</v>
      </c>
      <c r="H49">
        <f t="shared" si="7"/>
        <v>420</v>
      </c>
      <c r="I49">
        <f t="shared" si="8"/>
        <v>600</v>
      </c>
      <c r="J49">
        <f t="shared" si="9"/>
        <v>0</v>
      </c>
      <c r="K49">
        <f t="shared" si="10"/>
        <v>0</v>
      </c>
      <c r="L49" t="b">
        <f t="shared" si="11"/>
        <v>0</v>
      </c>
    </row>
    <row r="50" spans="1:12" x14ac:dyDescent="0.2">
      <c r="A50">
        <v>0</v>
      </c>
      <c r="B50">
        <f t="shared" si="3"/>
        <v>0</v>
      </c>
      <c r="C50">
        <f t="shared" si="4"/>
        <v>360</v>
      </c>
      <c r="E50" s="9">
        <v>180</v>
      </c>
      <c r="F50" s="9">
        <f t="shared" si="5"/>
        <v>270</v>
      </c>
      <c r="G50" s="9">
        <f t="shared" si="6"/>
        <v>90</v>
      </c>
      <c r="H50">
        <f t="shared" si="7"/>
        <v>450</v>
      </c>
      <c r="I50">
        <f t="shared" si="8"/>
        <v>630</v>
      </c>
      <c r="J50">
        <f t="shared" si="9"/>
        <v>0</v>
      </c>
      <c r="K50">
        <f t="shared" si="10"/>
        <v>1</v>
      </c>
      <c r="L50" t="b">
        <f t="shared" si="11"/>
        <v>0</v>
      </c>
    </row>
    <row r="51" spans="1:12" x14ac:dyDescent="0.2">
      <c r="A51">
        <v>30</v>
      </c>
      <c r="B51">
        <f t="shared" si="3"/>
        <v>30</v>
      </c>
      <c r="C51">
        <f t="shared" si="4"/>
        <v>390</v>
      </c>
      <c r="E51" s="9">
        <v>210</v>
      </c>
      <c r="F51" s="9">
        <f t="shared" si="5"/>
        <v>300</v>
      </c>
      <c r="G51" s="9">
        <f t="shared" si="6"/>
        <v>120</v>
      </c>
      <c r="H51">
        <f t="shared" si="7"/>
        <v>480</v>
      </c>
      <c r="I51">
        <f t="shared" si="8"/>
        <v>660</v>
      </c>
      <c r="J51">
        <f t="shared" si="9"/>
        <v>0</v>
      </c>
      <c r="K51">
        <f t="shared" si="10"/>
        <v>1</v>
      </c>
      <c r="L51" t="b">
        <f t="shared" si="11"/>
        <v>0</v>
      </c>
    </row>
    <row r="52" spans="1:12" x14ac:dyDescent="0.2">
      <c r="A52">
        <v>60</v>
      </c>
      <c r="B52">
        <f t="shared" si="3"/>
        <v>60</v>
      </c>
      <c r="C52">
        <f t="shared" si="4"/>
        <v>420</v>
      </c>
      <c r="E52" s="9">
        <v>240</v>
      </c>
      <c r="F52" s="9">
        <f t="shared" si="5"/>
        <v>330</v>
      </c>
      <c r="G52" s="9">
        <f t="shared" si="6"/>
        <v>150</v>
      </c>
      <c r="H52">
        <f t="shared" si="7"/>
        <v>510</v>
      </c>
      <c r="I52">
        <f t="shared" si="8"/>
        <v>690</v>
      </c>
      <c r="J52">
        <f t="shared" si="9"/>
        <v>0</v>
      </c>
      <c r="K52">
        <f t="shared" si="10"/>
        <v>1</v>
      </c>
      <c r="L52" t="b">
        <f t="shared" si="11"/>
        <v>0</v>
      </c>
    </row>
    <row r="53" spans="1:12" x14ac:dyDescent="0.2">
      <c r="A53">
        <v>90</v>
      </c>
      <c r="B53">
        <f t="shared" si="3"/>
        <v>90</v>
      </c>
      <c r="C53">
        <f t="shared" si="4"/>
        <v>450</v>
      </c>
      <c r="E53">
        <v>270</v>
      </c>
      <c r="F53">
        <f t="shared" si="5"/>
        <v>0</v>
      </c>
      <c r="G53">
        <f t="shared" si="6"/>
        <v>180</v>
      </c>
      <c r="H53">
        <f t="shared" si="7"/>
        <v>540</v>
      </c>
      <c r="I53">
        <f t="shared" si="8"/>
        <v>720</v>
      </c>
      <c r="J53">
        <f t="shared" si="9"/>
        <v>0</v>
      </c>
      <c r="K53">
        <f t="shared" si="10"/>
        <v>0</v>
      </c>
      <c r="L53" t="b">
        <f t="shared" si="11"/>
        <v>0</v>
      </c>
    </row>
    <row r="54" spans="1:12" x14ac:dyDescent="0.2">
      <c r="A54">
        <v>120</v>
      </c>
      <c r="B54">
        <f t="shared" si="3"/>
        <v>120</v>
      </c>
      <c r="C54">
        <f t="shared" si="4"/>
        <v>480</v>
      </c>
      <c r="E54">
        <v>300</v>
      </c>
      <c r="F54">
        <f t="shared" si="5"/>
        <v>30</v>
      </c>
      <c r="G54">
        <f t="shared" si="6"/>
        <v>210</v>
      </c>
      <c r="H54">
        <f t="shared" si="7"/>
        <v>570</v>
      </c>
      <c r="I54">
        <f t="shared" si="8"/>
        <v>750</v>
      </c>
      <c r="J54">
        <f t="shared" si="9"/>
        <v>1</v>
      </c>
      <c r="K54">
        <f t="shared" si="10"/>
        <v>0</v>
      </c>
      <c r="L54" t="b">
        <f t="shared" si="11"/>
        <v>0</v>
      </c>
    </row>
    <row r="55" spans="1:12" x14ac:dyDescent="0.2">
      <c r="A55">
        <v>150</v>
      </c>
      <c r="B55">
        <f t="shared" si="3"/>
        <v>150</v>
      </c>
      <c r="C55">
        <f t="shared" si="4"/>
        <v>510</v>
      </c>
      <c r="E55">
        <v>330</v>
      </c>
      <c r="F55">
        <f t="shared" si="5"/>
        <v>60</v>
      </c>
      <c r="G55">
        <f t="shared" si="6"/>
        <v>240</v>
      </c>
      <c r="H55">
        <f t="shared" si="7"/>
        <v>600</v>
      </c>
      <c r="I55">
        <f t="shared" si="8"/>
        <v>780</v>
      </c>
      <c r="J55">
        <f t="shared" si="9"/>
        <v>1</v>
      </c>
      <c r="K55">
        <f t="shared" si="10"/>
        <v>0</v>
      </c>
      <c r="L55" t="b">
        <f t="shared" si="11"/>
        <v>0</v>
      </c>
    </row>
    <row r="56" spans="1:12" x14ac:dyDescent="0.2">
      <c r="A56">
        <v>180</v>
      </c>
      <c r="B56">
        <f t="shared" si="3"/>
        <v>180</v>
      </c>
      <c r="C56">
        <f t="shared" si="4"/>
        <v>540</v>
      </c>
      <c r="E56">
        <v>360</v>
      </c>
      <c r="F56">
        <f t="shared" si="5"/>
        <v>90</v>
      </c>
      <c r="G56">
        <f t="shared" si="6"/>
        <v>270</v>
      </c>
      <c r="H56">
        <f t="shared" si="7"/>
        <v>630</v>
      </c>
      <c r="I56">
        <f t="shared" si="8"/>
        <v>810</v>
      </c>
      <c r="J56">
        <f t="shared" si="9"/>
        <v>1</v>
      </c>
      <c r="K56">
        <f t="shared" si="10"/>
        <v>0</v>
      </c>
      <c r="L56" t="b">
        <f t="shared" si="11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398E7EAE9954ABE6BFB497661637E" ma:contentTypeVersion="11" ma:contentTypeDescription="Create a new document." ma:contentTypeScope="" ma:versionID="3786cb5e95af3a90c677764e8014d423">
  <xsd:schema xmlns:xsd="http://www.w3.org/2001/XMLSchema" xmlns:xs="http://www.w3.org/2001/XMLSchema" xmlns:p="http://schemas.microsoft.com/office/2006/metadata/properties" xmlns:ns2="56d601e6-bef3-45c8-b6dc-25c3b07e1d58" targetNamespace="http://schemas.microsoft.com/office/2006/metadata/properties" ma:root="true" ma:fieldsID="adb27d47ef9772e2cb84c18b7530cab2" ns2:_="">
    <xsd:import namespace="56d601e6-bef3-45c8-b6dc-25c3b07e1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601e6-bef3-45c8-b6dc-25c3b07e1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688d343-e684-46db-b94f-a4cae8ed1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d601e6-bef3-45c8-b6dc-25c3b07e1d5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C6F309-A1A2-46F0-A57B-68684D97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649D0-F6D4-456F-915F-B334A3145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601e6-bef3-45c8-b6dc-25c3b07e1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69B838-CC0E-428C-B339-A9883501F19C}">
  <ds:schemaRefs>
    <ds:schemaRef ds:uri="http://schemas.microsoft.com/office/2006/metadata/properties"/>
    <ds:schemaRef ds:uri="http://schemas.microsoft.com/office/infopath/2007/PartnerControls"/>
    <ds:schemaRef ds:uri="56d601e6-bef3-45c8-b6dc-25c3b07e1d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 analysis</vt:lpstr>
      <vt:lpstr>Laser Count Analysis</vt:lpstr>
      <vt:lpstr>Spacecraft Sizing</vt:lpstr>
      <vt:lpstr>Fleet cost analysis</vt:lpstr>
      <vt:lpstr>math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Todd</dc:creator>
  <cp:keywords/>
  <dc:description/>
  <cp:lastModifiedBy>Microsoft Office User</cp:lastModifiedBy>
  <cp:revision/>
  <dcterms:created xsi:type="dcterms:W3CDTF">2023-01-18T17:57:59Z</dcterms:created>
  <dcterms:modified xsi:type="dcterms:W3CDTF">2023-02-21T21:22:43Z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76fa30-1907-4356-8241-62ea5e1c0256_Enabled">
    <vt:lpwstr>true</vt:lpwstr>
  </property>
  <property fmtid="{D5CDD505-2E9C-101B-9397-08002B2CF9AE}" pid="3" name="MSIP_Label_3976fa30-1907-4356-8241-62ea5e1c0256_SetDate">
    <vt:lpwstr>2023-01-18T17:57:59Z</vt:lpwstr>
  </property>
  <property fmtid="{D5CDD505-2E9C-101B-9397-08002B2CF9AE}" pid="4" name="MSIP_Label_3976fa30-1907-4356-8241-62ea5e1c0256_Method">
    <vt:lpwstr>Standard</vt:lpwstr>
  </property>
  <property fmtid="{D5CDD505-2E9C-101B-9397-08002B2CF9AE}" pid="5" name="MSIP_Label_3976fa30-1907-4356-8241-62ea5e1c0256_Name">
    <vt:lpwstr>ESA UNCLASSIFIED – For ESA Official Use Only</vt:lpwstr>
  </property>
  <property fmtid="{D5CDD505-2E9C-101B-9397-08002B2CF9AE}" pid="6" name="MSIP_Label_3976fa30-1907-4356-8241-62ea5e1c0256_SiteId">
    <vt:lpwstr>9a5cacd0-2bef-4dd7-ac5c-7ebe1f54f495</vt:lpwstr>
  </property>
  <property fmtid="{D5CDD505-2E9C-101B-9397-08002B2CF9AE}" pid="7" name="MSIP_Label_3976fa30-1907-4356-8241-62ea5e1c0256_ActionId">
    <vt:lpwstr>c9cc6d5c-c5e4-4802-b798-90573ca3e3ed</vt:lpwstr>
  </property>
  <property fmtid="{D5CDD505-2E9C-101B-9397-08002B2CF9AE}" pid="8" name="MSIP_Label_3976fa30-1907-4356-8241-62ea5e1c0256_ContentBits">
    <vt:lpwstr>0</vt:lpwstr>
  </property>
  <property fmtid="{D5CDD505-2E9C-101B-9397-08002B2CF9AE}" pid="9" name="ContentTypeId">
    <vt:lpwstr>0x010100870398E7EAE9954ABE6BFB497661637E</vt:lpwstr>
  </property>
  <property fmtid="{D5CDD505-2E9C-101B-9397-08002B2CF9AE}" pid="10" name="MediaServiceImageTags">
    <vt:lpwstr/>
  </property>
</Properties>
</file>