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3F55901B-EE03-B441-A2EF-C421BFB4BBB9}" xr6:coauthVersionLast="47" xr6:coauthVersionMax="47" xr10:uidLastSave="{00000000-0000-0000-0000-000000000000}"/>
  <bookViews>
    <workbookView xWindow="0" yWindow="4500" windowWidth="30660" windowHeight="17900" activeTab="4" xr2:uid="{0D0644B8-F9A6-4A61-A91E-2BD3522A7E9F}"/>
  </bookViews>
  <sheets>
    <sheet name="Laser Count Analysis" sheetId="4" r:id="rId1"/>
    <sheet name="Spacecraft Sizing" sheetId="5" r:id="rId2"/>
    <sheet name="Fleet cost analysis" sheetId="2" r:id="rId3"/>
    <sheet name="SE analysis" sheetId="1" r:id="rId4"/>
    <sheet name="Pointing Eff Acc" sheetId="6" r:id="rId5"/>
    <sheet name="ma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6" l="1"/>
  <c r="F30" i="6"/>
  <c r="F29" i="6"/>
  <c r="D29" i="6"/>
  <c r="D30" i="6" s="1"/>
  <c r="F25" i="6"/>
  <c r="D25" i="6"/>
  <c r="F13" i="6"/>
  <c r="D13" i="6"/>
  <c r="F15" i="6"/>
  <c r="F16" i="6" s="1"/>
  <c r="D15" i="6"/>
  <c r="D16" i="6" s="1"/>
  <c r="T4" i="4"/>
  <c r="BR8" i="4"/>
  <c r="BR13" i="4"/>
  <c r="BR15" i="4"/>
  <c r="BR16" i="4"/>
  <c r="BR17" i="4"/>
  <c r="BR18" i="4" s="1"/>
  <c r="BR20" i="4" s="1"/>
  <c r="BR21" i="4"/>
  <c r="BP8" i="4"/>
  <c r="BQ8" i="4"/>
  <c r="BP13" i="4"/>
  <c r="BQ13" i="4"/>
  <c r="BP15" i="4"/>
  <c r="BP17" i="4" s="1"/>
  <c r="BP18" i="4" s="1"/>
  <c r="BQ15" i="4"/>
  <c r="BP16" i="4"/>
  <c r="BQ16" i="4"/>
  <c r="BQ17" i="4"/>
  <c r="BQ18" i="4" s="1"/>
  <c r="BP21" i="4"/>
  <c r="BQ21" i="4"/>
  <c r="BM8" i="4"/>
  <c r="BN8" i="4"/>
  <c r="BO8" i="4"/>
  <c r="BO13" i="4" s="1"/>
  <c r="BM13" i="4"/>
  <c r="BN13" i="4"/>
  <c r="BM15" i="4"/>
  <c r="BM17" i="4" s="1"/>
  <c r="BN15" i="4"/>
  <c r="BN17" i="4" s="1"/>
  <c r="BO15" i="4"/>
  <c r="BO17" i="4" s="1"/>
  <c r="BM16" i="4"/>
  <c r="BM18" i="4" s="1"/>
  <c r="BN16" i="4"/>
  <c r="BN18" i="4" s="1"/>
  <c r="BO16" i="4"/>
  <c r="BO18" i="4" s="1"/>
  <c r="BM21" i="4"/>
  <c r="BN21" i="4"/>
  <c r="BO21" i="4"/>
  <c r="BJ8" i="4"/>
  <c r="BK8" i="4"/>
  <c r="BK13" i="4" s="1"/>
  <c r="BL8" i="4"/>
  <c r="BJ13" i="4"/>
  <c r="BL13" i="4"/>
  <c r="BJ15" i="4"/>
  <c r="BJ17" i="4" s="1"/>
  <c r="BK15" i="4"/>
  <c r="BK17" i="4" s="1"/>
  <c r="BL15" i="4"/>
  <c r="BL17" i="4" s="1"/>
  <c r="BJ16" i="4"/>
  <c r="BJ18" i="4" s="1"/>
  <c r="BK16" i="4"/>
  <c r="BK18" i="4" s="1"/>
  <c r="BL16" i="4"/>
  <c r="BJ21" i="4"/>
  <c r="BK21" i="4"/>
  <c r="BL21" i="4"/>
  <c r="BB8" i="4"/>
  <c r="BC8" i="4"/>
  <c r="BD8" i="4"/>
  <c r="BE8" i="4"/>
  <c r="BF8" i="4"/>
  <c r="BF13" i="4" s="1"/>
  <c r="BG8" i="4"/>
  <c r="BG13" i="4" s="1"/>
  <c r="BH8" i="4"/>
  <c r="BH13" i="4" s="1"/>
  <c r="BI8" i="4"/>
  <c r="BI13" i="4" s="1"/>
  <c r="BB13" i="4"/>
  <c r="BB20" i="4" s="1"/>
  <c r="BC13" i="4"/>
  <c r="BC20" i="4" s="1"/>
  <c r="BD13" i="4"/>
  <c r="BD20" i="4" s="1"/>
  <c r="BE13" i="4"/>
  <c r="BB15" i="4"/>
  <c r="BC15" i="4"/>
  <c r="BD15" i="4"/>
  <c r="BE15" i="4"/>
  <c r="BE17" i="4" s="1"/>
  <c r="BE18" i="4" s="1"/>
  <c r="BF15" i="4"/>
  <c r="BF17" i="4" s="1"/>
  <c r="BF18" i="4" s="1"/>
  <c r="BG15" i="4"/>
  <c r="BG17" i="4" s="1"/>
  <c r="BG18" i="4" s="1"/>
  <c r="BH15" i="4"/>
  <c r="BH17" i="4" s="1"/>
  <c r="BH18" i="4" s="1"/>
  <c r="BI15" i="4"/>
  <c r="BI17" i="4" s="1"/>
  <c r="BI18" i="4" s="1"/>
  <c r="BB16" i="4"/>
  <c r="BC16" i="4"/>
  <c r="BD16" i="4"/>
  <c r="BE16" i="4"/>
  <c r="BF16" i="4"/>
  <c r="BG16" i="4"/>
  <c r="BH16" i="4"/>
  <c r="BI16" i="4"/>
  <c r="BB17" i="4"/>
  <c r="BC17" i="4"/>
  <c r="BC18" i="4" s="1"/>
  <c r="BD17" i="4"/>
  <c r="BD18" i="4" s="1"/>
  <c r="BB18" i="4"/>
  <c r="BB21" i="4"/>
  <c r="BC21" i="4"/>
  <c r="BD21" i="4"/>
  <c r="BE21" i="4"/>
  <c r="BF21" i="4"/>
  <c r="BG21" i="4"/>
  <c r="BH21" i="4"/>
  <c r="BI21" i="4"/>
  <c r="AX8" i="4"/>
  <c r="AY8" i="4"/>
  <c r="AZ8" i="4"/>
  <c r="BA8" i="4"/>
  <c r="AX13" i="4"/>
  <c r="AY13" i="4"/>
  <c r="AZ13" i="4"/>
  <c r="BA13" i="4"/>
  <c r="AX15" i="4"/>
  <c r="AX17" i="4" s="1"/>
  <c r="AX18" i="4" s="1"/>
  <c r="AY15" i="4"/>
  <c r="AY17" i="4" s="1"/>
  <c r="AY18" i="4" s="1"/>
  <c r="AZ15" i="4"/>
  <c r="AZ17" i="4" s="1"/>
  <c r="AZ18" i="4" s="1"/>
  <c r="BA15" i="4"/>
  <c r="BA17" i="4" s="1"/>
  <c r="BA18" i="4" s="1"/>
  <c r="AX16" i="4"/>
  <c r="AY16" i="4"/>
  <c r="AZ16" i="4"/>
  <c r="BA16" i="4"/>
  <c r="AX21" i="4"/>
  <c r="AY21" i="4"/>
  <c r="AZ21" i="4"/>
  <c r="BA21" i="4"/>
  <c r="AO8" i="4"/>
  <c r="AP8" i="4"/>
  <c r="AQ8" i="4"/>
  <c r="AR8" i="4"/>
  <c r="AR13" i="4" s="1"/>
  <c r="AS8" i="4"/>
  <c r="AS13" i="4" s="1"/>
  <c r="AT8" i="4"/>
  <c r="AT13" i="4" s="1"/>
  <c r="AU8" i="4"/>
  <c r="AU13" i="4" s="1"/>
  <c r="AV8" i="4"/>
  <c r="AV13" i="4" s="1"/>
  <c r="AW8" i="4"/>
  <c r="AW13" i="4" s="1"/>
  <c r="AO13" i="4"/>
  <c r="AO20" i="4" s="1"/>
  <c r="AO22" i="4" s="1"/>
  <c r="AP13" i="4"/>
  <c r="AQ13" i="4"/>
  <c r="AO15" i="4"/>
  <c r="AO17" i="4" s="1"/>
  <c r="AO18" i="4" s="1"/>
  <c r="AP15" i="4"/>
  <c r="AP17" i="4" s="1"/>
  <c r="AP18" i="4" s="1"/>
  <c r="AQ15" i="4"/>
  <c r="AQ17" i="4" s="1"/>
  <c r="AQ18" i="4" s="1"/>
  <c r="AR15" i="4"/>
  <c r="AR17" i="4" s="1"/>
  <c r="AS15" i="4"/>
  <c r="AS17" i="4" s="1"/>
  <c r="AT15" i="4"/>
  <c r="AT17" i="4" s="1"/>
  <c r="AU15" i="4"/>
  <c r="AV15" i="4"/>
  <c r="AW15" i="4"/>
  <c r="AW17" i="4" s="1"/>
  <c r="AO16" i="4"/>
  <c r="AP16" i="4"/>
  <c r="AQ16" i="4"/>
  <c r="AR16" i="4"/>
  <c r="AS16" i="4"/>
  <c r="AT16" i="4"/>
  <c r="AU16" i="4"/>
  <c r="AU18" i="4" s="1"/>
  <c r="AV16" i="4"/>
  <c r="AV18" i="4" s="1"/>
  <c r="AW16" i="4"/>
  <c r="AU17" i="4"/>
  <c r="AV17" i="4"/>
  <c r="AO21" i="4"/>
  <c r="AP21" i="4"/>
  <c r="AQ21" i="4"/>
  <c r="AR21" i="4"/>
  <c r="AS21" i="4"/>
  <c r="AT21" i="4"/>
  <c r="AU21" i="4"/>
  <c r="AV21" i="4"/>
  <c r="AW21" i="4"/>
  <c r="AC8" i="4"/>
  <c r="AD8" i="4"/>
  <c r="AE8" i="4"/>
  <c r="AF8" i="4"/>
  <c r="AG8" i="4"/>
  <c r="AH8" i="4"/>
  <c r="AI8" i="4"/>
  <c r="AI13" i="4" s="1"/>
  <c r="AI20" i="4" s="1"/>
  <c r="AI22" i="4" s="1"/>
  <c r="AJ8" i="4"/>
  <c r="AK8" i="4"/>
  <c r="AL8" i="4"/>
  <c r="AM8" i="4"/>
  <c r="AN8" i="4"/>
  <c r="AC13" i="4"/>
  <c r="AD13" i="4"/>
  <c r="AE13" i="4"/>
  <c r="AF13" i="4"/>
  <c r="AG13" i="4"/>
  <c r="AH13" i="4"/>
  <c r="AJ13" i="4"/>
  <c r="AK13" i="4"/>
  <c r="AL13" i="4"/>
  <c r="AM13" i="4"/>
  <c r="AN13" i="4"/>
  <c r="AC15" i="4"/>
  <c r="AD15" i="4"/>
  <c r="AE15" i="4"/>
  <c r="AF15" i="4"/>
  <c r="AG15" i="4"/>
  <c r="AH15" i="4"/>
  <c r="AI15" i="4"/>
  <c r="AI17" i="4" s="1"/>
  <c r="AI18" i="4" s="1"/>
  <c r="AJ15" i="4"/>
  <c r="AJ17" i="4" s="1"/>
  <c r="AJ18" i="4" s="1"/>
  <c r="AK15" i="4"/>
  <c r="AK17" i="4" s="1"/>
  <c r="AK18" i="4" s="1"/>
  <c r="AL15" i="4"/>
  <c r="AL17" i="4" s="1"/>
  <c r="AL18" i="4" s="1"/>
  <c r="AL20" i="4" s="1"/>
  <c r="AL22" i="4" s="1"/>
  <c r="AM15" i="4"/>
  <c r="AM17" i="4" s="1"/>
  <c r="AM18" i="4" s="1"/>
  <c r="AM20" i="4" s="1"/>
  <c r="AM22" i="4" s="1"/>
  <c r="AN15" i="4"/>
  <c r="AN17" i="4" s="1"/>
  <c r="AN18" i="4" s="1"/>
  <c r="AN20" i="4" s="1"/>
  <c r="AC16" i="4"/>
  <c r="AD16" i="4"/>
  <c r="AE16" i="4"/>
  <c r="AF16" i="4"/>
  <c r="AG16" i="4"/>
  <c r="AH16" i="4"/>
  <c r="AI16" i="4"/>
  <c r="AJ16" i="4"/>
  <c r="AK16" i="4"/>
  <c r="AL16" i="4"/>
  <c r="AM16" i="4"/>
  <c r="AN16" i="4"/>
  <c r="AC17" i="4"/>
  <c r="AD17" i="4"/>
  <c r="AE17" i="4"/>
  <c r="AE18" i="4" s="1"/>
  <c r="AF17" i="4"/>
  <c r="AF18" i="4" s="1"/>
  <c r="AG17" i="4"/>
  <c r="AG18" i="4" s="1"/>
  <c r="AH17" i="4"/>
  <c r="AC18" i="4"/>
  <c r="AC20" i="4" s="1"/>
  <c r="AD18" i="4"/>
  <c r="AH18" i="4"/>
  <c r="AH20" i="4" s="1"/>
  <c r="AH22" i="4" s="1"/>
  <c r="AD20" i="4"/>
  <c r="AD22" i="4" s="1"/>
  <c r="AC21" i="4"/>
  <c r="AD21" i="4"/>
  <c r="AE21" i="4"/>
  <c r="AF21" i="4"/>
  <c r="AG21" i="4"/>
  <c r="AH21" i="4"/>
  <c r="AI21" i="4"/>
  <c r="AJ21" i="4"/>
  <c r="AK21" i="4"/>
  <c r="AL21" i="4"/>
  <c r="AM21" i="4"/>
  <c r="AN21" i="4"/>
  <c r="D6" i="5"/>
  <c r="D8" i="5" s="1"/>
  <c r="E6" i="5"/>
  <c r="E8" i="5" s="1"/>
  <c r="F6" i="5"/>
  <c r="F8" i="5" s="1"/>
  <c r="G6" i="5"/>
  <c r="G8" i="5" s="1"/>
  <c r="H6" i="5"/>
  <c r="H8" i="5" s="1"/>
  <c r="I6" i="5"/>
  <c r="I8" i="5" s="1"/>
  <c r="J6" i="5"/>
  <c r="J8" i="5" s="1"/>
  <c r="K6" i="5"/>
  <c r="K8" i="5" s="1"/>
  <c r="L6" i="5"/>
  <c r="L8" i="5" s="1"/>
  <c r="M6" i="5"/>
  <c r="M8" i="5" s="1"/>
  <c r="N6" i="5"/>
  <c r="N8" i="5" s="1"/>
  <c r="C6" i="5"/>
  <c r="C8" i="5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6" i="2"/>
  <c r="E26" i="2"/>
  <c r="F26" i="2"/>
  <c r="G26" i="2"/>
  <c r="H26" i="2"/>
  <c r="H27" i="2" s="1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F2" i="5"/>
  <c r="G9" i="5" s="1"/>
  <c r="F3" i="5"/>
  <c r="F1" i="5"/>
  <c r="D16" i="5" s="1"/>
  <c r="D18" i="5" s="1"/>
  <c r="D9" i="5"/>
  <c r="E9" i="5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1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6" i="4"/>
  <c r="F15" i="4"/>
  <c r="F17" i="4" s="1"/>
  <c r="G15" i="4"/>
  <c r="G17" i="4" s="1"/>
  <c r="H15" i="4"/>
  <c r="H17" i="4" s="1"/>
  <c r="I15" i="4"/>
  <c r="I17" i="4" s="1"/>
  <c r="I18" i="4" s="1"/>
  <c r="J15" i="4"/>
  <c r="J17" i="4" s="1"/>
  <c r="K15" i="4"/>
  <c r="K17" i="4" s="1"/>
  <c r="L15" i="4"/>
  <c r="L17" i="4" s="1"/>
  <c r="M15" i="4"/>
  <c r="M17" i="4" s="1"/>
  <c r="M18" i="4" s="1"/>
  <c r="N15" i="4"/>
  <c r="N17" i="4" s="1"/>
  <c r="O15" i="4"/>
  <c r="O17" i="4" s="1"/>
  <c r="P15" i="4"/>
  <c r="P17" i="4" s="1"/>
  <c r="Q15" i="4"/>
  <c r="Q17" i="4" s="1"/>
  <c r="R15" i="4"/>
  <c r="R17" i="4" s="1"/>
  <c r="R18" i="4" s="1"/>
  <c r="S15" i="4"/>
  <c r="S17" i="4" s="1"/>
  <c r="T15" i="4"/>
  <c r="T17" i="4" s="1"/>
  <c r="T18" i="4" s="1"/>
  <c r="U15" i="4"/>
  <c r="U17" i="4" s="1"/>
  <c r="U18" i="4" s="1"/>
  <c r="V15" i="4"/>
  <c r="V17" i="4" s="1"/>
  <c r="W15" i="4"/>
  <c r="W17" i="4" s="1"/>
  <c r="X15" i="4"/>
  <c r="X17" i="4" s="1"/>
  <c r="Y15" i="4"/>
  <c r="Y17" i="4" s="1"/>
  <c r="Z15" i="4"/>
  <c r="Z17" i="4" s="1"/>
  <c r="Z18" i="4" s="1"/>
  <c r="AA15" i="4"/>
  <c r="AA17" i="4" s="1"/>
  <c r="AB15" i="4"/>
  <c r="AB17" i="4" s="1"/>
  <c r="E15" i="4"/>
  <c r="E17" i="4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H13" i="2" s="1"/>
  <c r="H19" i="2" s="1"/>
  <c r="I12" i="2"/>
  <c r="I13" i="2" s="1"/>
  <c r="I19" i="2" s="1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S12" i="2"/>
  <c r="S13" i="2" s="1"/>
  <c r="S19" i="2" s="1"/>
  <c r="T12" i="2"/>
  <c r="T13" i="2" s="1"/>
  <c r="T19" i="2" s="1"/>
  <c r="G13" i="2"/>
  <c r="G19" i="2" s="1"/>
  <c r="G21" i="2" s="1"/>
  <c r="J13" i="2"/>
  <c r="J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J16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15" i="2"/>
  <c r="C16" i="2" s="1"/>
  <c r="C12" i="2"/>
  <c r="C13" i="2" s="1"/>
  <c r="C19" i="2" s="1"/>
  <c r="AB8" i="4"/>
  <c r="AB13" i="4" s="1"/>
  <c r="AA8" i="4"/>
  <c r="AA13" i="4" s="1"/>
  <c r="L13" i="4"/>
  <c r="J13" i="4"/>
  <c r="Z8" i="4"/>
  <c r="Z13" i="4" s="1"/>
  <c r="Y8" i="4"/>
  <c r="Y13" i="4" s="1"/>
  <c r="X8" i="4"/>
  <c r="X13" i="4" s="1"/>
  <c r="W8" i="4"/>
  <c r="W13" i="4" s="1"/>
  <c r="V8" i="4"/>
  <c r="V13" i="4" s="1"/>
  <c r="U8" i="4"/>
  <c r="U13" i="4" s="1"/>
  <c r="T8" i="4"/>
  <c r="T13" i="4" s="1"/>
  <c r="S8" i="4"/>
  <c r="S13" i="4" s="1"/>
  <c r="R8" i="4"/>
  <c r="R13" i="4" s="1"/>
  <c r="Q8" i="4"/>
  <c r="Q13" i="4" s="1"/>
  <c r="P8" i="4"/>
  <c r="P13" i="4" s="1"/>
  <c r="O8" i="4"/>
  <c r="O13" i="4" s="1"/>
  <c r="N8" i="4"/>
  <c r="N13" i="4" s="1"/>
  <c r="M8" i="4"/>
  <c r="M13" i="4" s="1"/>
  <c r="L8" i="4"/>
  <c r="K8" i="4"/>
  <c r="K13" i="4" s="1"/>
  <c r="J8" i="4"/>
  <c r="I8" i="4"/>
  <c r="I13" i="4" s="1"/>
  <c r="H8" i="4"/>
  <c r="H13" i="4" s="1"/>
  <c r="G8" i="4"/>
  <c r="G13" i="4" s="1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D32" i="6" l="1"/>
  <c r="F32" i="6"/>
  <c r="D17" i="6"/>
  <c r="D18" i="6" s="1"/>
  <c r="D19" i="6" s="1"/>
  <c r="D21" i="6" s="1"/>
  <c r="D34" i="6" s="1"/>
  <c r="F17" i="6"/>
  <c r="F18" i="6" s="1"/>
  <c r="F19" i="6" s="1"/>
  <c r="F21" i="6" s="1"/>
  <c r="F34" i="6" s="1"/>
  <c r="F26" i="6"/>
  <c r="F35" i="6" s="1"/>
  <c r="D26" i="6"/>
  <c r="AJ20" i="4"/>
  <c r="AJ22" i="4" s="1"/>
  <c r="AK20" i="4"/>
  <c r="AK22" i="4" s="1"/>
  <c r="AG20" i="4"/>
  <c r="AG22" i="4" s="1"/>
  <c r="BJ20" i="4"/>
  <c r="BN20" i="4"/>
  <c r="BN22" i="4" s="1"/>
  <c r="AE20" i="4"/>
  <c r="AE22" i="4" s="1"/>
  <c r="AE24" i="4" s="1"/>
  <c r="AF20" i="4"/>
  <c r="AF22" i="4" s="1"/>
  <c r="BM20" i="4"/>
  <c r="BM22" i="4" s="1"/>
  <c r="BM24" i="4" s="1"/>
  <c r="AC22" i="4"/>
  <c r="AC23" i="4" s="1"/>
  <c r="BC22" i="4"/>
  <c r="BC24" i="4" s="1"/>
  <c r="BR22" i="4"/>
  <c r="BR23" i="4" s="1"/>
  <c r="BJ22" i="4"/>
  <c r="BJ23" i="4" s="1"/>
  <c r="BD22" i="4"/>
  <c r="BB22" i="4"/>
  <c r="AN22" i="4"/>
  <c r="AN23" i="4" s="1"/>
  <c r="AM24" i="4"/>
  <c r="AM23" i="4"/>
  <c r="AD24" i="4"/>
  <c r="AD23" i="4"/>
  <c r="AK23" i="4"/>
  <c r="AK24" i="4"/>
  <c r="AJ24" i="4"/>
  <c r="AJ23" i="4"/>
  <c r="AL24" i="4"/>
  <c r="AL23" i="4"/>
  <c r="AH24" i="4"/>
  <c r="AH23" i="4"/>
  <c r="AG24" i="4"/>
  <c r="AG23" i="4"/>
  <c r="AF24" i="4"/>
  <c r="AF23" i="4"/>
  <c r="AE23" i="4"/>
  <c r="BQ20" i="4"/>
  <c r="BQ22" i="4" s="1"/>
  <c r="BQ23" i="4" s="1"/>
  <c r="AV20" i="4"/>
  <c r="AV22" i="4" s="1"/>
  <c r="AV24" i="4" s="1"/>
  <c r="BL18" i="4"/>
  <c r="BL20" i="4" s="1"/>
  <c r="BL22" i="4" s="1"/>
  <c r="BL23" i="4" s="1"/>
  <c r="BP20" i="4"/>
  <c r="BP22" i="4" s="1"/>
  <c r="BP24" i="4" s="1"/>
  <c r="AU20" i="4"/>
  <c r="AU22" i="4" s="1"/>
  <c r="AU24" i="4" s="1"/>
  <c r="AW18" i="4"/>
  <c r="AW20" i="4"/>
  <c r="AW22" i="4" s="1"/>
  <c r="AW23" i="4" s="1"/>
  <c r="AQ20" i="4"/>
  <c r="AQ22" i="4" s="1"/>
  <c r="AQ24" i="4" s="1"/>
  <c r="AP20" i="4"/>
  <c r="AP22" i="4" s="1"/>
  <c r="AP23" i="4" s="1"/>
  <c r="BE20" i="4"/>
  <c r="BE22" i="4" s="1"/>
  <c r="BE23" i="4" s="1"/>
  <c r="BO20" i="4"/>
  <c r="BO22" i="4" s="1"/>
  <c r="BK20" i="4"/>
  <c r="BK22" i="4" s="1"/>
  <c r="BI20" i="4"/>
  <c r="BI22" i="4" s="1"/>
  <c r="BH20" i="4"/>
  <c r="BH22" i="4" s="1"/>
  <c r="BG20" i="4"/>
  <c r="BG22" i="4" s="1"/>
  <c r="BF20" i="4"/>
  <c r="BF22" i="4" s="1"/>
  <c r="BD23" i="4"/>
  <c r="BD24" i="4"/>
  <c r="BB23" i="4"/>
  <c r="BB24" i="4"/>
  <c r="BA20" i="4"/>
  <c r="BA22" i="4" s="1"/>
  <c r="AZ20" i="4"/>
  <c r="AZ22" i="4" s="1"/>
  <c r="AY20" i="4"/>
  <c r="AY22" i="4" s="1"/>
  <c r="AX20" i="4"/>
  <c r="AX22" i="4" s="1"/>
  <c r="AT20" i="4"/>
  <c r="AT22" i="4" s="1"/>
  <c r="AR20" i="4"/>
  <c r="AR22" i="4" s="1"/>
  <c r="AS18" i="4"/>
  <c r="AS20" i="4" s="1"/>
  <c r="AS22" i="4" s="1"/>
  <c r="AO24" i="4"/>
  <c r="AO23" i="4"/>
  <c r="AT18" i="4"/>
  <c r="AR18" i="4"/>
  <c r="AI24" i="4"/>
  <c r="AI23" i="4"/>
  <c r="N18" i="4"/>
  <c r="N20" i="4" s="1"/>
  <c r="N22" i="4" s="1"/>
  <c r="N24" i="4" s="1"/>
  <c r="H18" i="4"/>
  <c r="C27" i="2"/>
  <c r="C28" i="2"/>
  <c r="C29" i="2" s="1"/>
  <c r="C32" i="2" s="1"/>
  <c r="M9" i="5"/>
  <c r="M10" i="5" s="1"/>
  <c r="M12" i="5" s="1"/>
  <c r="M14" i="5" s="1"/>
  <c r="Q27" i="2"/>
  <c r="Q28" i="2" s="1"/>
  <c r="Q29" i="2" s="1"/>
  <c r="E27" i="2"/>
  <c r="E28" i="2" s="1"/>
  <c r="E29" i="2" s="1"/>
  <c r="L27" i="2"/>
  <c r="L28" i="2" s="1"/>
  <c r="L29" i="2" s="1"/>
  <c r="G27" i="2"/>
  <c r="G28" i="2" s="1"/>
  <c r="G29" i="2" s="1"/>
  <c r="G34" i="2" s="1"/>
  <c r="L9" i="5"/>
  <c r="L10" i="5" s="1"/>
  <c r="L12" i="5" s="1"/>
  <c r="P27" i="2"/>
  <c r="P28" i="2" s="1"/>
  <c r="P29" i="2" s="1"/>
  <c r="D27" i="2"/>
  <c r="D28" i="2" s="1"/>
  <c r="D29" i="2" s="1"/>
  <c r="S27" i="2"/>
  <c r="S28" i="2" s="1"/>
  <c r="S29" i="2" s="1"/>
  <c r="H28" i="2"/>
  <c r="H29" i="2" s="1"/>
  <c r="F9" i="5"/>
  <c r="J27" i="2"/>
  <c r="J28" i="2" s="1"/>
  <c r="J29" i="2" s="1"/>
  <c r="K27" i="2"/>
  <c r="K28" i="2" s="1"/>
  <c r="K29" i="2" s="1"/>
  <c r="D10" i="5"/>
  <c r="D12" i="5" s="1"/>
  <c r="C9" i="5"/>
  <c r="C10" i="5" s="1"/>
  <c r="C12" i="5" s="1"/>
  <c r="C14" i="5" s="1"/>
  <c r="N9" i="5"/>
  <c r="N10" i="5" s="1"/>
  <c r="N12" i="5" s="1"/>
  <c r="N14" i="5" s="1"/>
  <c r="K9" i="5"/>
  <c r="K10" i="5" s="1"/>
  <c r="K12" i="5" s="1"/>
  <c r="T27" i="2"/>
  <c r="G18" i="4"/>
  <c r="G20" i="4" s="1"/>
  <c r="G22" i="4" s="1"/>
  <c r="G24" i="4" s="1"/>
  <c r="J9" i="5"/>
  <c r="J10" i="5" s="1"/>
  <c r="J12" i="5" s="1"/>
  <c r="I9" i="5"/>
  <c r="I10" i="5" s="1"/>
  <c r="I12" i="5" s="1"/>
  <c r="G10" i="5"/>
  <c r="G12" i="5" s="1"/>
  <c r="H9" i="5"/>
  <c r="H10" i="5" s="1"/>
  <c r="H12" i="5" s="1"/>
  <c r="F18" i="4"/>
  <c r="F20" i="4" s="1"/>
  <c r="F22" i="4" s="1"/>
  <c r="F24" i="4" s="1"/>
  <c r="F10" i="5"/>
  <c r="F12" i="5" s="1"/>
  <c r="F14" i="5" s="1"/>
  <c r="N27" i="2"/>
  <c r="N28" i="2" s="1"/>
  <c r="N29" i="2" s="1"/>
  <c r="O27" i="2"/>
  <c r="M27" i="2"/>
  <c r="M28" i="2" s="1"/>
  <c r="I27" i="2"/>
  <c r="I28" i="2" s="1"/>
  <c r="R27" i="2"/>
  <c r="R28" i="2" s="1"/>
  <c r="F27" i="2"/>
  <c r="F28" i="2" s="1"/>
  <c r="N16" i="5"/>
  <c r="N18" i="5" s="1"/>
  <c r="K16" i="5"/>
  <c r="K18" i="5" s="1"/>
  <c r="L16" i="5"/>
  <c r="L18" i="5" s="1"/>
  <c r="J16" i="5"/>
  <c r="J18" i="5" s="1"/>
  <c r="I16" i="5"/>
  <c r="I18" i="5" s="1"/>
  <c r="H16" i="5"/>
  <c r="H18" i="5" s="1"/>
  <c r="M16" i="5"/>
  <c r="M18" i="5" s="1"/>
  <c r="G16" i="5"/>
  <c r="G18" i="5" s="1"/>
  <c r="F16" i="5"/>
  <c r="F18" i="5" s="1"/>
  <c r="C16" i="5"/>
  <c r="C18" i="5" s="1"/>
  <c r="E16" i="5"/>
  <c r="E18" i="5" s="1"/>
  <c r="E10" i="5"/>
  <c r="E12" i="5" s="1"/>
  <c r="K18" i="4"/>
  <c r="K20" i="4" s="1"/>
  <c r="K22" i="4" s="1"/>
  <c r="K23" i="4" s="1"/>
  <c r="O18" i="4"/>
  <c r="O20" i="4" s="1"/>
  <c r="O22" i="4" s="1"/>
  <c r="O23" i="4" s="1"/>
  <c r="W18" i="4"/>
  <c r="W20" i="4" s="1"/>
  <c r="W22" i="4" s="1"/>
  <c r="W23" i="4" s="1"/>
  <c r="E18" i="4"/>
  <c r="E20" i="4" s="1"/>
  <c r="E22" i="4" s="1"/>
  <c r="E23" i="4" s="1"/>
  <c r="Y18" i="4"/>
  <c r="Y20" i="4" s="1"/>
  <c r="Y22" i="4" s="1"/>
  <c r="Y24" i="4" s="1"/>
  <c r="L18" i="4"/>
  <c r="L20" i="4" s="1"/>
  <c r="L22" i="4" s="1"/>
  <c r="L23" i="4" s="1"/>
  <c r="J18" i="4"/>
  <c r="J20" i="4" s="1"/>
  <c r="J22" i="4" s="1"/>
  <c r="J23" i="4" s="1"/>
  <c r="P18" i="4"/>
  <c r="P20" i="4" s="1"/>
  <c r="P22" i="4" s="1"/>
  <c r="P24" i="4" s="1"/>
  <c r="Q18" i="4"/>
  <c r="Q20" i="4" s="1"/>
  <c r="Q22" i="4" s="1"/>
  <c r="Q23" i="4" s="1"/>
  <c r="S18" i="4"/>
  <c r="S20" i="4" s="1"/>
  <c r="S22" i="4" s="1"/>
  <c r="S23" i="4" s="1"/>
  <c r="AA18" i="4"/>
  <c r="AA20" i="4" s="1"/>
  <c r="AA22" i="4" s="1"/>
  <c r="AA24" i="4" s="1"/>
  <c r="AB18" i="4"/>
  <c r="AB20" i="4" s="1"/>
  <c r="AB22" i="4" s="1"/>
  <c r="AB24" i="4" s="1"/>
  <c r="V18" i="4"/>
  <c r="V20" i="4" s="1"/>
  <c r="V22" i="4" s="1"/>
  <c r="V24" i="4" s="1"/>
  <c r="X18" i="4"/>
  <c r="X20" i="4" s="1"/>
  <c r="X22" i="4" s="1"/>
  <c r="X23" i="4" s="1"/>
  <c r="T20" i="4"/>
  <c r="T22" i="4" s="1"/>
  <c r="T24" i="4" s="1"/>
  <c r="I20" i="4"/>
  <c r="I22" i="4" s="1"/>
  <c r="I23" i="4" s="1"/>
  <c r="R20" i="4"/>
  <c r="R22" i="4" s="1"/>
  <c r="R23" i="4" s="1"/>
  <c r="U20" i="4"/>
  <c r="U22" i="4" s="1"/>
  <c r="U23" i="4" s="1"/>
  <c r="H20" i="4"/>
  <c r="H22" i="4" s="1"/>
  <c r="H24" i="4" s="1"/>
  <c r="M20" i="4"/>
  <c r="M22" i="4" s="1"/>
  <c r="M24" i="4" s="1"/>
  <c r="Z20" i="4"/>
  <c r="Z22" i="4" s="1"/>
  <c r="Z23" i="4" s="1"/>
  <c r="J20" i="1"/>
  <c r="J21" i="1"/>
  <c r="J23" i="1" s="1"/>
  <c r="I21" i="1"/>
  <c r="I23" i="1" s="1"/>
  <c r="I20" i="1"/>
  <c r="R21" i="2"/>
  <c r="N21" i="2"/>
  <c r="D44" i="2" s="1"/>
  <c r="F21" i="2"/>
  <c r="C40" i="2" s="1"/>
  <c r="E21" i="2"/>
  <c r="D21" i="2"/>
  <c r="C39" i="2" s="1"/>
  <c r="O21" i="2"/>
  <c r="E40" i="2" s="1"/>
  <c r="C21" i="2"/>
  <c r="L21" i="2"/>
  <c r="D42" i="2" s="1"/>
  <c r="K21" i="2"/>
  <c r="D41" i="2" s="1"/>
  <c r="M21" i="2"/>
  <c r="D43" i="2" s="1"/>
  <c r="I21" i="2"/>
  <c r="D39" i="2" s="1"/>
  <c r="H21" i="2"/>
  <c r="C41" i="2" s="1"/>
  <c r="T21" i="2"/>
  <c r="J21" i="2"/>
  <c r="D40" i="2" s="1"/>
  <c r="S21" i="2"/>
  <c r="Q21" i="2"/>
  <c r="E44" i="2" s="1"/>
  <c r="P21" i="2"/>
  <c r="E42" i="2" s="1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D20" i="6" l="1"/>
  <c r="F20" i="6"/>
  <c r="BN24" i="4"/>
  <c r="BN23" i="4"/>
  <c r="BR24" i="4"/>
  <c r="AC24" i="4"/>
  <c r="BJ24" i="4"/>
  <c r="BC23" i="4"/>
  <c r="E31" i="2"/>
  <c r="AW24" i="4"/>
  <c r="BP23" i="4"/>
  <c r="AN24" i="4"/>
  <c r="BL24" i="4"/>
  <c r="BQ24" i="4"/>
  <c r="AU23" i="4"/>
  <c r="BM23" i="4"/>
  <c r="AV23" i="4"/>
  <c r="AP24" i="4"/>
  <c r="AQ23" i="4"/>
  <c r="BE24" i="4"/>
  <c r="BO24" i="4"/>
  <c r="BO23" i="4"/>
  <c r="BK24" i="4"/>
  <c r="BK23" i="4"/>
  <c r="BG24" i="4"/>
  <c r="BG23" i="4"/>
  <c r="BH24" i="4"/>
  <c r="BH23" i="4"/>
  <c r="BF24" i="4"/>
  <c r="BF23" i="4"/>
  <c r="BI24" i="4"/>
  <c r="BI23" i="4"/>
  <c r="AY24" i="4"/>
  <c r="AY23" i="4"/>
  <c r="AZ24" i="4"/>
  <c r="AZ23" i="4"/>
  <c r="AX23" i="4"/>
  <c r="AX24" i="4"/>
  <c r="BA23" i="4"/>
  <c r="BA24" i="4"/>
  <c r="AS23" i="4"/>
  <c r="AS24" i="4"/>
  <c r="AR23" i="4"/>
  <c r="AR24" i="4"/>
  <c r="AT23" i="4"/>
  <c r="AT24" i="4"/>
  <c r="E33" i="2"/>
  <c r="I29" i="2"/>
  <c r="I33" i="2" s="1"/>
  <c r="F29" i="2"/>
  <c r="F32" i="2" s="1"/>
  <c r="R29" i="2"/>
  <c r="R34" i="2" s="1"/>
  <c r="O28" i="2"/>
  <c r="O29" i="2" s="1"/>
  <c r="T28" i="2"/>
  <c r="T29" i="2" s="1"/>
  <c r="M29" i="2"/>
  <c r="M33" i="2" s="1"/>
  <c r="E32" i="2"/>
  <c r="F21" i="5"/>
  <c r="N21" i="5"/>
  <c r="M21" i="5"/>
  <c r="C21" i="5"/>
  <c r="C34" i="2"/>
  <c r="T23" i="4"/>
  <c r="S24" i="4"/>
  <c r="AB23" i="4"/>
  <c r="AA23" i="4"/>
  <c r="L24" i="4"/>
  <c r="V23" i="4"/>
  <c r="P23" i="4"/>
  <c r="O24" i="4"/>
  <c r="X24" i="4"/>
  <c r="Q24" i="4"/>
  <c r="W24" i="4"/>
  <c r="M23" i="4"/>
  <c r="U24" i="4"/>
  <c r="Z24" i="4"/>
  <c r="R24" i="4"/>
  <c r="H23" i="4"/>
  <c r="G23" i="4"/>
  <c r="I24" i="4"/>
  <c r="J24" i="4"/>
  <c r="F23" i="4"/>
  <c r="K24" i="4"/>
  <c r="Y23" i="4"/>
  <c r="N23" i="4"/>
  <c r="E24" i="4"/>
  <c r="J14" i="5"/>
  <c r="J21" i="5"/>
  <c r="L14" i="5"/>
  <c r="L21" i="5"/>
  <c r="E14" i="5"/>
  <c r="E21" i="5"/>
  <c r="H14" i="5"/>
  <c r="H21" i="5"/>
  <c r="K14" i="5"/>
  <c r="K21" i="5"/>
  <c r="G14" i="5"/>
  <c r="G21" i="5"/>
  <c r="I14" i="5"/>
  <c r="I21" i="5"/>
  <c r="D14" i="5"/>
  <c r="D21" i="5"/>
  <c r="F13" i="1"/>
  <c r="F14" i="1" s="1"/>
  <c r="E13" i="1"/>
  <c r="E14" i="1" s="1"/>
  <c r="J25" i="1"/>
  <c r="J29" i="1"/>
  <c r="I29" i="1"/>
  <c r="I25" i="1"/>
  <c r="C31" i="2"/>
  <c r="C33" i="2"/>
  <c r="D34" i="2"/>
  <c r="D33" i="2"/>
  <c r="K32" i="2"/>
  <c r="D31" i="2"/>
  <c r="L32" i="2"/>
  <c r="E34" i="2"/>
  <c r="L34" i="2"/>
  <c r="L31" i="2"/>
  <c r="L33" i="2"/>
  <c r="H31" i="2"/>
  <c r="H33" i="2"/>
  <c r="N33" i="2"/>
  <c r="D32" i="2"/>
  <c r="H32" i="2"/>
  <c r="J34" i="2"/>
  <c r="N31" i="2"/>
  <c r="S34" i="2"/>
  <c r="K34" i="2"/>
  <c r="S32" i="2"/>
  <c r="G32" i="2"/>
  <c r="K33" i="2"/>
  <c r="S31" i="2"/>
  <c r="K31" i="2"/>
  <c r="S33" i="2"/>
  <c r="H34" i="2"/>
  <c r="J33" i="2"/>
  <c r="N32" i="2"/>
  <c r="G31" i="2"/>
  <c r="I34" i="2"/>
  <c r="J32" i="2"/>
  <c r="N34" i="2"/>
  <c r="G33" i="2"/>
  <c r="J31" i="2"/>
  <c r="P32" i="2"/>
  <c r="P33" i="2"/>
  <c r="P31" i="2"/>
  <c r="P34" i="2"/>
  <c r="Q32" i="2"/>
  <c r="Q31" i="2"/>
  <c r="Q33" i="2"/>
  <c r="Q34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R31" i="2" l="1"/>
  <c r="R33" i="2"/>
  <c r="R32" i="2"/>
  <c r="I31" i="2"/>
  <c r="I32" i="2"/>
  <c r="F31" i="2"/>
  <c r="F34" i="2"/>
  <c r="F33" i="2"/>
  <c r="M31" i="2"/>
  <c r="T34" i="2"/>
  <c r="T33" i="2"/>
  <c r="T32" i="2"/>
  <c r="T31" i="2"/>
  <c r="O33" i="2"/>
  <c r="O32" i="2"/>
  <c r="O34" i="2"/>
  <c r="O31" i="2"/>
  <c r="M32" i="2"/>
  <c r="M34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J41" i="1" l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<sst xmlns="http://schemas.openxmlformats.org/spreadsheetml/2006/main" count="310" uniqueCount="192">
  <si>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</si>
  <si>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</si>
  <si>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</si>
  <si>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</si>
  <si>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</si>
  <si>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</si>
  <si>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</si>
  <si>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</si>
  <si>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</si>
  <si>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</si>
  <si>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</si>
  <si>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</si>
  <si>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</si>
  <si>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</si>
  <si>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</si>
  <si>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</si>
  <si>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</si>
  <si>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</si>
  <si>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</si>
  <si>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</si>
  <si>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</si>
  <si>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</si>
  <si>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</si>
  <si>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</si>
  <si>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</si>
  <si>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</si>
  <si>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</si>
  <si>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</si>
  <si>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</si>
  <si>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</si>
  <si>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</si>
  <si>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</si>
  <si>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</si>
  <si>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</si>
  <si>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</si>
  <si>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</si>
  <si>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</si>
  <si>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</si>
  <si>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</si>
  <si>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</si>
  <si>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</si>
  <si>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</si>
  <si>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</si>
  <si>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</si>
  <si>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</si>
  <si>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</si>
  <si>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</si>
  <si>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</si>
  <si>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</si>
  <si>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</si>
  <si>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</si>
  <si>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</si>
  <si>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</si>
  <si>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</si>
  <si>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</si>
  <si>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</si>
  <si>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</si>
  <si>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</si>
  <si>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</si>
  <si>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</si>
  <si>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</si>
  <si>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</si>
  <si>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</si>
  <si>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</si>
  <si>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</si>
  <si>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</si>
  <si>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</si>
  <si>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</si>
  <si>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</si>
  <si>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</si>
  <si>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</si>
  <si>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</si>
  <si>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</si>
  <si>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</si>
  <si>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</si>
  <si>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</si>
  <si>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</si>
  <si>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</si>
  <si>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</si>
  <si>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</si>
  <si>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</si>
  <si>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</si>
  <si>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</si>
  <si>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</si>
  <si>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</si>
  <si>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</si>
  <si>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</si>
  <si>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</si>
  <si>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</si>
  <si>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</si>
  <si>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</si>
  <si>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</si>
  <si>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</si>
  <si>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</si>
  <si>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</si>
  <si>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</si>
  <si>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</si>
  <si>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</si>
  <si>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</si>
  <si>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</si>
  <si>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</si>
  <si>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</si>
  <si>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</si>
  <si>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</si>
  <si>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</si>
  <si>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</si>
  <si>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</si>
  <si>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</si>
  <si>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</si>
  <si>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</si>
  <si>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</si>
  <si>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</si>
  <si>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</si>
  <si>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</si>
  <si>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</si>
  <si>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</si>
  <si>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</si>
  <si>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</si>
  <si>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</si>
  <si>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</si>
  <si>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</si>
  <si>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</si>
  <si>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</si>
  <si>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</si>
  <si>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</si>
  <si>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</si>
  <si>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</si>
  <si>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</si>
  <si>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</si>
  <si>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</si>
  <si>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</si>
  <si>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</si>
  <si>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</si>
  <si>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</si>
  <si>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</si>
  <si>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</si>
  <si>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</si>
  <si>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</si>
  <si>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</si>
  <si>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</si>
  <si>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</si>
  <si>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</si>
  <si>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</si>
  <si>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</si>
  <si>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</si>
  <si>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</si>
  <si>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</si>
  <si>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</si>
  <si>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</si>
  <si>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</si>
  <si>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</si>
  <si>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</si>
  <si>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</si>
  <si>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</si>
  <si>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</si>
  <si>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</si>
  <si>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</si>
  <si>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</si>
  <si>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</si>
  <si>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</si>
  <si>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</si>
  <si>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</si>
  <si>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</si>
  <si>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</si>
  <si>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</si>
  <si>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</si>
  <si>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</si>
  <si>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</si>
  <si>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</si>
  <si>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</si>
  <si>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</si>
  <si>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</si>
  <si>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</si>
  <si>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</si>
  <si>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</si>
  <si>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</si>
  <si>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</si>
  <si>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</si>
  <si>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</si>
  <si>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</si>
  <si>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</si>
  <si>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</si>
  <si>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</si>
  <si>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</si>
  <si>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</si>
  <si>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</si>
  <si>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</si>
  <si>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</si>
  <si>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elevation adjusted eff</t>
  </si>
  <si>
    <t>required pointing accuracy</t>
  </si>
  <si>
    <t xml:space="preserve">need to consider elevations greater than 30 deg to get 90%+ efficiency </t>
  </si>
  <si>
    <t>this graph not accounted for in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</si>
</sst>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9" fontId="0" fillId="0" borderId="7" xfId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Analysis'!$D$20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Analysis'!$E$20:$BO$20</c:f>
              <c:numCache>
                <c:formatCode>0.00</c:formatCode>
                <c:ptCount val="63"/>
                <c:pt idx="0">
                  <c:v>0.56724714958307332</c:v>
                </c:pt>
                <c:pt idx="1">
                  <c:v>0.85087072437460998</c:v>
                </c:pt>
                <c:pt idx="2">
                  <c:v>1.1344942991661466</c:v>
                </c:pt>
                <c:pt idx="3">
                  <c:v>1.4181178739576832</c:v>
                </c:pt>
                <c:pt idx="4">
                  <c:v>1.70174144874922</c:v>
                </c:pt>
                <c:pt idx="5">
                  <c:v>1.9853650235407569</c:v>
                </c:pt>
                <c:pt idx="6">
                  <c:v>2.2689885983322933</c:v>
                </c:pt>
                <c:pt idx="7">
                  <c:v>2.5526121731238303</c:v>
                </c:pt>
                <c:pt idx="8">
                  <c:v>2.8362357479153664</c:v>
                </c:pt>
                <c:pt idx="9">
                  <c:v>3.1198593227069034</c:v>
                </c:pt>
                <c:pt idx="10">
                  <c:v>3.4034828974984399</c:v>
                </c:pt>
                <c:pt idx="11">
                  <c:v>3.6871064722899769</c:v>
                </c:pt>
                <c:pt idx="12">
                  <c:v>3.9707300470815139</c:v>
                </c:pt>
                <c:pt idx="13">
                  <c:v>4.2543536218730509</c:v>
                </c:pt>
                <c:pt idx="14">
                  <c:v>4.5379771966645865</c:v>
                </c:pt>
                <c:pt idx="15">
                  <c:v>4.8216007714561231</c:v>
                </c:pt>
                <c:pt idx="16">
                  <c:v>5.1052243462476605</c:v>
                </c:pt>
                <c:pt idx="17">
                  <c:v>5.3888479210391962</c:v>
                </c:pt>
                <c:pt idx="18">
                  <c:v>5.6724714958307327</c:v>
                </c:pt>
                <c:pt idx="19">
                  <c:v>5.9560950706222702</c:v>
                </c:pt>
                <c:pt idx="20">
                  <c:v>6.2397186454138067</c:v>
                </c:pt>
                <c:pt idx="21">
                  <c:v>6.5233422202053433</c:v>
                </c:pt>
                <c:pt idx="22">
                  <c:v>6.8069657949968798</c:v>
                </c:pt>
                <c:pt idx="23">
                  <c:v>7.0905893697884164</c:v>
                </c:pt>
                <c:pt idx="24">
                  <c:v>7.3742129445799538</c:v>
                </c:pt>
                <c:pt idx="25">
                  <c:v>7.6578365193714903</c:v>
                </c:pt>
                <c:pt idx="26">
                  <c:v>7.9414600941630278</c:v>
                </c:pt>
                <c:pt idx="27">
                  <c:v>8.2250836689545643</c:v>
                </c:pt>
                <c:pt idx="28">
                  <c:v>8.5087072437461018</c:v>
                </c:pt>
                <c:pt idx="29">
                  <c:v>8.7923308185376374</c:v>
                </c:pt>
                <c:pt idx="30">
                  <c:v>9.0759543933291731</c:v>
                </c:pt>
                <c:pt idx="31">
                  <c:v>9.3595779681207105</c:v>
                </c:pt>
                <c:pt idx="32">
                  <c:v>9.6432015429122462</c:v>
                </c:pt>
                <c:pt idx="33">
                  <c:v>9.9268251177037836</c:v>
                </c:pt>
                <c:pt idx="34">
                  <c:v>10.210448692495321</c:v>
                </c:pt>
                <c:pt idx="35">
                  <c:v>10.494072267286858</c:v>
                </c:pt>
                <c:pt idx="36">
                  <c:v>10.777695842078392</c:v>
                </c:pt>
                <c:pt idx="37">
                  <c:v>11.061319416869928</c:v>
                </c:pt>
                <c:pt idx="38">
                  <c:v>11.344942991661465</c:v>
                </c:pt>
                <c:pt idx="39">
                  <c:v>11.628566566453003</c:v>
                </c:pt>
                <c:pt idx="40">
                  <c:v>11.91219014124454</c:v>
                </c:pt>
                <c:pt idx="41">
                  <c:v>12.195813716036078</c:v>
                </c:pt>
                <c:pt idx="42">
                  <c:v>12.479437290827613</c:v>
                </c:pt>
                <c:pt idx="43">
                  <c:v>12.763060865619151</c:v>
                </c:pt>
                <c:pt idx="44">
                  <c:v>13.046684440410687</c:v>
                </c:pt>
                <c:pt idx="45">
                  <c:v>13.330308015202222</c:v>
                </c:pt>
                <c:pt idx="46">
                  <c:v>13.61393158999376</c:v>
                </c:pt>
                <c:pt idx="47">
                  <c:v>13.897555164785297</c:v>
                </c:pt>
                <c:pt idx="48">
                  <c:v>14.181178739576833</c:v>
                </c:pt>
                <c:pt idx="49">
                  <c:v>14.46480231436837</c:v>
                </c:pt>
                <c:pt idx="50">
                  <c:v>14.748425889159908</c:v>
                </c:pt>
                <c:pt idx="51">
                  <c:v>15.032049463951445</c:v>
                </c:pt>
                <c:pt idx="52">
                  <c:v>15.315673038742981</c:v>
                </c:pt>
                <c:pt idx="53">
                  <c:v>15.599296613534518</c:v>
                </c:pt>
                <c:pt idx="54">
                  <c:v>15.882920188326056</c:v>
                </c:pt>
                <c:pt idx="55">
                  <c:v>16.166543763117591</c:v>
                </c:pt>
                <c:pt idx="56">
                  <c:v>16.450167337909129</c:v>
                </c:pt>
                <c:pt idx="57">
                  <c:v>16.733790912700666</c:v>
                </c:pt>
                <c:pt idx="58">
                  <c:v>17.017414487492204</c:v>
                </c:pt>
                <c:pt idx="59">
                  <c:v>17.301038062283737</c:v>
                </c:pt>
                <c:pt idx="60">
                  <c:v>17.584661637075275</c:v>
                </c:pt>
                <c:pt idx="61">
                  <c:v>17.868285211866812</c:v>
                </c:pt>
                <c:pt idx="62">
                  <c:v>18.151908786658346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Analysis'!$D$22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Analysis'!$E$22:$BO$22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Sizing'!$B$14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Sizing'!$C$14:$F$14</c:f>
              <c:numCache>
                <c:formatCode>General</c:formatCode>
                <c:ptCount val="4"/>
                <c:pt idx="0">
                  <c:v>184.01206636500754</c:v>
                </c:pt>
                <c:pt idx="1">
                  <c:v>368.02413273001508</c:v>
                </c:pt>
                <c:pt idx="2">
                  <c:v>552.03619909502254</c:v>
                </c:pt>
                <c:pt idx="3">
                  <c:v>736.04826546003017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Sizing'!$B$21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Sizing'!$C$21:$F$21</c:f>
              <c:numCache>
                <c:formatCode>General</c:formatCode>
                <c:ptCount val="4"/>
                <c:pt idx="0">
                  <c:v>27.876554846264796</c:v>
                </c:pt>
                <c:pt idx="1">
                  <c:v>55.753109692529591</c:v>
                </c:pt>
                <c:pt idx="2">
                  <c:v>83.629664538794387</c:v>
                </c:pt>
                <c:pt idx="3">
                  <c:v>111.50621938505918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analysis'!$C$39:$C$44</c:f>
              <c:numCache>
                <c:formatCode>0</c:formatCode>
                <c:ptCount val="6"/>
                <c:pt idx="0">
                  <c:v>413</c:v>
                </c:pt>
                <c:pt idx="1">
                  <c:v>826</c:v>
                </c:pt>
                <c:pt idx="2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analysis'!$D$39:$D$44</c:f>
              <c:numCache>
                <c:formatCode>0</c:formatCode>
                <c:ptCount val="6"/>
                <c:pt idx="0">
                  <c:v>258.5</c:v>
                </c:pt>
                <c:pt idx="1">
                  <c:v>517</c:v>
                </c:pt>
                <c:pt idx="2">
                  <c:v>775.5</c:v>
                </c:pt>
                <c:pt idx="3">
                  <c:v>1034</c:v>
                </c:pt>
                <c:pt idx="4">
                  <c:v>1292.5</c:v>
                </c:pt>
                <c:pt idx="5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analysis'!$E$39:$E$44</c:f>
              <c:numCache>
                <c:formatCode>0</c:formatCode>
                <c:ptCount val="6"/>
                <c:pt idx="1">
                  <c:v>362.5</c:v>
                </c:pt>
                <c:pt idx="3">
                  <c:v>725</c:v>
                </c:pt>
                <c:pt idx="5">
                  <c:v>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25131513365683"/>
          <c:y val="0.3452115181438169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25</xdr:row>
      <xdr:rowOff>42332</xdr:rowOff>
    </xdr:from>
    <xdr:to>
      <xdr:col>15</xdr:col>
      <xdr:colOff>397934</xdr:colOff>
      <xdr:row>44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22</xdr:row>
      <xdr:rowOff>71120</xdr:rowOff>
    </xdr:from>
    <xdr:to>
      <xdr:col>15</xdr:col>
      <xdr:colOff>467360</xdr:colOff>
      <xdr:row>46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375920</xdr:colOff>
      <xdr:row>34</xdr:row>
      <xdr:rowOff>69850</xdr:rowOff>
    </xdr:from>
    <xdr:to>
      <xdr:col>21</xdr:col>
      <xdr:colOff>467360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0.03105</cdr:x>
      <cdr:y>0.25455</cdr:y>
    </cdr:from>
    <cdr:to>
      <cdr:x>0.5187</cdr:x>
      <cdr:y>0.32794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79209" y="1607014"/>
          <a:ext cx="4384754" cy="46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38</xdr:row>
      <xdr:rowOff>152400</xdr:rowOff>
    </xdr:from>
    <xdr:to>
      <xdr:col>10</xdr:col>
      <xdr:colOff>172720</xdr:colOff>
      <xdr:row>42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9</xdr:col>
      <xdr:colOff>30480</xdr:colOff>
      <xdr:row>11</xdr:row>
      <xdr:rowOff>82066</xdr:rowOff>
    </xdr:from>
    <xdr:to>
      <xdr:col>11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609600</xdr:colOff>
      <xdr:row>0</xdr:row>
      <xdr:rowOff>0</xdr:rowOff>
    </xdr:from>
    <xdr:to>
      <xdr:col>21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</xdr:colOff>
      <xdr:row>7</xdr:row>
      <xdr:rowOff>175602</xdr:rowOff>
    </xdr:from>
    <xdr:to>
      <xdr:col>14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12</xdr:col>
      <xdr:colOff>81280</xdr:colOff>
      <xdr:row>15</xdr:row>
      <xdr:rowOff>186112</xdr:rowOff>
    </xdr:from>
    <xdr:to>
      <xdr:col>15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9</xdr:col>
      <xdr:colOff>422174</xdr:colOff>
      <xdr:row>19</xdr:row>
      <xdr:rowOff>162560</xdr:rowOff>
    </xdr:from>
    <xdr:to>
      <xdr:col>15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325120</xdr:colOff>
      <xdr:row>38</xdr:row>
      <xdr:rowOff>142240</xdr:rowOff>
    </xdr:from>
    <xdr:to>
      <xdr:col>10</xdr:col>
      <xdr:colOff>30480</xdr:colOff>
      <xdr:row>41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9</xdr:col>
      <xdr:colOff>558800</xdr:colOff>
      <xdr:row>40</xdr:row>
      <xdr:rowOff>20320</xdr:rowOff>
    </xdr:from>
    <xdr:to>
      <xdr:col>12</xdr:col>
      <xdr:colOff>802640</xdr:colOff>
      <xdr:row>41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81280</xdr:colOff>
      <xdr:row>41</xdr:row>
      <xdr:rowOff>101600</xdr:rowOff>
    </xdr:from>
    <xdr:to>
      <xdr:col>9</xdr:col>
      <xdr:colOff>71120</xdr:colOff>
      <xdr:row>45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5425440" y="775208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8</xdr:col>
      <xdr:colOff>223520</xdr:colOff>
      <xdr:row>42</xdr:row>
      <xdr:rowOff>60960</xdr:rowOff>
    </xdr:from>
    <xdr:to>
      <xdr:col>8</xdr:col>
      <xdr:colOff>751840</xdr:colOff>
      <xdr:row>44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5567680" y="790448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BR24"/>
  <sheetViews>
    <sheetView zoomScale="150" zoomScaleNormal="150" workbookViewId="0">
      <selection activeCell="AL34" sqref="AL34"/>
    </sheetView>
  </sheetViews>
  <sheetFormatPr baseColWidth="10" defaultRowHeight="15" x14ac:dyDescent="0.2"/>
  <cols>
    <col min="5" max="9" width="4.6640625" bestFit="1" customWidth="1"/>
    <col min="10" max="63" width="5.6640625" bestFit="1" customWidth="1"/>
    <col min="64" max="70" width="6.6640625" bestFit="1" customWidth="1"/>
  </cols>
  <sheetData>
    <row r="1" spans="1:70" ht="17" thickBot="1" x14ac:dyDescent="0.25">
      <c r="A1" s="22" t="s">
        <v>79</v>
      </c>
      <c r="B1" s="22" t="s">
        <v>80</v>
      </c>
      <c r="C1" s="22" t="s">
        <v>81</v>
      </c>
      <c r="D1" s="22" t="s">
        <v>82</v>
      </c>
      <c r="G1" s="50" t="s">
        <v>153</v>
      </c>
      <c r="H1" s="50"/>
      <c r="I1" s="50"/>
      <c r="J1" s="50"/>
      <c r="K1" s="46">
        <v>1300</v>
      </c>
      <c r="L1" s="23" t="s">
        <v>8</v>
      </c>
      <c r="M1" s="25"/>
      <c r="N1" s="25"/>
      <c r="O1" s="45"/>
      <c r="P1" s="23">
        <v>402</v>
      </c>
      <c r="Q1" s="23">
        <v>1300</v>
      </c>
      <c r="R1" s="23" t="s">
        <v>152</v>
      </c>
    </row>
    <row r="2" spans="1:70" ht="17" thickBot="1" x14ac:dyDescent="0.25">
      <c r="A2" s="24" t="s">
        <v>76</v>
      </c>
      <c r="B2" s="23" t="s">
        <v>83</v>
      </c>
      <c r="C2" s="23" t="s">
        <v>84</v>
      </c>
      <c r="D2" s="23" t="s">
        <v>85</v>
      </c>
      <c r="G2" s="50" t="s">
        <v>147</v>
      </c>
      <c r="H2" s="50"/>
      <c r="I2" s="50"/>
      <c r="J2" s="50"/>
      <c r="K2" s="46">
        <v>250</v>
      </c>
      <c r="L2" s="23" t="s">
        <v>8</v>
      </c>
      <c r="O2" s="45"/>
      <c r="P2" s="23">
        <v>250</v>
      </c>
      <c r="Q2" s="23">
        <v>148</v>
      </c>
      <c r="R2" s="23" t="s">
        <v>8</v>
      </c>
    </row>
    <row r="3" spans="1:70" ht="17" thickBot="1" x14ac:dyDescent="0.25">
      <c r="A3" s="24" t="s">
        <v>78</v>
      </c>
      <c r="B3" s="23" t="s">
        <v>84</v>
      </c>
      <c r="C3" s="23" t="s">
        <v>86</v>
      </c>
      <c r="D3" s="23" t="s">
        <v>87</v>
      </c>
      <c r="E3" s="28"/>
      <c r="G3" s="50" t="s">
        <v>148</v>
      </c>
      <c r="H3" s="50"/>
      <c r="I3" s="50"/>
      <c r="J3" s="50"/>
      <c r="K3" s="46">
        <v>61</v>
      </c>
      <c r="L3" s="23" t="s">
        <v>8</v>
      </c>
      <c r="O3" s="45"/>
      <c r="P3" s="44">
        <v>61</v>
      </c>
      <c r="Q3" s="23">
        <v>21</v>
      </c>
      <c r="R3" s="23" t="s">
        <v>8</v>
      </c>
    </row>
    <row r="4" spans="1:70" ht="17" thickBot="1" x14ac:dyDescent="0.25">
      <c r="A4" s="24" t="s">
        <v>77</v>
      </c>
      <c r="B4" s="23" t="s">
        <v>85</v>
      </c>
      <c r="C4" s="23" t="s">
        <v>88</v>
      </c>
      <c r="D4" s="23" t="s">
        <v>89</v>
      </c>
      <c r="E4" s="25"/>
      <c r="G4" s="50" t="s">
        <v>149</v>
      </c>
      <c r="H4" s="50"/>
      <c r="I4" s="50"/>
      <c r="J4" s="50"/>
      <c r="K4" s="46">
        <v>6</v>
      </c>
      <c r="L4" s="23" t="s">
        <v>6</v>
      </c>
      <c r="O4" s="45"/>
      <c r="P4" s="44">
        <v>1</v>
      </c>
      <c r="Q4" s="23">
        <v>1</v>
      </c>
      <c r="R4" s="23" t="s">
        <v>6</v>
      </c>
      <c r="T4">
        <f>6/(0.5^2)</f>
        <v>24</v>
      </c>
    </row>
    <row r="5" spans="1:70" ht="17" thickBot="1" x14ac:dyDescent="0.25">
      <c r="A5" s="24" t="s">
        <v>101</v>
      </c>
      <c r="B5" s="23">
        <v>83</v>
      </c>
      <c r="C5" s="23">
        <v>325</v>
      </c>
      <c r="D5" s="23">
        <v>450</v>
      </c>
      <c r="E5" s="25"/>
    </row>
    <row r="6" spans="1:70" ht="16" thickBot="1" x14ac:dyDescent="0.25"/>
    <row r="7" spans="1:70" x14ac:dyDescent="0.2">
      <c r="D7" s="26" t="s">
        <v>102</v>
      </c>
      <c r="E7">
        <v>40</v>
      </c>
      <c r="F7">
        <v>60</v>
      </c>
      <c r="G7" s="38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 s="38">
        <v>500</v>
      </c>
      <c r="AC7">
        <v>520</v>
      </c>
      <c r="AD7">
        <v>540</v>
      </c>
      <c r="AE7">
        <v>560</v>
      </c>
      <c r="AF7">
        <v>580</v>
      </c>
      <c r="AG7">
        <v>600</v>
      </c>
      <c r="AH7">
        <v>620</v>
      </c>
      <c r="AI7">
        <v>640</v>
      </c>
      <c r="AJ7">
        <v>660</v>
      </c>
      <c r="AK7">
        <v>680</v>
      </c>
      <c r="AL7">
        <v>700</v>
      </c>
      <c r="AM7">
        <v>720</v>
      </c>
      <c r="AN7">
        <v>740</v>
      </c>
      <c r="AO7">
        <v>760</v>
      </c>
      <c r="AP7">
        <v>780</v>
      </c>
      <c r="AQ7">
        <v>800</v>
      </c>
      <c r="AR7">
        <v>820</v>
      </c>
      <c r="AS7">
        <v>840</v>
      </c>
      <c r="AT7">
        <v>860</v>
      </c>
      <c r="AU7">
        <v>880</v>
      </c>
      <c r="AV7">
        <v>900</v>
      </c>
      <c r="AW7">
        <v>920</v>
      </c>
      <c r="AX7">
        <v>940</v>
      </c>
      <c r="AY7">
        <v>960</v>
      </c>
      <c r="AZ7">
        <v>980</v>
      </c>
      <c r="BA7">
        <v>1000</v>
      </c>
      <c r="BB7">
        <v>1020</v>
      </c>
      <c r="BC7">
        <v>1040</v>
      </c>
      <c r="BD7">
        <v>1060</v>
      </c>
      <c r="BE7">
        <v>1080</v>
      </c>
      <c r="BF7">
        <v>1100</v>
      </c>
      <c r="BG7">
        <v>1120</v>
      </c>
      <c r="BH7">
        <v>1140</v>
      </c>
      <c r="BI7">
        <v>1160</v>
      </c>
      <c r="BJ7">
        <v>1180</v>
      </c>
      <c r="BK7">
        <v>1200</v>
      </c>
      <c r="BL7">
        <v>1220</v>
      </c>
      <c r="BM7">
        <v>1240</v>
      </c>
      <c r="BN7">
        <v>1260</v>
      </c>
      <c r="BO7">
        <v>1280</v>
      </c>
      <c r="BP7">
        <v>1300</v>
      </c>
      <c r="BQ7">
        <v>1320</v>
      </c>
      <c r="BR7">
        <v>1340</v>
      </c>
    </row>
    <row r="8" spans="1:70" x14ac:dyDescent="0.2">
      <c r="D8" s="26" t="s">
        <v>95</v>
      </c>
      <c r="E8" s="1">
        <f t="shared" ref="E8:AB8" si="0">E7*24/1000</f>
        <v>0.96</v>
      </c>
      <c r="F8" s="1">
        <f t="shared" si="0"/>
        <v>1.44</v>
      </c>
      <c r="G8" s="39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39">
        <f t="shared" si="0"/>
        <v>12</v>
      </c>
      <c r="AC8" s="1">
        <f t="shared" ref="AC8:AN8" si="1">AC7*24/1000</f>
        <v>12.48</v>
      </c>
      <c r="AD8" s="1">
        <f t="shared" si="1"/>
        <v>12.96</v>
      </c>
      <c r="AE8" s="1">
        <f t="shared" si="1"/>
        <v>13.44</v>
      </c>
      <c r="AF8" s="1">
        <f t="shared" si="1"/>
        <v>13.92</v>
      </c>
      <c r="AG8" s="1">
        <f t="shared" si="1"/>
        <v>14.4</v>
      </c>
      <c r="AH8" s="1">
        <f t="shared" si="1"/>
        <v>14.88</v>
      </c>
      <c r="AI8" s="1">
        <f t="shared" si="1"/>
        <v>15.36</v>
      </c>
      <c r="AJ8" s="1">
        <f t="shared" si="1"/>
        <v>15.84</v>
      </c>
      <c r="AK8" s="1">
        <f t="shared" si="1"/>
        <v>16.32</v>
      </c>
      <c r="AL8" s="1">
        <f t="shared" si="1"/>
        <v>16.8</v>
      </c>
      <c r="AM8" s="1">
        <f t="shared" si="1"/>
        <v>17.28</v>
      </c>
      <c r="AN8" s="1">
        <f t="shared" si="1"/>
        <v>17.760000000000002</v>
      </c>
      <c r="AO8" s="1">
        <f t="shared" ref="AO8:AY8" si="2">AO7*24/1000</f>
        <v>18.239999999999998</v>
      </c>
      <c r="AP8" s="1">
        <f t="shared" si="2"/>
        <v>18.72</v>
      </c>
      <c r="AQ8" s="1">
        <f t="shared" si="2"/>
        <v>19.2</v>
      </c>
      <c r="AR8" s="1">
        <f t="shared" si="2"/>
        <v>19.68</v>
      </c>
      <c r="AS8" s="1">
        <f t="shared" si="2"/>
        <v>20.16</v>
      </c>
      <c r="AT8" s="1">
        <f t="shared" si="2"/>
        <v>20.64</v>
      </c>
      <c r="AU8" s="1">
        <f t="shared" si="2"/>
        <v>21.12</v>
      </c>
      <c r="AV8" s="1">
        <f t="shared" si="2"/>
        <v>21.6</v>
      </c>
      <c r="AW8" s="1">
        <f t="shared" si="2"/>
        <v>22.08</v>
      </c>
      <c r="AX8" s="1">
        <f t="shared" si="2"/>
        <v>22.56</v>
      </c>
      <c r="AY8" s="1">
        <f t="shared" si="2"/>
        <v>23.04</v>
      </c>
      <c r="AZ8" s="1">
        <f t="shared" ref="AZ8:BB8" si="3">AZ7*24/1000</f>
        <v>23.52</v>
      </c>
      <c r="BA8" s="1">
        <f t="shared" si="3"/>
        <v>24</v>
      </c>
      <c r="BB8" s="1">
        <f t="shared" si="3"/>
        <v>24.48</v>
      </c>
      <c r="BC8" s="1">
        <f t="shared" ref="BC8:BL8" si="4">BC7*24/1000</f>
        <v>24.96</v>
      </c>
      <c r="BD8" s="1">
        <f t="shared" si="4"/>
        <v>25.44</v>
      </c>
      <c r="BE8" s="1">
        <f t="shared" si="4"/>
        <v>25.92</v>
      </c>
      <c r="BF8" s="1">
        <f t="shared" si="4"/>
        <v>26.4</v>
      </c>
      <c r="BG8" s="1">
        <f t="shared" si="4"/>
        <v>26.88</v>
      </c>
      <c r="BH8" s="1">
        <f t="shared" si="4"/>
        <v>27.36</v>
      </c>
      <c r="BI8" s="1">
        <f t="shared" si="4"/>
        <v>27.84</v>
      </c>
      <c r="BJ8" s="1">
        <f t="shared" si="4"/>
        <v>28.32</v>
      </c>
      <c r="BK8" s="1">
        <f t="shared" si="4"/>
        <v>28.8</v>
      </c>
      <c r="BL8" s="1">
        <f t="shared" si="4"/>
        <v>29.28</v>
      </c>
      <c r="BM8" s="1">
        <f t="shared" ref="BM8:BQ8" si="5">BM7*24/1000</f>
        <v>29.76</v>
      </c>
      <c r="BN8" s="1">
        <f t="shared" si="5"/>
        <v>30.24</v>
      </c>
      <c r="BO8" s="1">
        <f t="shared" si="5"/>
        <v>30.72</v>
      </c>
      <c r="BP8" s="1">
        <f t="shared" si="5"/>
        <v>31.2</v>
      </c>
      <c r="BQ8" s="1">
        <f t="shared" si="5"/>
        <v>31.68</v>
      </c>
      <c r="BR8" s="1">
        <f t="shared" ref="BR8" si="6">BR7*24/1000</f>
        <v>32.159999999999997</v>
      </c>
    </row>
    <row r="9" spans="1:70" x14ac:dyDescent="0.2">
      <c r="D9" s="26"/>
      <c r="G9" s="40"/>
      <c r="AB9" s="40"/>
    </row>
    <row r="10" spans="1:70" x14ac:dyDescent="0.2">
      <c r="D10" s="26" t="s">
        <v>90</v>
      </c>
      <c r="E10" s="47">
        <v>0.85</v>
      </c>
      <c r="F10" s="47">
        <v>0.85</v>
      </c>
      <c r="G10" s="48">
        <v>0.85</v>
      </c>
      <c r="H10" s="47">
        <v>0.85</v>
      </c>
      <c r="I10" s="47">
        <v>0.85</v>
      </c>
      <c r="J10" s="47">
        <v>0.85</v>
      </c>
      <c r="K10" s="47">
        <v>0.85</v>
      </c>
      <c r="L10" s="47">
        <v>0.85</v>
      </c>
      <c r="M10" s="47">
        <v>0.85</v>
      </c>
      <c r="N10" s="47">
        <v>0.85</v>
      </c>
      <c r="O10" s="47">
        <v>0.85</v>
      </c>
      <c r="P10" s="47">
        <v>0.85</v>
      </c>
      <c r="Q10" s="47">
        <v>0.85</v>
      </c>
      <c r="R10" s="47">
        <v>0.85</v>
      </c>
      <c r="S10" s="47">
        <v>0.85</v>
      </c>
      <c r="T10" s="47">
        <v>0.85</v>
      </c>
      <c r="U10" s="47">
        <v>0.85</v>
      </c>
      <c r="V10" s="47">
        <v>0.85</v>
      </c>
      <c r="W10" s="47">
        <v>0.85</v>
      </c>
      <c r="X10" s="47">
        <v>0.85</v>
      </c>
      <c r="Y10" s="47">
        <v>0.85</v>
      </c>
      <c r="Z10" s="47">
        <v>0.85</v>
      </c>
      <c r="AA10" s="47">
        <v>0.85</v>
      </c>
      <c r="AB10" s="48">
        <v>0.85</v>
      </c>
      <c r="AC10" s="47">
        <v>0.85</v>
      </c>
      <c r="AD10" s="47">
        <v>0.85</v>
      </c>
      <c r="AE10" s="47">
        <v>0.85</v>
      </c>
      <c r="AF10" s="47">
        <v>0.85</v>
      </c>
      <c r="AG10" s="47">
        <v>0.85</v>
      </c>
      <c r="AH10" s="47">
        <v>0.85</v>
      </c>
      <c r="AI10" s="47">
        <v>0.85</v>
      </c>
      <c r="AJ10" s="47">
        <v>0.85</v>
      </c>
      <c r="AK10" s="47">
        <v>0.85</v>
      </c>
      <c r="AL10" s="47">
        <v>0.85</v>
      </c>
      <c r="AM10" s="47">
        <v>0.85</v>
      </c>
      <c r="AN10" s="47">
        <v>0.85</v>
      </c>
      <c r="AO10" s="47">
        <v>0.85</v>
      </c>
      <c r="AP10" s="47">
        <v>0.85</v>
      </c>
      <c r="AQ10" s="47">
        <v>0.85</v>
      </c>
      <c r="AR10" s="47">
        <v>0.85</v>
      </c>
      <c r="AS10" s="47">
        <v>0.85</v>
      </c>
      <c r="AT10" s="47">
        <v>0.85</v>
      </c>
      <c r="AU10" s="47">
        <v>0.85</v>
      </c>
      <c r="AV10" s="47">
        <v>0.85</v>
      </c>
      <c r="AW10" s="47">
        <v>0.85</v>
      </c>
      <c r="AX10" s="47">
        <v>0.85</v>
      </c>
      <c r="AY10" s="47">
        <v>0.85</v>
      </c>
      <c r="AZ10" s="47">
        <v>0.85</v>
      </c>
      <c r="BA10" s="47">
        <v>0.85</v>
      </c>
      <c r="BB10" s="47">
        <v>0.85</v>
      </c>
      <c r="BC10" s="47">
        <v>0.85</v>
      </c>
      <c r="BD10" s="47">
        <v>0.85</v>
      </c>
      <c r="BE10" s="47">
        <v>0.85</v>
      </c>
      <c r="BF10" s="47">
        <v>0.85</v>
      </c>
      <c r="BG10" s="47">
        <v>0.85</v>
      </c>
      <c r="BH10" s="47">
        <v>0.85</v>
      </c>
      <c r="BI10" s="47">
        <v>0.85</v>
      </c>
      <c r="BJ10" s="47">
        <v>0.85</v>
      </c>
      <c r="BK10" s="47">
        <v>0.85</v>
      </c>
      <c r="BL10" s="47">
        <v>0.85</v>
      </c>
      <c r="BM10" s="47">
        <v>0.85</v>
      </c>
      <c r="BN10" s="47">
        <v>0.85</v>
      </c>
      <c r="BO10" s="47">
        <v>0.85</v>
      </c>
      <c r="BP10" s="47">
        <v>0.85</v>
      </c>
      <c r="BQ10" s="47">
        <v>0.85</v>
      </c>
      <c r="BR10" s="47">
        <v>0.85</v>
      </c>
    </row>
    <row r="11" spans="1:70" x14ac:dyDescent="0.2">
      <c r="D11" s="26" t="s">
        <v>157</v>
      </c>
      <c r="E11" s="47">
        <v>0.4</v>
      </c>
      <c r="F11" s="47">
        <v>0.4</v>
      </c>
      <c r="G11" s="48">
        <v>0.4</v>
      </c>
      <c r="H11" s="47">
        <v>0.4</v>
      </c>
      <c r="I11" s="47">
        <v>0.4</v>
      </c>
      <c r="J11" s="47">
        <v>0.4</v>
      </c>
      <c r="K11" s="47">
        <v>0.4</v>
      </c>
      <c r="L11" s="47">
        <v>0.4</v>
      </c>
      <c r="M11" s="47">
        <v>0.4</v>
      </c>
      <c r="N11" s="47">
        <v>0.4</v>
      </c>
      <c r="O11" s="47">
        <v>0.4</v>
      </c>
      <c r="P11" s="47">
        <v>0.4</v>
      </c>
      <c r="Q11" s="47">
        <v>0.4</v>
      </c>
      <c r="R11" s="47">
        <v>0.4</v>
      </c>
      <c r="S11" s="47">
        <v>0.4</v>
      </c>
      <c r="T11" s="47">
        <v>0.4</v>
      </c>
      <c r="U11" s="47">
        <v>0.4</v>
      </c>
      <c r="V11" s="47">
        <v>0.4</v>
      </c>
      <c r="W11" s="47">
        <v>0.4</v>
      </c>
      <c r="X11" s="47">
        <v>0.4</v>
      </c>
      <c r="Y11" s="47">
        <v>0.4</v>
      </c>
      <c r="Z11" s="47">
        <v>0.4</v>
      </c>
      <c r="AA11" s="47">
        <v>0.4</v>
      </c>
      <c r="AB11" s="48">
        <v>0.4</v>
      </c>
      <c r="AC11" s="47">
        <v>0.4</v>
      </c>
      <c r="AD11" s="47">
        <v>0.4</v>
      </c>
      <c r="AE11" s="47">
        <v>0.4</v>
      </c>
      <c r="AF11" s="47">
        <v>0.4</v>
      </c>
      <c r="AG11" s="47">
        <v>0.4</v>
      </c>
      <c r="AH11" s="47">
        <v>0.4</v>
      </c>
      <c r="AI11" s="47">
        <v>0.4</v>
      </c>
      <c r="AJ11" s="47">
        <v>0.4</v>
      </c>
      <c r="AK11" s="47">
        <v>0.4</v>
      </c>
      <c r="AL11" s="47">
        <v>0.4</v>
      </c>
      <c r="AM11" s="47">
        <v>0.4</v>
      </c>
      <c r="AN11" s="47">
        <v>0.4</v>
      </c>
      <c r="AO11" s="47">
        <v>0.4</v>
      </c>
      <c r="AP11" s="47">
        <v>0.4</v>
      </c>
      <c r="AQ11" s="47">
        <v>0.4</v>
      </c>
      <c r="AR11" s="47">
        <v>0.4</v>
      </c>
      <c r="AS11" s="47">
        <v>0.4</v>
      </c>
      <c r="AT11" s="47">
        <v>0.4</v>
      </c>
      <c r="AU11" s="47">
        <v>0.4</v>
      </c>
      <c r="AV11" s="47">
        <v>0.4</v>
      </c>
      <c r="AW11" s="47">
        <v>0.4</v>
      </c>
      <c r="AX11" s="47">
        <v>0.4</v>
      </c>
      <c r="AY11" s="47">
        <v>0.4</v>
      </c>
      <c r="AZ11" s="47">
        <v>0.4</v>
      </c>
      <c r="BA11" s="47">
        <v>0.4</v>
      </c>
      <c r="BB11" s="47">
        <v>0.4</v>
      </c>
      <c r="BC11" s="47">
        <v>0.4</v>
      </c>
      <c r="BD11" s="47">
        <v>0.4</v>
      </c>
      <c r="BE11" s="47">
        <v>0.4</v>
      </c>
      <c r="BF11" s="47">
        <v>0.4</v>
      </c>
      <c r="BG11" s="47">
        <v>0.4</v>
      </c>
      <c r="BH11" s="47">
        <v>0.4</v>
      </c>
      <c r="BI11" s="47">
        <v>0.4</v>
      </c>
      <c r="BJ11" s="47">
        <v>0.4</v>
      </c>
      <c r="BK11" s="47">
        <v>0.4</v>
      </c>
      <c r="BL11" s="47">
        <v>0.4</v>
      </c>
      <c r="BM11" s="47">
        <v>0.4</v>
      </c>
      <c r="BN11" s="47">
        <v>0.4</v>
      </c>
      <c r="BO11" s="47">
        <v>0.4</v>
      </c>
      <c r="BP11" s="47">
        <v>0.4</v>
      </c>
      <c r="BQ11" s="47">
        <v>0.4</v>
      </c>
      <c r="BR11" s="47">
        <v>0.4</v>
      </c>
    </row>
    <row r="12" spans="1:70" x14ac:dyDescent="0.2">
      <c r="D12" s="26" t="s">
        <v>156</v>
      </c>
      <c r="E12" s="47">
        <v>0.85</v>
      </c>
      <c r="F12" s="47">
        <v>0.85</v>
      </c>
      <c r="G12" s="48">
        <v>0.85</v>
      </c>
      <c r="H12" s="47">
        <v>0.85</v>
      </c>
      <c r="I12" s="47">
        <v>0.85</v>
      </c>
      <c r="J12" s="47">
        <v>0.85</v>
      </c>
      <c r="K12" s="47">
        <v>0.85</v>
      </c>
      <c r="L12" s="47">
        <v>0.85</v>
      </c>
      <c r="M12" s="47">
        <v>0.85</v>
      </c>
      <c r="N12" s="47">
        <v>0.85</v>
      </c>
      <c r="O12" s="47">
        <v>0.85</v>
      </c>
      <c r="P12" s="47">
        <v>0.85</v>
      </c>
      <c r="Q12" s="47">
        <v>0.85</v>
      </c>
      <c r="R12" s="47">
        <v>0.85</v>
      </c>
      <c r="S12" s="47">
        <v>0.85</v>
      </c>
      <c r="T12" s="47">
        <v>0.85</v>
      </c>
      <c r="U12" s="47">
        <v>0.85</v>
      </c>
      <c r="V12" s="47">
        <v>0.85</v>
      </c>
      <c r="W12" s="47">
        <v>0.85</v>
      </c>
      <c r="X12" s="47">
        <v>0.85</v>
      </c>
      <c r="Y12" s="47">
        <v>0.85</v>
      </c>
      <c r="Z12" s="47">
        <v>0.85</v>
      </c>
      <c r="AA12" s="47">
        <v>0.85</v>
      </c>
      <c r="AB12" s="47">
        <v>0.85</v>
      </c>
      <c r="AC12" s="47">
        <v>0.85</v>
      </c>
      <c r="AD12" s="47">
        <v>0.85</v>
      </c>
      <c r="AE12" s="47">
        <v>0.85</v>
      </c>
      <c r="AF12" s="47">
        <v>0.85</v>
      </c>
      <c r="AG12" s="47">
        <v>0.85</v>
      </c>
      <c r="AH12" s="47">
        <v>0.85</v>
      </c>
      <c r="AI12" s="47">
        <v>0.85</v>
      </c>
      <c r="AJ12" s="47">
        <v>0.85</v>
      </c>
      <c r="AK12" s="47">
        <v>0.85</v>
      </c>
      <c r="AL12" s="47">
        <v>0.85</v>
      </c>
      <c r="AM12" s="47">
        <v>0.85</v>
      </c>
      <c r="AN12" s="47">
        <v>0.85</v>
      </c>
      <c r="AO12" s="47">
        <v>0.85</v>
      </c>
      <c r="AP12" s="47">
        <v>0.85</v>
      </c>
      <c r="AQ12" s="47">
        <v>0.85</v>
      </c>
      <c r="AR12" s="47">
        <v>0.85</v>
      </c>
      <c r="AS12" s="47">
        <v>0.85</v>
      </c>
      <c r="AT12" s="47">
        <v>0.85</v>
      </c>
      <c r="AU12" s="47">
        <v>0.85</v>
      </c>
      <c r="AV12" s="47">
        <v>0.85</v>
      </c>
      <c r="AW12" s="47">
        <v>0.85</v>
      </c>
      <c r="AX12" s="47">
        <v>0.85</v>
      </c>
      <c r="AY12" s="47">
        <v>0.85</v>
      </c>
      <c r="AZ12" s="47">
        <v>0.85</v>
      </c>
      <c r="BA12" s="47">
        <v>0.85</v>
      </c>
      <c r="BB12" s="47">
        <v>0.85</v>
      </c>
      <c r="BC12" s="47">
        <v>0.85</v>
      </c>
      <c r="BD12" s="47">
        <v>0.85</v>
      </c>
      <c r="BE12" s="47">
        <v>0.85</v>
      </c>
      <c r="BF12" s="47">
        <v>0.85</v>
      </c>
      <c r="BG12" s="47">
        <v>0.85</v>
      </c>
      <c r="BH12" s="47">
        <v>0.85</v>
      </c>
      <c r="BI12" s="47">
        <v>0.85</v>
      </c>
      <c r="BJ12" s="47">
        <v>0.85</v>
      </c>
      <c r="BK12" s="47">
        <v>0.85</v>
      </c>
      <c r="BL12" s="47">
        <v>0.85</v>
      </c>
      <c r="BM12" s="47">
        <v>0.85</v>
      </c>
      <c r="BN12" s="47">
        <v>0.85</v>
      </c>
      <c r="BO12" s="47">
        <v>0.85</v>
      </c>
      <c r="BP12" s="47">
        <v>0.85</v>
      </c>
      <c r="BQ12" s="47">
        <v>0.85</v>
      </c>
      <c r="BR12" s="47">
        <v>0.85</v>
      </c>
    </row>
    <row r="13" spans="1:70" x14ac:dyDescent="0.2">
      <c r="D13" s="26" t="s">
        <v>94</v>
      </c>
      <c r="E13" s="1">
        <f t="shared" ref="E13:AB13" si="7">E8/E10/E11/E12</f>
        <v>3.3217993079584773</v>
      </c>
      <c r="F13" s="1">
        <f t="shared" si="7"/>
        <v>4.9826989619377162</v>
      </c>
      <c r="G13" s="39">
        <f t="shared" si="7"/>
        <v>6.6435986159169547</v>
      </c>
      <c r="H13" s="1">
        <f t="shared" si="7"/>
        <v>8.3044982698961931</v>
      </c>
      <c r="I13" s="1">
        <f t="shared" si="7"/>
        <v>9.9653979238754324</v>
      </c>
      <c r="J13" s="1">
        <f t="shared" si="7"/>
        <v>11.626297577854672</v>
      </c>
      <c r="K13" s="1">
        <f t="shared" si="7"/>
        <v>13.287197231833909</v>
      </c>
      <c r="L13" s="1">
        <f t="shared" si="7"/>
        <v>14.94809688581315</v>
      </c>
      <c r="M13" s="1">
        <f t="shared" si="7"/>
        <v>16.608996539792386</v>
      </c>
      <c r="N13" s="1">
        <f t="shared" si="7"/>
        <v>18.269896193771626</v>
      </c>
      <c r="O13" s="1">
        <f t="shared" si="7"/>
        <v>19.930795847750865</v>
      </c>
      <c r="P13" s="1">
        <f t="shared" si="7"/>
        <v>21.591695501730104</v>
      </c>
      <c r="Q13" s="1">
        <f t="shared" si="7"/>
        <v>23.252595155709344</v>
      </c>
      <c r="R13" s="1">
        <f t="shared" si="7"/>
        <v>24.913494809688583</v>
      </c>
      <c r="S13" s="1">
        <f t="shared" si="7"/>
        <v>26.574394463667819</v>
      </c>
      <c r="T13" s="1">
        <f t="shared" si="7"/>
        <v>28.235294117647054</v>
      </c>
      <c r="U13" s="1">
        <f t="shared" si="7"/>
        <v>29.896193771626301</v>
      </c>
      <c r="V13" s="1">
        <f t="shared" si="7"/>
        <v>31.557093425605533</v>
      </c>
      <c r="W13" s="1">
        <f t="shared" si="7"/>
        <v>33.217993079584772</v>
      </c>
      <c r="X13" s="1">
        <f t="shared" si="7"/>
        <v>34.878892733564015</v>
      </c>
      <c r="Y13" s="1">
        <f t="shared" si="7"/>
        <v>36.539792387543251</v>
      </c>
      <c r="Z13" s="1">
        <f t="shared" si="7"/>
        <v>38.200692041522487</v>
      </c>
      <c r="AA13" s="1">
        <f t="shared" si="7"/>
        <v>39.86159169550173</v>
      </c>
      <c r="AB13" s="39">
        <f t="shared" si="7"/>
        <v>41.522491349480966</v>
      </c>
      <c r="AC13" s="1">
        <f t="shared" ref="AC13:AN13" si="8">AC8/AC10/AC11/AC12</f>
        <v>43.183391003460208</v>
      </c>
      <c r="AD13" s="1">
        <f t="shared" si="8"/>
        <v>44.844290657439444</v>
      </c>
      <c r="AE13" s="1">
        <f t="shared" si="8"/>
        <v>46.505190311418687</v>
      </c>
      <c r="AF13" s="1">
        <f t="shared" si="8"/>
        <v>48.166089965397923</v>
      </c>
      <c r="AG13" s="1">
        <f t="shared" si="8"/>
        <v>49.826989619377166</v>
      </c>
      <c r="AH13" s="1">
        <f t="shared" si="8"/>
        <v>51.487889273356402</v>
      </c>
      <c r="AI13" s="1">
        <f t="shared" si="8"/>
        <v>53.148788927335637</v>
      </c>
      <c r="AJ13" s="1">
        <f t="shared" si="8"/>
        <v>54.80968858131488</v>
      </c>
      <c r="AK13" s="1">
        <f t="shared" si="8"/>
        <v>56.470588235294109</v>
      </c>
      <c r="AL13" s="1">
        <f t="shared" si="8"/>
        <v>58.131487889273359</v>
      </c>
      <c r="AM13" s="1">
        <f t="shared" si="8"/>
        <v>59.792387543252602</v>
      </c>
      <c r="AN13" s="1">
        <f t="shared" si="8"/>
        <v>61.453287197231845</v>
      </c>
      <c r="AO13" s="1">
        <f t="shared" ref="AO13:AY13" si="9">AO8/AO10/AO11/AO12</f>
        <v>63.114186851211066</v>
      </c>
      <c r="AP13" s="1">
        <f t="shared" si="9"/>
        <v>64.775086505190302</v>
      </c>
      <c r="AQ13" s="1">
        <f t="shared" si="9"/>
        <v>66.435986159169545</v>
      </c>
      <c r="AR13" s="1">
        <f t="shared" si="9"/>
        <v>68.096885813148788</v>
      </c>
      <c r="AS13" s="1">
        <f t="shared" si="9"/>
        <v>69.757785467128031</v>
      </c>
      <c r="AT13" s="1">
        <f t="shared" si="9"/>
        <v>71.418685121107274</v>
      </c>
      <c r="AU13" s="1">
        <f t="shared" si="9"/>
        <v>73.079584775086502</v>
      </c>
      <c r="AV13" s="1">
        <f t="shared" si="9"/>
        <v>74.740484429065745</v>
      </c>
      <c r="AW13" s="1">
        <f t="shared" si="9"/>
        <v>76.401384083044974</v>
      </c>
      <c r="AX13" s="1">
        <f t="shared" si="9"/>
        <v>78.062283737024217</v>
      </c>
      <c r="AY13" s="1">
        <f t="shared" si="9"/>
        <v>79.72318339100346</v>
      </c>
      <c r="AZ13" s="1">
        <f t="shared" ref="AZ13:BB13" si="10">AZ8/AZ10/AZ11/AZ12</f>
        <v>81.384083044982702</v>
      </c>
      <c r="BA13" s="1">
        <f t="shared" si="10"/>
        <v>83.044982698961931</v>
      </c>
      <c r="BB13" s="1">
        <f t="shared" si="10"/>
        <v>84.705882352941174</v>
      </c>
      <c r="BC13" s="1">
        <f t="shared" ref="BC13:BL13" si="11">BC8/BC10/BC11/BC12</f>
        <v>86.366782006920417</v>
      </c>
      <c r="BD13" s="1">
        <f t="shared" si="11"/>
        <v>88.02768166089966</v>
      </c>
      <c r="BE13" s="1">
        <f t="shared" si="11"/>
        <v>89.688581314878888</v>
      </c>
      <c r="BF13" s="1">
        <f t="shared" si="11"/>
        <v>91.349480968858131</v>
      </c>
      <c r="BG13" s="1">
        <f t="shared" si="11"/>
        <v>93.010380622837374</v>
      </c>
      <c r="BH13" s="1">
        <f t="shared" si="11"/>
        <v>94.671280276816603</v>
      </c>
      <c r="BI13" s="1">
        <f t="shared" si="11"/>
        <v>96.332179930795846</v>
      </c>
      <c r="BJ13" s="1">
        <f t="shared" si="11"/>
        <v>97.993079584775089</v>
      </c>
      <c r="BK13" s="1">
        <f t="shared" si="11"/>
        <v>99.653979238754332</v>
      </c>
      <c r="BL13" s="1">
        <f t="shared" si="11"/>
        <v>101.31487889273357</v>
      </c>
      <c r="BM13" s="1">
        <f t="shared" ref="BM13:BQ13" si="12">BM8/BM10/BM11/BM12</f>
        <v>102.9757785467128</v>
      </c>
      <c r="BN13" s="1">
        <f t="shared" si="12"/>
        <v>104.63667820069205</v>
      </c>
      <c r="BO13" s="1">
        <f t="shared" si="12"/>
        <v>106.29757785467127</v>
      </c>
      <c r="BP13" s="1">
        <f t="shared" si="12"/>
        <v>107.9584775086505</v>
      </c>
      <c r="BQ13" s="1">
        <f t="shared" si="12"/>
        <v>109.61937716262976</v>
      </c>
      <c r="BR13" s="1">
        <f t="shared" ref="BR13" si="13">BR8/BR10/BR11/BR12</f>
        <v>111.28027681660897</v>
      </c>
    </row>
    <row r="14" spans="1:70" x14ac:dyDescent="0.2">
      <c r="G14" s="40"/>
      <c r="AB14" s="40"/>
    </row>
    <row r="15" spans="1:70" x14ac:dyDescent="0.2">
      <c r="D15" s="26" t="s">
        <v>147</v>
      </c>
      <c r="E15">
        <f>$K2</f>
        <v>250</v>
      </c>
      <c r="F15">
        <f t="shared" ref="F15:AB15" si="14">$K2</f>
        <v>250</v>
      </c>
      <c r="G15" s="40">
        <f t="shared" si="14"/>
        <v>250</v>
      </c>
      <c r="H15">
        <f t="shared" si="14"/>
        <v>250</v>
      </c>
      <c r="I15">
        <f t="shared" si="14"/>
        <v>250</v>
      </c>
      <c r="J15">
        <f t="shared" si="14"/>
        <v>250</v>
      </c>
      <c r="K15">
        <f t="shared" si="14"/>
        <v>250</v>
      </c>
      <c r="L15">
        <f t="shared" si="14"/>
        <v>250</v>
      </c>
      <c r="M15">
        <f t="shared" si="14"/>
        <v>250</v>
      </c>
      <c r="N15">
        <f t="shared" si="14"/>
        <v>250</v>
      </c>
      <c r="O15">
        <f t="shared" si="14"/>
        <v>250</v>
      </c>
      <c r="P15">
        <f t="shared" si="14"/>
        <v>250</v>
      </c>
      <c r="Q15">
        <f t="shared" si="14"/>
        <v>250</v>
      </c>
      <c r="R15">
        <f t="shared" si="14"/>
        <v>250</v>
      </c>
      <c r="S15">
        <f t="shared" si="14"/>
        <v>250</v>
      </c>
      <c r="T15">
        <f t="shared" si="14"/>
        <v>250</v>
      </c>
      <c r="U15">
        <f t="shared" si="14"/>
        <v>250</v>
      </c>
      <c r="V15">
        <f t="shared" si="14"/>
        <v>250</v>
      </c>
      <c r="W15">
        <f t="shared" si="14"/>
        <v>250</v>
      </c>
      <c r="X15">
        <f t="shared" si="14"/>
        <v>250</v>
      </c>
      <c r="Y15">
        <f t="shared" si="14"/>
        <v>250</v>
      </c>
      <c r="Z15">
        <f t="shared" si="14"/>
        <v>250</v>
      </c>
      <c r="AA15">
        <f t="shared" si="14"/>
        <v>250</v>
      </c>
      <c r="AB15" s="40">
        <f t="shared" si="14"/>
        <v>250</v>
      </c>
      <c r="AC15">
        <f t="shared" ref="AC15:AN15" si="15">$K2</f>
        <v>250</v>
      </c>
      <c r="AD15">
        <f t="shared" si="15"/>
        <v>250</v>
      </c>
      <c r="AE15">
        <f t="shared" si="15"/>
        <v>250</v>
      </c>
      <c r="AF15">
        <f t="shared" si="15"/>
        <v>250</v>
      </c>
      <c r="AG15">
        <f t="shared" si="15"/>
        <v>250</v>
      </c>
      <c r="AH15">
        <f t="shared" si="15"/>
        <v>250</v>
      </c>
      <c r="AI15">
        <f t="shared" si="15"/>
        <v>250</v>
      </c>
      <c r="AJ15">
        <f t="shared" si="15"/>
        <v>250</v>
      </c>
      <c r="AK15">
        <f t="shared" si="15"/>
        <v>250</v>
      </c>
      <c r="AL15">
        <f t="shared" si="15"/>
        <v>250</v>
      </c>
      <c r="AM15">
        <f t="shared" si="15"/>
        <v>250</v>
      </c>
      <c r="AN15">
        <f t="shared" si="15"/>
        <v>250</v>
      </c>
      <c r="AO15">
        <f t="shared" ref="AO15:AY15" si="16">$K2</f>
        <v>250</v>
      </c>
      <c r="AP15">
        <f t="shared" si="16"/>
        <v>250</v>
      </c>
      <c r="AQ15">
        <f t="shared" si="16"/>
        <v>250</v>
      </c>
      <c r="AR15">
        <f t="shared" si="16"/>
        <v>250</v>
      </c>
      <c r="AS15">
        <f t="shared" si="16"/>
        <v>250</v>
      </c>
      <c r="AT15">
        <f t="shared" si="16"/>
        <v>250</v>
      </c>
      <c r="AU15">
        <f t="shared" si="16"/>
        <v>250</v>
      </c>
      <c r="AV15">
        <f t="shared" si="16"/>
        <v>250</v>
      </c>
      <c r="AW15">
        <f t="shared" si="16"/>
        <v>250</v>
      </c>
      <c r="AX15">
        <f t="shared" si="16"/>
        <v>250</v>
      </c>
      <c r="AY15">
        <f t="shared" si="16"/>
        <v>250</v>
      </c>
      <c r="AZ15">
        <f t="shared" ref="AZ15:BB15" si="17">$K2</f>
        <v>250</v>
      </c>
      <c r="BA15">
        <f t="shared" si="17"/>
        <v>250</v>
      </c>
      <c r="BB15">
        <f t="shared" si="17"/>
        <v>250</v>
      </c>
      <c r="BC15">
        <f t="shared" ref="BC15:BL15" si="18">$K2</f>
        <v>250</v>
      </c>
      <c r="BD15">
        <f t="shared" si="18"/>
        <v>250</v>
      </c>
      <c r="BE15">
        <f t="shared" si="18"/>
        <v>250</v>
      </c>
      <c r="BF15">
        <f t="shared" si="18"/>
        <v>250</v>
      </c>
      <c r="BG15">
        <f t="shared" si="18"/>
        <v>250</v>
      </c>
      <c r="BH15">
        <f t="shared" si="18"/>
        <v>250</v>
      </c>
      <c r="BI15">
        <f t="shared" si="18"/>
        <v>250</v>
      </c>
      <c r="BJ15">
        <f t="shared" si="18"/>
        <v>250</v>
      </c>
      <c r="BK15">
        <f t="shared" si="18"/>
        <v>250</v>
      </c>
      <c r="BL15">
        <f t="shared" si="18"/>
        <v>250</v>
      </c>
      <c r="BM15">
        <f t="shared" ref="BM15:BQ15" si="19">$K2</f>
        <v>250</v>
      </c>
      <c r="BN15">
        <f t="shared" si="19"/>
        <v>250</v>
      </c>
      <c r="BO15">
        <f t="shared" si="19"/>
        <v>250</v>
      </c>
      <c r="BP15">
        <f t="shared" si="19"/>
        <v>250</v>
      </c>
      <c r="BQ15">
        <f t="shared" si="19"/>
        <v>250</v>
      </c>
      <c r="BR15">
        <f t="shared" ref="BR15" si="20">$K2</f>
        <v>250</v>
      </c>
    </row>
    <row r="16" spans="1:70" x14ac:dyDescent="0.2">
      <c r="D16" s="26" t="s">
        <v>91</v>
      </c>
      <c r="E16" s="3">
        <f>$K3</f>
        <v>61</v>
      </c>
      <c r="F16" s="3">
        <f t="shared" ref="F16:AB16" si="21">$K3</f>
        <v>61</v>
      </c>
      <c r="G16" s="41">
        <f t="shared" si="21"/>
        <v>61</v>
      </c>
      <c r="H16" s="3">
        <f t="shared" si="21"/>
        <v>61</v>
      </c>
      <c r="I16" s="3">
        <f t="shared" si="21"/>
        <v>61</v>
      </c>
      <c r="J16" s="3">
        <f t="shared" si="21"/>
        <v>61</v>
      </c>
      <c r="K16" s="3">
        <f t="shared" si="21"/>
        <v>61</v>
      </c>
      <c r="L16" s="3">
        <f t="shared" si="21"/>
        <v>61</v>
      </c>
      <c r="M16" s="3">
        <f t="shared" si="21"/>
        <v>61</v>
      </c>
      <c r="N16" s="3">
        <f t="shared" si="21"/>
        <v>61</v>
      </c>
      <c r="O16" s="3">
        <f t="shared" si="21"/>
        <v>61</v>
      </c>
      <c r="P16" s="3">
        <f t="shared" si="21"/>
        <v>61</v>
      </c>
      <c r="Q16" s="3">
        <f t="shared" si="21"/>
        <v>61</v>
      </c>
      <c r="R16" s="3">
        <f t="shared" si="21"/>
        <v>61</v>
      </c>
      <c r="S16" s="3">
        <f t="shared" si="21"/>
        <v>61</v>
      </c>
      <c r="T16" s="3">
        <f t="shared" si="21"/>
        <v>61</v>
      </c>
      <c r="U16" s="3">
        <f t="shared" si="21"/>
        <v>61</v>
      </c>
      <c r="V16" s="3">
        <f t="shared" si="21"/>
        <v>61</v>
      </c>
      <c r="W16" s="3">
        <f t="shared" si="21"/>
        <v>61</v>
      </c>
      <c r="X16" s="3">
        <f t="shared" si="21"/>
        <v>61</v>
      </c>
      <c r="Y16" s="3">
        <f t="shared" si="21"/>
        <v>61</v>
      </c>
      <c r="Z16" s="3">
        <f t="shared" si="21"/>
        <v>61</v>
      </c>
      <c r="AA16" s="3">
        <f t="shared" si="21"/>
        <v>61</v>
      </c>
      <c r="AB16" s="41">
        <f t="shared" si="21"/>
        <v>61</v>
      </c>
      <c r="AC16" s="3">
        <f t="shared" ref="AC16:AN16" si="22">$K3</f>
        <v>61</v>
      </c>
      <c r="AD16" s="3">
        <f t="shared" si="22"/>
        <v>61</v>
      </c>
      <c r="AE16" s="3">
        <f t="shared" si="22"/>
        <v>61</v>
      </c>
      <c r="AF16" s="3">
        <f t="shared" si="22"/>
        <v>61</v>
      </c>
      <c r="AG16" s="3">
        <f t="shared" si="22"/>
        <v>61</v>
      </c>
      <c r="AH16" s="3">
        <f t="shared" si="22"/>
        <v>61</v>
      </c>
      <c r="AI16" s="3">
        <f t="shared" si="22"/>
        <v>61</v>
      </c>
      <c r="AJ16" s="3">
        <f t="shared" si="22"/>
        <v>61</v>
      </c>
      <c r="AK16" s="3">
        <f t="shared" si="22"/>
        <v>61</v>
      </c>
      <c r="AL16" s="3">
        <f t="shared" si="22"/>
        <v>61</v>
      </c>
      <c r="AM16" s="3">
        <f t="shared" si="22"/>
        <v>61</v>
      </c>
      <c r="AN16" s="3">
        <f t="shared" si="22"/>
        <v>61</v>
      </c>
      <c r="AO16" s="3">
        <f t="shared" ref="AO16:AY16" si="23">$K3</f>
        <v>61</v>
      </c>
      <c r="AP16" s="3">
        <f t="shared" si="23"/>
        <v>61</v>
      </c>
      <c r="AQ16" s="3">
        <f t="shared" si="23"/>
        <v>61</v>
      </c>
      <c r="AR16" s="3">
        <f t="shared" si="23"/>
        <v>61</v>
      </c>
      <c r="AS16" s="3">
        <f t="shared" si="23"/>
        <v>61</v>
      </c>
      <c r="AT16" s="3">
        <f t="shared" si="23"/>
        <v>61</v>
      </c>
      <c r="AU16" s="3">
        <f t="shared" si="23"/>
        <v>61</v>
      </c>
      <c r="AV16" s="3">
        <f t="shared" si="23"/>
        <v>61</v>
      </c>
      <c r="AW16" s="3">
        <f t="shared" si="23"/>
        <v>61</v>
      </c>
      <c r="AX16" s="3">
        <f t="shared" si="23"/>
        <v>61</v>
      </c>
      <c r="AY16" s="3">
        <f t="shared" si="23"/>
        <v>61</v>
      </c>
      <c r="AZ16" s="3">
        <f t="shared" ref="AZ16:BB16" si="24">$K3</f>
        <v>61</v>
      </c>
      <c r="BA16" s="3">
        <f t="shared" si="24"/>
        <v>61</v>
      </c>
      <c r="BB16" s="3">
        <f t="shared" si="24"/>
        <v>61</v>
      </c>
      <c r="BC16" s="3">
        <f t="shared" ref="BC16:BL16" si="25">$K3</f>
        <v>61</v>
      </c>
      <c r="BD16" s="3">
        <f t="shared" si="25"/>
        <v>61</v>
      </c>
      <c r="BE16" s="3">
        <f t="shared" si="25"/>
        <v>61</v>
      </c>
      <c r="BF16" s="3">
        <f t="shared" si="25"/>
        <v>61</v>
      </c>
      <c r="BG16" s="3">
        <f t="shared" si="25"/>
        <v>61</v>
      </c>
      <c r="BH16" s="3">
        <f t="shared" si="25"/>
        <v>61</v>
      </c>
      <c r="BI16" s="3">
        <f t="shared" si="25"/>
        <v>61</v>
      </c>
      <c r="BJ16" s="3">
        <f t="shared" si="25"/>
        <v>61</v>
      </c>
      <c r="BK16" s="3">
        <f t="shared" si="25"/>
        <v>61</v>
      </c>
      <c r="BL16" s="3">
        <f t="shared" si="25"/>
        <v>61</v>
      </c>
      <c r="BM16" s="3">
        <f t="shared" ref="BM16:BQ16" si="26">$K3</f>
        <v>61</v>
      </c>
      <c r="BN16" s="3">
        <f t="shared" si="26"/>
        <v>61</v>
      </c>
      <c r="BO16" s="3">
        <f t="shared" si="26"/>
        <v>61</v>
      </c>
      <c r="BP16" s="3">
        <f t="shared" si="26"/>
        <v>61</v>
      </c>
      <c r="BQ16" s="3">
        <f t="shared" si="26"/>
        <v>61</v>
      </c>
      <c r="BR16" s="3">
        <f t="shared" ref="BR16" si="27">$K3</f>
        <v>61</v>
      </c>
    </row>
    <row r="17" spans="1:70" x14ac:dyDescent="0.2">
      <c r="D17" s="26" t="s">
        <v>93</v>
      </c>
      <c r="E17" s="1">
        <f>24*60/E15</f>
        <v>5.76</v>
      </c>
      <c r="F17" s="1">
        <f t="shared" ref="F17:AB17" si="28">24*60/F15</f>
        <v>5.76</v>
      </c>
      <c r="G17" s="39">
        <f t="shared" si="28"/>
        <v>5.76</v>
      </c>
      <c r="H17" s="1">
        <f t="shared" si="28"/>
        <v>5.76</v>
      </c>
      <c r="I17" s="1">
        <f t="shared" si="28"/>
        <v>5.76</v>
      </c>
      <c r="J17" s="1">
        <f t="shared" si="28"/>
        <v>5.76</v>
      </c>
      <c r="K17" s="1">
        <f t="shared" si="28"/>
        <v>5.76</v>
      </c>
      <c r="L17" s="1">
        <f t="shared" si="28"/>
        <v>5.76</v>
      </c>
      <c r="M17" s="1">
        <f t="shared" si="28"/>
        <v>5.76</v>
      </c>
      <c r="N17" s="1">
        <f t="shared" si="28"/>
        <v>5.76</v>
      </c>
      <c r="O17" s="1">
        <f t="shared" si="28"/>
        <v>5.76</v>
      </c>
      <c r="P17" s="1">
        <f t="shared" si="28"/>
        <v>5.76</v>
      </c>
      <c r="Q17" s="1">
        <f t="shared" si="28"/>
        <v>5.76</v>
      </c>
      <c r="R17" s="1">
        <f t="shared" si="28"/>
        <v>5.76</v>
      </c>
      <c r="S17" s="1">
        <f t="shared" si="28"/>
        <v>5.76</v>
      </c>
      <c r="T17" s="1">
        <f t="shared" si="28"/>
        <v>5.76</v>
      </c>
      <c r="U17" s="1">
        <f t="shared" si="28"/>
        <v>5.76</v>
      </c>
      <c r="V17" s="1">
        <f t="shared" si="28"/>
        <v>5.76</v>
      </c>
      <c r="W17" s="1">
        <f t="shared" si="28"/>
        <v>5.76</v>
      </c>
      <c r="X17" s="1">
        <f t="shared" si="28"/>
        <v>5.76</v>
      </c>
      <c r="Y17" s="1">
        <f t="shared" si="28"/>
        <v>5.76</v>
      </c>
      <c r="Z17" s="1">
        <f t="shared" si="28"/>
        <v>5.76</v>
      </c>
      <c r="AA17" s="1">
        <f t="shared" si="28"/>
        <v>5.76</v>
      </c>
      <c r="AB17" s="39">
        <f t="shared" si="28"/>
        <v>5.76</v>
      </c>
      <c r="AC17" s="1">
        <f t="shared" ref="AC17:AN17" si="29">24*60/AC15</f>
        <v>5.76</v>
      </c>
      <c r="AD17" s="1">
        <f t="shared" si="29"/>
        <v>5.76</v>
      </c>
      <c r="AE17" s="1">
        <f t="shared" si="29"/>
        <v>5.76</v>
      </c>
      <c r="AF17" s="1">
        <f t="shared" si="29"/>
        <v>5.76</v>
      </c>
      <c r="AG17" s="1">
        <f t="shared" si="29"/>
        <v>5.76</v>
      </c>
      <c r="AH17" s="1">
        <f t="shared" si="29"/>
        <v>5.76</v>
      </c>
      <c r="AI17" s="1">
        <f t="shared" si="29"/>
        <v>5.76</v>
      </c>
      <c r="AJ17" s="1">
        <f t="shared" si="29"/>
        <v>5.76</v>
      </c>
      <c r="AK17" s="1">
        <f t="shared" si="29"/>
        <v>5.76</v>
      </c>
      <c r="AL17" s="1">
        <f t="shared" si="29"/>
        <v>5.76</v>
      </c>
      <c r="AM17" s="1">
        <f t="shared" si="29"/>
        <v>5.76</v>
      </c>
      <c r="AN17" s="1">
        <f t="shared" si="29"/>
        <v>5.76</v>
      </c>
      <c r="AO17" s="1">
        <f t="shared" ref="AO17:AY17" si="30">24*60/AO15</f>
        <v>5.76</v>
      </c>
      <c r="AP17" s="1">
        <f t="shared" si="30"/>
        <v>5.76</v>
      </c>
      <c r="AQ17" s="1">
        <f t="shared" si="30"/>
        <v>5.76</v>
      </c>
      <c r="AR17" s="1">
        <f t="shared" si="30"/>
        <v>5.76</v>
      </c>
      <c r="AS17" s="1">
        <f t="shared" si="30"/>
        <v>5.76</v>
      </c>
      <c r="AT17" s="1">
        <f t="shared" si="30"/>
        <v>5.76</v>
      </c>
      <c r="AU17" s="1">
        <f t="shared" si="30"/>
        <v>5.76</v>
      </c>
      <c r="AV17" s="1">
        <f t="shared" si="30"/>
        <v>5.76</v>
      </c>
      <c r="AW17" s="1">
        <f t="shared" si="30"/>
        <v>5.76</v>
      </c>
      <c r="AX17" s="1">
        <f t="shared" si="30"/>
        <v>5.76</v>
      </c>
      <c r="AY17" s="1">
        <f t="shared" si="30"/>
        <v>5.76</v>
      </c>
      <c r="AZ17" s="1">
        <f t="shared" ref="AZ17:BB17" si="31">24*60/AZ15</f>
        <v>5.76</v>
      </c>
      <c r="BA17" s="1">
        <f t="shared" si="31"/>
        <v>5.76</v>
      </c>
      <c r="BB17" s="1">
        <f t="shared" si="31"/>
        <v>5.76</v>
      </c>
      <c r="BC17" s="1">
        <f t="shared" ref="BC17:BL17" si="32">24*60/BC15</f>
        <v>5.76</v>
      </c>
      <c r="BD17" s="1">
        <f t="shared" si="32"/>
        <v>5.76</v>
      </c>
      <c r="BE17" s="1">
        <f t="shared" si="32"/>
        <v>5.76</v>
      </c>
      <c r="BF17" s="1">
        <f t="shared" si="32"/>
        <v>5.76</v>
      </c>
      <c r="BG17" s="1">
        <f t="shared" si="32"/>
        <v>5.76</v>
      </c>
      <c r="BH17" s="1">
        <f t="shared" si="32"/>
        <v>5.76</v>
      </c>
      <c r="BI17" s="1">
        <f t="shared" si="32"/>
        <v>5.76</v>
      </c>
      <c r="BJ17" s="1">
        <f t="shared" si="32"/>
        <v>5.76</v>
      </c>
      <c r="BK17" s="1">
        <f t="shared" si="32"/>
        <v>5.76</v>
      </c>
      <c r="BL17" s="1">
        <f t="shared" si="32"/>
        <v>5.76</v>
      </c>
      <c r="BM17" s="1">
        <f t="shared" ref="BM17:BQ17" si="33">24*60/BM15</f>
        <v>5.76</v>
      </c>
      <c r="BN17" s="1">
        <f t="shared" si="33"/>
        <v>5.76</v>
      </c>
      <c r="BO17" s="1">
        <f t="shared" si="33"/>
        <v>5.76</v>
      </c>
      <c r="BP17" s="1">
        <f t="shared" si="33"/>
        <v>5.76</v>
      </c>
      <c r="BQ17" s="1">
        <f t="shared" si="33"/>
        <v>5.76</v>
      </c>
      <c r="BR17" s="1">
        <f t="shared" ref="BR17" si="34">24*60/BR15</f>
        <v>5.76</v>
      </c>
    </row>
    <row r="18" spans="1:70" x14ac:dyDescent="0.2">
      <c r="D18" s="26" t="s">
        <v>92</v>
      </c>
      <c r="E18" s="1">
        <f t="shared" ref="E18:AB18" si="35">E16/60*E17</f>
        <v>5.8559999999999999</v>
      </c>
      <c r="F18" s="1">
        <f t="shared" si="35"/>
        <v>5.8559999999999999</v>
      </c>
      <c r="G18" s="39">
        <f t="shared" si="35"/>
        <v>5.8559999999999999</v>
      </c>
      <c r="H18" s="1">
        <f t="shared" si="35"/>
        <v>5.8559999999999999</v>
      </c>
      <c r="I18" s="1">
        <f t="shared" si="35"/>
        <v>5.8559999999999999</v>
      </c>
      <c r="J18" s="1">
        <f t="shared" si="35"/>
        <v>5.8559999999999999</v>
      </c>
      <c r="K18" s="1">
        <f t="shared" si="35"/>
        <v>5.8559999999999999</v>
      </c>
      <c r="L18" s="1">
        <f t="shared" si="35"/>
        <v>5.8559999999999999</v>
      </c>
      <c r="M18" s="1">
        <f t="shared" si="35"/>
        <v>5.8559999999999999</v>
      </c>
      <c r="N18" s="1">
        <f t="shared" si="35"/>
        <v>5.8559999999999999</v>
      </c>
      <c r="O18" s="1">
        <f t="shared" si="35"/>
        <v>5.8559999999999999</v>
      </c>
      <c r="P18" s="1">
        <f t="shared" si="35"/>
        <v>5.8559999999999999</v>
      </c>
      <c r="Q18" s="1">
        <f t="shared" si="35"/>
        <v>5.8559999999999999</v>
      </c>
      <c r="R18" s="1">
        <f t="shared" si="35"/>
        <v>5.8559999999999999</v>
      </c>
      <c r="S18" s="1">
        <f t="shared" si="35"/>
        <v>5.8559999999999999</v>
      </c>
      <c r="T18" s="1">
        <f t="shared" si="35"/>
        <v>5.8559999999999999</v>
      </c>
      <c r="U18" s="1">
        <f t="shared" si="35"/>
        <v>5.8559999999999999</v>
      </c>
      <c r="V18" s="1">
        <f t="shared" si="35"/>
        <v>5.8559999999999999</v>
      </c>
      <c r="W18" s="1">
        <f t="shared" si="35"/>
        <v>5.8559999999999999</v>
      </c>
      <c r="X18" s="1">
        <f t="shared" si="35"/>
        <v>5.8559999999999999</v>
      </c>
      <c r="Y18" s="1">
        <f t="shared" si="35"/>
        <v>5.8559999999999999</v>
      </c>
      <c r="Z18" s="1">
        <f t="shared" si="35"/>
        <v>5.8559999999999999</v>
      </c>
      <c r="AA18" s="1">
        <f t="shared" si="35"/>
        <v>5.8559999999999999</v>
      </c>
      <c r="AB18" s="39">
        <f t="shared" si="35"/>
        <v>5.8559999999999999</v>
      </c>
      <c r="AC18" s="1">
        <f t="shared" ref="AC18:AN18" si="36">AC16/60*AC17</f>
        <v>5.8559999999999999</v>
      </c>
      <c r="AD18" s="1">
        <f t="shared" si="36"/>
        <v>5.8559999999999999</v>
      </c>
      <c r="AE18" s="1">
        <f t="shared" si="36"/>
        <v>5.8559999999999999</v>
      </c>
      <c r="AF18" s="1">
        <f t="shared" si="36"/>
        <v>5.8559999999999999</v>
      </c>
      <c r="AG18" s="1">
        <f t="shared" si="36"/>
        <v>5.8559999999999999</v>
      </c>
      <c r="AH18" s="1">
        <f t="shared" si="36"/>
        <v>5.8559999999999999</v>
      </c>
      <c r="AI18" s="1">
        <f t="shared" si="36"/>
        <v>5.8559999999999999</v>
      </c>
      <c r="AJ18" s="1">
        <f t="shared" si="36"/>
        <v>5.8559999999999999</v>
      </c>
      <c r="AK18" s="1">
        <f t="shared" si="36"/>
        <v>5.8559999999999999</v>
      </c>
      <c r="AL18" s="1">
        <f t="shared" si="36"/>
        <v>5.8559999999999999</v>
      </c>
      <c r="AM18" s="1">
        <f t="shared" si="36"/>
        <v>5.8559999999999999</v>
      </c>
      <c r="AN18" s="1">
        <f t="shared" si="36"/>
        <v>5.8559999999999999</v>
      </c>
      <c r="AO18" s="1">
        <f t="shared" ref="AO18:AY18" si="37">AO16/60*AO17</f>
        <v>5.8559999999999999</v>
      </c>
      <c r="AP18" s="1">
        <f t="shared" si="37"/>
        <v>5.8559999999999999</v>
      </c>
      <c r="AQ18" s="1">
        <f t="shared" si="37"/>
        <v>5.8559999999999999</v>
      </c>
      <c r="AR18" s="1">
        <f t="shared" si="37"/>
        <v>5.8559999999999999</v>
      </c>
      <c r="AS18" s="1">
        <f t="shared" si="37"/>
        <v>5.8559999999999999</v>
      </c>
      <c r="AT18" s="1">
        <f t="shared" si="37"/>
        <v>5.8559999999999999</v>
      </c>
      <c r="AU18" s="1">
        <f t="shared" si="37"/>
        <v>5.8559999999999999</v>
      </c>
      <c r="AV18" s="1">
        <f t="shared" si="37"/>
        <v>5.8559999999999999</v>
      </c>
      <c r="AW18" s="1">
        <f t="shared" si="37"/>
        <v>5.8559999999999999</v>
      </c>
      <c r="AX18" s="1">
        <f t="shared" si="37"/>
        <v>5.8559999999999999</v>
      </c>
      <c r="AY18" s="1">
        <f t="shared" si="37"/>
        <v>5.8559999999999999</v>
      </c>
      <c r="AZ18" s="1">
        <f t="shared" ref="AZ18:BB18" si="38">AZ16/60*AZ17</f>
        <v>5.8559999999999999</v>
      </c>
      <c r="BA18" s="1">
        <f t="shared" si="38"/>
        <v>5.8559999999999999</v>
      </c>
      <c r="BB18" s="1">
        <f t="shared" si="38"/>
        <v>5.8559999999999999</v>
      </c>
      <c r="BC18" s="1">
        <f t="shared" ref="BC18:BL18" si="39">BC16/60*BC17</f>
        <v>5.8559999999999999</v>
      </c>
      <c r="BD18" s="1">
        <f t="shared" si="39"/>
        <v>5.8559999999999999</v>
      </c>
      <c r="BE18" s="1">
        <f t="shared" si="39"/>
        <v>5.8559999999999999</v>
      </c>
      <c r="BF18" s="1">
        <f t="shared" si="39"/>
        <v>5.8559999999999999</v>
      </c>
      <c r="BG18" s="1">
        <f t="shared" si="39"/>
        <v>5.8559999999999999</v>
      </c>
      <c r="BH18" s="1">
        <f t="shared" si="39"/>
        <v>5.8559999999999999</v>
      </c>
      <c r="BI18" s="1">
        <f t="shared" si="39"/>
        <v>5.8559999999999999</v>
      </c>
      <c r="BJ18" s="1">
        <f t="shared" si="39"/>
        <v>5.8559999999999999</v>
      </c>
      <c r="BK18" s="1">
        <f t="shared" si="39"/>
        <v>5.8559999999999999</v>
      </c>
      <c r="BL18" s="1">
        <f t="shared" si="39"/>
        <v>5.8559999999999999</v>
      </c>
      <c r="BM18" s="1">
        <f t="shared" ref="BM18:BQ18" si="40">BM16/60*BM17</f>
        <v>5.8559999999999999</v>
      </c>
      <c r="BN18" s="1">
        <f t="shared" si="40"/>
        <v>5.8559999999999999</v>
      </c>
      <c r="BO18" s="1">
        <f t="shared" si="40"/>
        <v>5.8559999999999999</v>
      </c>
      <c r="BP18" s="1">
        <f t="shared" si="40"/>
        <v>5.8559999999999999</v>
      </c>
      <c r="BQ18" s="1">
        <f t="shared" si="40"/>
        <v>5.8559999999999999</v>
      </c>
      <c r="BR18" s="1">
        <f t="shared" ref="BR18" si="41">BR16/60*BR17</f>
        <v>5.8559999999999999</v>
      </c>
    </row>
    <row r="19" spans="1:70" x14ac:dyDescent="0.2">
      <c r="G19" s="40"/>
      <c r="AB19" s="40"/>
    </row>
    <row r="20" spans="1:70" x14ac:dyDescent="0.2">
      <c r="A20" s="49"/>
      <c r="D20" s="26" t="s">
        <v>96</v>
      </c>
      <c r="E20" s="1">
        <f t="shared" ref="E20:AB20" si="42">E13/E18</f>
        <v>0.56724714958307332</v>
      </c>
      <c r="F20" s="1">
        <f t="shared" si="42"/>
        <v>0.85087072437460998</v>
      </c>
      <c r="G20" s="39">
        <f t="shared" si="42"/>
        <v>1.1344942991661466</v>
      </c>
      <c r="H20" s="1">
        <f t="shared" si="42"/>
        <v>1.4181178739576832</v>
      </c>
      <c r="I20" s="1">
        <f t="shared" si="42"/>
        <v>1.70174144874922</v>
      </c>
      <c r="J20" s="1">
        <f t="shared" si="42"/>
        <v>1.9853650235407569</v>
      </c>
      <c r="K20" s="1">
        <f t="shared" si="42"/>
        <v>2.2689885983322933</v>
      </c>
      <c r="L20" s="1">
        <f t="shared" si="42"/>
        <v>2.5526121731238303</v>
      </c>
      <c r="M20" s="1">
        <f t="shared" si="42"/>
        <v>2.8362357479153664</v>
      </c>
      <c r="N20" s="1">
        <f t="shared" si="42"/>
        <v>3.1198593227069034</v>
      </c>
      <c r="O20" s="1">
        <f t="shared" si="42"/>
        <v>3.4034828974984399</v>
      </c>
      <c r="P20" s="1">
        <f t="shared" si="42"/>
        <v>3.6871064722899769</v>
      </c>
      <c r="Q20" s="1">
        <f t="shared" si="42"/>
        <v>3.9707300470815139</v>
      </c>
      <c r="R20" s="1">
        <f t="shared" si="42"/>
        <v>4.2543536218730509</v>
      </c>
      <c r="S20" s="1">
        <f t="shared" si="42"/>
        <v>4.5379771966645865</v>
      </c>
      <c r="T20" s="1">
        <f t="shared" si="42"/>
        <v>4.8216007714561231</v>
      </c>
      <c r="U20" s="1">
        <f t="shared" si="42"/>
        <v>5.1052243462476605</v>
      </c>
      <c r="V20" s="1">
        <f t="shared" si="42"/>
        <v>5.3888479210391962</v>
      </c>
      <c r="W20" s="1">
        <f t="shared" si="42"/>
        <v>5.6724714958307327</v>
      </c>
      <c r="X20" s="1">
        <f t="shared" si="42"/>
        <v>5.9560950706222702</v>
      </c>
      <c r="Y20" s="1">
        <f t="shared" si="42"/>
        <v>6.2397186454138067</v>
      </c>
      <c r="Z20" s="1">
        <f t="shared" si="42"/>
        <v>6.5233422202053433</v>
      </c>
      <c r="AA20" s="1">
        <f t="shared" si="42"/>
        <v>6.8069657949968798</v>
      </c>
      <c r="AB20" s="39">
        <f t="shared" si="42"/>
        <v>7.0905893697884164</v>
      </c>
      <c r="AC20" s="1">
        <f t="shared" ref="AC20:AN20" si="43">AC13/AC18</f>
        <v>7.3742129445799538</v>
      </c>
      <c r="AD20" s="1">
        <f t="shared" si="43"/>
        <v>7.6578365193714903</v>
      </c>
      <c r="AE20" s="1">
        <f t="shared" si="43"/>
        <v>7.9414600941630278</v>
      </c>
      <c r="AF20" s="1">
        <f t="shared" si="43"/>
        <v>8.2250836689545643</v>
      </c>
      <c r="AG20" s="1">
        <f t="shared" si="43"/>
        <v>8.5087072437461018</v>
      </c>
      <c r="AH20" s="1">
        <f t="shared" si="43"/>
        <v>8.7923308185376374</v>
      </c>
      <c r="AI20" s="1">
        <f t="shared" si="43"/>
        <v>9.0759543933291731</v>
      </c>
      <c r="AJ20" s="1">
        <f t="shared" si="43"/>
        <v>9.3595779681207105</v>
      </c>
      <c r="AK20" s="1">
        <f t="shared" si="43"/>
        <v>9.6432015429122462</v>
      </c>
      <c r="AL20" s="1">
        <f t="shared" si="43"/>
        <v>9.9268251177037836</v>
      </c>
      <c r="AM20" s="1">
        <f t="shared" si="43"/>
        <v>10.210448692495321</v>
      </c>
      <c r="AN20" s="1">
        <f t="shared" si="43"/>
        <v>10.494072267286858</v>
      </c>
      <c r="AO20" s="1">
        <f t="shared" ref="AO20:AY20" si="44">AO13/AO18</f>
        <v>10.777695842078392</v>
      </c>
      <c r="AP20" s="1">
        <f t="shared" si="44"/>
        <v>11.061319416869928</v>
      </c>
      <c r="AQ20" s="1">
        <f t="shared" si="44"/>
        <v>11.344942991661465</v>
      </c>
      <c r="AR20" s="1">
        <f t="shared" si="44"/>
        <v>11.628566566453003</v>
      </c>
      <c r="AS20" s="1">
        <f t="shared" si="44"/>
        <v>11.91219014124454</v>
      </c>
      <c r="AT20" s="1">
        <f t="shared" si="44"/>
        <v>12.195813716036078</v>
      </c>
      <c r="AU20" s="1">
        <f t="shared" si="44"/>
        <v>12.479437290827613</v>
      </c>
      <c r="AV20" s="1">
        <f t="shared" si="44"/>
        <v>12.763060865619151</v>
      </c>
      <c r="AW20" s="1">
        <f t="shared" si="44"/>
        <v>13.046684440410687</v>
      </c>
      <c r="AX20" s="1">
        <f t="shared" si="44"/>
        <v>13.330308015202222</v>
      </c>
      <c r="AY20" s="1">
        <f t="shared" si="44"/>
        <v>13.61393158999376</v>
      </c>
      <c r="AZ20" s="1">
        <f t="shared" ref="AZ20:BB20" si="45">AZ13/AZ18</f>
        <v>13.897555164785297</v>
      </c>
      <c r="BA20" s="1">
        <f t="shared" si="45"/>
        <v>14.181178739576833</v>
      </c>
      <c r="BB20" s="1">
        <f t="shared" si="45"/>
        <v>14.46480231436837</v>
      </c>
      <c r="BC20" s="1">
        <f t="shared" ref="BC20:BL20" si="46">BC13/BC18</f>
        <v>14.748425889159908</v>
      </c>
      <c r="BD20" s="1">
        <f t="shared" si="46"/>
        <v>15.032049463951445</v>
      </c>
      <c r="BE20" s="1">
        <f t="shared" si="46"/>
        <v>15.315673038742981</v>
      </c>
      <c r="BF20" s="1">
        <f t="shared" si="46"/>
        <v>15.599296613534518</v>
      </c>
      <c r="BG20" s="1">
        <f t="shared" si="46"/>
        <v>15.882920188326056</v>
      </c>
      <c r="BH20" s="1">
        <f t="shared" si="46"/>
        <v>16.166543763117591</v>
      </c>
      <c r="BI20" s="1">
        <f t="shared" si="46"/>
        <v>16.450167337909129</v>
      </c>
      <c r="BJ20" s="1">
        <f t="shared" si="46"/>
        <v>16.733790912700666</v>
      </c>
      <c r="BK20" s="1">
        <f t="shared" si="46"/>
        <v>17.017414487492204</v>
      </c>
      <c r="BL20" s="1">
        <f t="shared" si="46"/>
        <v>17.301038062283737</v>
      </c>
      <c r="BM20" s="1">
        <f t="shared" ref="BM20:BQ20" si="47">BM13/BM18</f>
        <v>17.584661637075275</v>
      </c>
      <c r="BN20" s="1">
        <f t="shared" si="47"/>
        <v>17.868285211866812</v>
      </c>
      <c r="BO20" s="1">
        <f t="shared" si="47"/>
        <v>18.151908786658346</v>
      </c>
      <c r="BP20" s="1">
        <f t="shared" si="47"/>
        <v>18.43553236144988</v>
      </c>
      <c r="BQ20" s="1">
        <f t="shared" si="47"/>
        <v>18.719155936241421</v>
      </c>
      <c r="BR20" s="1">
        <f t="shared" ref="BR20" si="48">BR13/BR18</f>
        <v>19.002779511032955</v>
      </c>
    </row>
    <row r="21" spans="1:70" x14ac:dyDescent="0.2">
      <c r="A21" s="49"/>
      <c r="D21" s="26" t="s">
        <v>97</v>
      </c>
      <c r="E21" s="2">
        <f>$K4</f>
        <v>6</v>
      </c>
      <c r="F21" s="2">
        <f t="shared" ref="F21:AB21" si="49">$K4</f>
        <v>6</v>
      </c>
      <c r="G21" s="42">
        <f t="shared" si="49"/>
        <v>6</v>
      </c>
      <c r="H21" s="2">
        <f t="shared" si="49"/>
        <v>6</v>
      </c>
      <c r="I21" s="2">
        <f t="shared" si="49"/>
        <v>6</v>
      </c>
      <c r="J21" s="2">
        <f t="shared" si="49"/>
        <v>6</v>
      </c>
      <c r="K21" s="2">
        <f t="shared" si="49"/>
        <v>6</v>
      </c>
      <c r="L21" s="2">
        <f t="shared" si="49"/>
        <v>6</v>
      </c>
      <c r="M21" s="2">
        <f t="shared" si="49"/>
        <v>6</v>
      </c>
      <c r="N21" s="2">
        <f t="shared" si="49"/>
        <v>6</v>
      </c>
      <c r="O21" s="2">
        <f t="shared" si="49"/>
        <v>6</v>
      </c>
      <c r="P21" s="2">
        <f t="shared" si="49"/>
        <v>6</v>
      </c>
      <c r="Q21" s="2">
        <f t="shared" si="49"/>
        <v>6</v>
      </c>
      <c r="R21" s="2">
        <f t="shared" si="49"/>
        <v>6</v>
      </c>
      <c r="S21" s="2">
        <f t="shared" si="49"/>
        <v>6</v>
      </c>
      <c r="T21" s="2">
        <f t="shared" si="49"/>
        <v>6</v>
      </c>
      <c r="U21" s="2">
        <f t="shared" si="49"/>
        <v>6</v>
      </c>
      <c r="V21" s="2">
        <f t="shared" si="49"/>
        <v>6</v>
      </c>
      <c r="W21" s="2">
        <f t="shared" si="49"/>
        <v>6</v>
      </c>
      <c r="X21" s="2">
        <f t="shared" si="49"/>
        <v>6</v>
      </c>
      <c r="Y21" s="2">
        <f t="shared" si="49"/>
        <v>6</v>
      </c>
      <c r="Z21" s="2">
        <f t="shared" si="49"/>
        <v>6</v>
      </c>
      <c r="AA21" s="2">
        <f t="shared" si="49"/>
        <v>6</v>
      </c>
      <c r="AB21" s="42">
        <f t="shared" si="49"/>
        <v>6</v>
      </c>
      <c r="AC21" s="2">
        <f t="shared" ref="AC21:AN21" si="50">$K4</f>
        <v>6</v>
      </c>
      <c r="AD21" s="2">
        <f t="shared" si="50"/>
        <v>6</v>
      </c>
      <c r="AE21" s="2">
        <f t="shared" si="50"/>
        <v>6</v>
      </c>
      <c r="AF21" s="2">
        <f t="shared" si="50"/>
        <v>6</v>
      </c>
      <c r="AG21" s="2">
        <f t="shared" si="50"/>
        <v>6</v>
      </c>
      <c r="AH21" s="2">
        <f t="shared" si="50"/>
        <v>6</v>
      </c>
      <c r="AI21" s="2">
        <f t="shared" si="50"/>
        <v>6</v>
      </c>
      <c r="AJ21" s="2">
        <f t="shared" si="50"/>
        <v>6</v>
      </c>
      <c r="AK21" s="2">
        <f t="shared" si="50"/>
        <v>6</v>
      </c>
      <c r="AL21" s="2">
        <f t="shared" si="50"/>
        <v>6</v>
      </c>
      <c r="AM21" s="2">
        <f t="shared" si="50"/>
        <v>6</v>
      </c>
      <c r="AN21" s="2">
        <f t="shared" si="50"/>
        <v>6</v>
      </c>
      <c r="AO21" s="2">
        <f t="shared" ref="AO21:AY21" si="51">$K4</f>
        <v>6</v>
      </c>
      <c r="AP21" s="2">
        <f t="shared" si="51"/>
        <v>6</v>
      </c>
      <c r="AQ21" s="2">
        <f t="shared" si="51"/>
        <v>6</v>
      </c>
      <c r="AR21" s="2">
        <f t="shared" si="51"/>
        <v>6</v>
      </c>
      <c r="AS21" s="2">
        <f t="shared" si="51"/>
        <v>6</v>
      </c>
      <c r="AT21" s="2">
        <f t="shared" si="51"/>
        <v>6</v>
      </c>
      <c r="AU21" s="2">
        <f t="shared" si="51"/>
        <v>6</v>
      </c>
      <c r="AV21" s="2">
        <f t="shared" si="51"/>
        <v>6</v>
      </c>
      <c r="AW21" s="2">
        <f t="shared" si="51"/>
        <v>6</v>
      </c>
      <c r="AX21" s="2">
        <f t="shared" si="51"/>
        <v>6</v>
      </c>
      <c r="AY21" s="2">
        <f t="shared" si="51"/>
        <v>6</v>
      </c>
      <c r="AZ21" s="2">
        <f t="shared" ref="AZ21:BB21" si="52">$K4</f>
        <v>6</v>
      </c>
      <c r="BA21" s="2">
        <f t="shared" si="52"/>
        <v>6</v>
      </c>
      <c r="BB21" s="2">
        <f t="shared" si="52"/>
        <v>6</v>
      </c>
      <c r="BC21" s="2">
        <f t="shared" ref="BC21:BL21" si="53">$K4</f>
        <v>6</v>
      </c>
      <c r="BD21" s="2">
        <f t="shared" si="53"/>
        <v>6</v>
      </c>
      <c r="BE21" s="2">
        <f t="shared" si="53"/>
        <v>6</v>
      </c>
      <c r="BF21" s="2">
        <f t="shared" si="53"/>
        <v>6</v>
      </c>
      <c r="BG21" s="2">
        <f t="shared" si="53"/>
        <v>6</v>
      </c>
      <c r="BH21" s="2">
        <f t="shared" si="53"/>
        <v>6</v>
      </c>
      <c r="BI21" s="2">
        <f t="shared" si="53"/>
        <v>6</v>
      </c>
      <c r="BJ21" s="2">
        <f t="shared" si="53"/>
        <v>6</v>
      </c>
      <c r="BK21" s="2">
        <f t="shared" si="53"/>
        <v>6</v>
      </c>
      <c r="BL21" s="2">
        <f t="shared" si="53"/>
        <v>6</v>
      </c>
      <c r="BM21" s="2">
        <f t="shared" ref="BM21:BQ21" si="54">$K4</f>
        <v>6</v>
      </c>
      <c r="BN21" s="2">
        <f t="shared" si="54"/>
        <v>6</v>
      </c>
      <c r="BO21" s="2">
        <f t="shared" si="54"/>
        <v>6</v>
      </c>
      <c r="BP21" s="2">
        <f t="shared" si="54"/>
        <v>6</v>
      </c>
      <c r="BQ21" s="2">
        <f t="shared" si="54"/>
        <v>6</v>
      </c>
      <c r="BR21" s="2">
        <f t="shared" ref="BR21" si="55">$K4</f>
        <v>6</v>
      </c>
    </row>
    <row r="22" spans="1:70" x14ac:dyDescent="0.2">
      <c r="A22" s="49"/>
      <c r="D22" s="26" t="s">
        <v>98</v>
      </c>
      <c r="E22">
        <f t="shared" ref="E22:AB22" si="56">CEILING(E20/E21,1)</f>
        <v>1</v>
      </c>
      <c r="F22">
        <f t="shared" si="56"/>
        <v>1</v>
      </c>
      <c r="G22" s="40">
        <f t="shared" si="56"/>
        <v>1</v>
      </c>
      <c r="H22">
        <f t="shared" si="56"/>
        <v>1</v>
      </c>
      <c r="I22">
        <f t="shared" si="56"/>
        <v>1</v>
      </c>
      <c r="J22">
        <f t="shared" si="56"/>
        <v>1</v>
      </c>
      <c r="K22">
        <f t="shared" si="56"/>
        <v>1</v>
      </c>
      <c r="L22">
        <f t="shared" si="56"/>
        <v>1</v>
      </c>
      <c r="M22">
        <f t="shared" si="56"/>
        <v>1</v>
      </c>
      <c r="N22">
        <f t="shared" si="56"/>
        <v>1</v>
      </c>
      <c r="O22">
        <f t="shared" si="56"/>
        <v>1</v>
      </c>
      <c r="P22">
        <f t="shared" si="56"/>
        <v>1</v>
      </c>
      <c r="Q22">
        <f t="shared" si="56"/>
        <v>1</v>
      </c>
      <c r="R22">
        <f t="shared" si="56"/>
        <v>1</v>
      </c>
      <c r="S22">
        <f t="shared" si="56"/>
        <v>1</v>
      </c>
      <c r="T22">
        <f t="shared" si="56"/>
        <v>1</v>
      </c>
      <c r="U22">
        <f t="shared" si="56"/>
        <v>1</v>
      </c>
      <c r="V22">
        <f t="shared" si="56"/>
        <v>1</v>
      </c>
      <c r="W22">
        <f t="shared" si="56"/>
        <v>1</v>
      </c>
      <c r="X22">
        <f t="shared" si="56"/>
        <v>1</v>
      </c>
      <c r="Y22">
        <f t="shared" si="56"/>
        <v>2</v>
      </c>
      <c r="Z22">
        <f t="shared" si="56"/>
        <v>2</v>
      </c>
      <c r="AA22">
        <f t="shared" si="56"/>
        <v>2</v>
      </c>
      <c r="AB22" s="40">
        <f t="shared" si="56"/>
        <v>2</v>
      </c>
      <c r="AC22">
        <f t="shared" ref="AC22:AN22" si="57">CEILING(AC20/AC21,1)</f>
        <v>2</v>
      </c>
      <c r="AD22">
        <f t="shared" si="57"/>
        <v>2</v>
      </c>
      <c r="AE22">
        <f t="shared" si="57"/>
        <v>2</v>
      </c>
      <c r="AF22">
        <f t="shared" si="57"/>
        <v>2</v>
      </c>
      <c r="AG22">
        <f t="shared" si="57"/>
        <v>2</v>
      </c>
      <c r="AH22">
        <f t="shared" si="57"/>
        <v>2</v>
      </c>
      <c r="AI22">
        <f t="shared" si="57"/>
        <v>2</v>
      </c>
      <c r="AJ22">
        <f t="shared" si="57"/>
        <v>2</v>
      </c>
      <c r="AK22">
        <f t="shared" si="57"/>
        <v>2</v>
      </c>
      <c r="AL22">
        <f t="shared" si="57"/>
        <v>2</v>
      </c>
      <c r="AM22">
        <f t="shared" si="57"/>
        <v>2</v>
      </c>
      <c r="AN22">
        <f t="shared" si="57"/>
        <v>2</v>
      </c>
      <c r="AO22">
        <f t="shared" ref="AO22:AY22" si="58">CEILING(AO20/AO21,1)</f>
        <v>2</v>
      </c>
      <c r="AP22">
        <f t="shared" si="58"/>
        <v>2</v>
      </c>
      <c r="AQ22">
        <f t="shared" si="58"/>
        <v>2</v>
      </c>
      <c r="AR22">
        <f t="shared" si="58"/>
        <v>2</v>
      </c>
      <c r="AS22">
        <f t="shared" si="58"/>
        <v>2</v>
      </c>
      <c r="AT22">
        <f t="shared" si="58"/>
        <v>3</v>
      </c>
      <c r="AU22">
        <f t="shared" si="58"/>
        <v>3</v>
      </c>
      <c r="AV22">
        <f t="shared" si="58"/>
        <v>3</v>
      </c>
      <c r="AW22">
        <f t="shared" si="58"/>
        <v>3</v>
      </c>
      <c r="AX22">
        <f t="shared" si="58"/>
        <v>3</v>
      </c>
      <c r="AY22">
        <f t="shared" si="58"/>
        <v>3</v>
      </c>
      <c r="AZ22">
        <f t="shared" ref="AZ22:BB22" si="59">CEILING(AZ20/AZ21,1)</f>
        <v>3</v>
      </c>
      <c r="BA22">
        <f t="shared" si="59"/>
        <v>3</v>
      </c>
      <c r="BB22">
        <f t="shared" si="59"/>
        <v>3</v>
      </c>
      <c r="BC22">
        <f t="shared" ref="BC22:BL22" si="60">CEILING(BC20/BC21,1)</f>
        <v>3</v>
      </c>
      <c r="BD22">
        <f t="shared" si="60"/>
        <v>3</v>
      </c>
      <c r="BE22">
        <f t="shared" si="60"/>
        <v>3</v>
      </c>
      <c r="BF22">
        <f t="shared" si="60"/>
        <v>3</v>
      </c>
      <c r="BG22">
        <f t="shared" si="60"/>
        <v>3</v>
      </c>
      <c r="BH22">
        <f t="shared" si="60"/>
        <v>3</v>
      </c>
      <c r="BI22">
        <f t="shared" si="60"/>
        <v>3</v>
      </c>
      <c r="BJ22">
        <f t="shared" si="60"/>
        <v>3</v>
      </c>
      <c r="BK22">
        <f t="shared" si="60"/>
        <v>3</v>
      </c>
      <c r="BL22">
        <f t="shared" si="60"/>
        <v>3</v>
      </c>
      <c r="BM22">
        <f t="shared" ref="BM22:BQ22" si="61">CEILING(BM20/BM21,1)</f>
        <v>3</v>
      </c>
      <c r="BN22">
        <f t="shared" si="61"/>
        <v>3</v>
      </c>
      <c r="BO22">
        <f t="shared" si="61"/>
        <v>4</v>
      </c>
      <c r="BP22">
        <f t="shared" si="61"/>
        <v>4</v>
      </c>
      <c r="BQ22">
        <f t="shared" si="61"/>
        <v>4</v>
      </c>
      <c r="BR22">
        <f t="shared" ref="BR22" si="62">CEILING(BR20/BR21,1)</f>
        <v>4</v>
      </c>
    </row>
    <row r="23" spans="1:70" x14ac:dyDescent="0.2">
      <c r="D23" s="26" t="s">
        <v>100</v>
      </c>
      <c r="E23" s="2">
        <f t="shared" ref="E23:AB23" si="63">(E22*E21)</f>
        <v>6</v>
      </c>
      <c r="F23" s="2">
        <f t="shared" si="63"/>
        <v>6</v>
      </c>
      <c r="G23" s="42">
        <f t="shared" si="63"/>
        <v>6</v>
      </c>
      <c r="H23" s="2">
        <f t="shared" si="63"/>
        <v>6</v>
      </c>
      <c r="I23" s="2">
        <f t="shared" si="63"/>
        <v>6</v>
      </c>
      <c r="J23" s="2">
        <f t="shared" si="63"/>
        <v>6</v>
      </c>
      <c r="K23" s="2">
        <f t="shared" si="63"/>
        <v>6</v>
      </c>
      <c r="L23" s="2">
        <f t="shared" si="63"/>
        <v>6</v>
      </c>
      <c r="M23" s="2">
        <f t="shared" si="63"/>
        <v>6</v>
      </c>
      <c r="N23" s="2">
        <f t="shared" si="63"/>
        <v>6</v>
      </c>
      <c r="O23" s="2">
        <f t="shared" si="63"/>
        <v>6</v>
      </c>
      <c r="P23" s="2">
        <f t="shared" si="63"/>
        <v>6</v>
      </c>
      <c r="Q23" s="2">
        <f t="shared" si="63"/>
        <v>6</v>
      </c>
      <c r="R23" s="2">
        <f t="shared" si="63"/>
        <v>6</v>
      </c>
      <c r="S23" s="2">
        <f t="shared" si="63"/>
        <v>6</v>
      </c>
      <c r="T23" s="2">
        <f t="shared" si="63"/>
        <v>6</v>
      </c>
      <c r="U23" s="2">
        <f t="shared" si="63"/>
        <v>6</v>
      </c>
      <c r="V23" s="2">
        <f t="shared" si="63"/>
        <v>6</v>
      </c>
      <c r="W23" s="2">
        <f t="shared" si="63"/>
        <v>6</v>
      </c>
      <c r="X23" s="2">
        <f t="shared" si="63"/>
        <v>6</v>
      </c>
      <c r="Y23" s="2">
        <f t="shared" si="63"/>
        <v>12</v>
      </c>
      <c r="Z23" s="2">
        <f t="shared" si="63"/>
        <v>12</v>
      </c>
      <c r="AA23" s="2">
        <f t="shared" si="63"/>
        <v>12</v>
      </c>
      <c r="AB23" s="42">
        <f t="shared" si="63"/>
        <v>12</v>
      </c>
      <c r="AC23" s="2">
        <f t="shared" ref="AC23:AN23" si="64">(AC22*AC21)</f>
        <v>12</v>
      </c>
      <c r="AD23" s="2">
        <f t="shared" si="64"/>
        <v>12</v>
      </c>
      <c r="AE23" s="2">
        <f t="shared" si="64"/>
        <v>12</v>
      </c>
      <c r="AF23" s="2">
        <f t="shared" si="64"/>
        <v>12</v>
      </c>
      <c r="AG23" s="2">
        <f t="shared" si="64"/>
        <v>12</v>
      </c>
      <c r="AH23" s="2">
        <f t="shared" si="64"/>
        <v>12</v>
      </c>
      <c r="AI23" s="2">
        <f t="shared" si="64"/>
        <v>12</v>
      </c>
      <c r="AJ23" s="2">
        <f t="shared" si="64"/>
        <v>12</v>
      </c>
      <c r="AK23" s="2">
        <f t="shared" si="64"/>
        <v>12</v>
      </c>
      <c r="AL23" s="2">
        <f t="shared" si="64"/>
        <v>12</v>
      </c>
      <c r="AM23" s="2">
        <f t="shared" si="64"/>
        <v>12</v>
      </c>
      <c r="AN23" s="2">
        <f t="shared" si="64"/>
        <v>12</v>
      </c>
      <c r="AO23" s="2">
        <f t="shared" ref="AO23:AY23" si="65">(AO22*AO21)</f>
        <v>12</v>
      </c>
      <c r="AP23" s="2">
        <f t="shared" si="65"/>
        <v>12</v>
      </c>
      <c r="AQ23" s="2">
        <f t="shared" si="65"/>
        <v>12</v>
      </c>
      <c r="AR23" s="2">
        <f t="shared" si="65"/>
        <v>12</v>
      </c>
      <c r="AS23" s="2">
        <f t="shared" si="65"/>
        <v>12</v>
      </c>
      <c r="AT23" s="2">
        <f t="shared" si="65"/>
        <v>18</v>
      </c>
      <c r="AU23" s="2">
        <f t="shared" si="65"/>
        <v>18</v>
      </c>
      <c r="AV23" s="2">
        <f t="shared" si="65"/>
        <v>18</v>
      </c>
      <c r="AW23" s="2">
        <f t="shared" si="65"/>
        <v>18</v>
      </c>
      <c r="AX23" s="2">
        <f t="shared" si="65"/>
        <v>18</v>
      </c>
      <c r="AY23" s="2">
        <f t="shared" si="65"/>
        <v>18</v>
      </c>
      <c r="AZ23" s="2">
        <f t="shared" ref="AZ23:BB23" si="66">(AZ22*AZ21)</f>
        <v>18</v>
      </c>
      <c r="BA23" s="2">
        <f t="shared" si="66"/>
        <v>18</v>
      </c>
      <c r="BB23" s="2">
        <f t="shared" si="66"/>
        <v>18</v>
      </c>
      <c r="BC23" s="2">
        <f t="shared" ref="BC23:BL23" si="67">(BC22*BC21)</f>
        <v>18</v>
      </c>
      <c r="BD23" s="2">
        <f t="shared" si="67"/>
        <v>18</v>
      </c>
      <c r="BE23" s="2">
        <f t="shared" si="67"/>
        <v>18</v>
      </c>
      <c r="BF23" s="2">
        <f t="shared" si="67"/>
        <v>18</v>
      </c>
      <c r="BG23" s="2">
        <f t="shared" si="67"/>
        <v>18</v>
      </c>
      <c r="BH23" s="2">
        <f t="shared" si="67"/>
        <v>18</v>
      </c>
      <c r="BI23" s="2">
        <f t="shared" si="67"/>
        <v>18</v>
      </c>
      <c r="BJ23" s="2">
        <f t="shared" si="67"/>
        <v>18</v>
      </c>
      <c r="BK23" s="2">
        <f t="shared" si="67"/>
        <v>18</v>
      </c>
      <c r="BL23" s="2">
        <f t="shared" si="67"/>
        <v>18</v>
      </c>
      <c r="BM23" s="2">
        <f t="shared" ref="BM23:BQ23" si="68">(BM22*BM21)</f>
        <v>18</v>
      </c>
      <c r="BN23" s="2">
        <f t="shared" si="68"/>
        <v>18</v>
      </c>
      <c r="BO23" s="2">
        <f t="shared" si="68"/>
        <v>24</v>
      </c>
      <c r="BP23" s="2">
        <f t="shared" si="68"/>
        <v>24</v>
      </c>
      <c r="BQ23" s="2">
        <f t="shared" si="68"/>
        <v>24</v>
      </c>
      <c r="BR23" s="2">
        <f t="shared" ref="BR23" si="69">(BR22*BR21)</f>
        <v>24</v>
      </c>
    </row>
    <row r="24" spans="1:70" ht="16" thickBot="1" x14ac:dyDescent="0.25">
      <c r="D24" s="26" t="s">
        <v>99</v>
      </c>
      <c r="E24" s="27">
        <f t="shared" ref="E24:AB24" si="70">(E22*E21-E20)/(E22*E21)</f>
        <v>0.90545880840282111</v>
      </c>
      <c r="F24" s="27">
        <f t="shared" si="70"/>
        <v>0.85818821260423173</v>
      </c>
      <c r="G24" s="43">
        <f t="shared" si="70"/>
        <v>0.81091761680564234</v>
      </c>
      <c r="H24" s="27">
        <f t="shared" si="70"/>
        <v>0.76364702100705273</v>
      </c>
      <c r="I24" s="27">
        <f t="shared" si="70"/>
        <v>0.71637642520846334</v>
      </c>
      <c r="J24" s="27">
        <f t="shared" si="70"/>
        <v>0.66910582940987384</v>
      </c>
      <c r="K24" s="27">
        <f t="shared" si="70"/>
        <v>0.62183523361128445</v>
      </c>
      <c r="L24" s="27">
        <f t="shared" si="70"/>
        <v>0.57456463781269496</v>
      </c>
      <c r="M24" s="27">
        <f t="shared" si="70"/>
        <v>0.52729404201410557</v>
      </c>
      <c r="N24" s="27">
        <f t="shared" si="70"/>
        <v>0.48002344621551613</v>
      </c>
      <c r="O24" s="27">
        <f t="shared" si="70"/>
        <v>0.43275285041692668</v>
      </c>
      <c r="P24" s="27">
        <f t="shared" si="70"/>
        <v>0.38548225461833718</v>
      </c>
      <c r="Q24" s="27">
        <f t="shared" si="70"/>
        <v>0.33821165881974768</v>
      </c>
      <c r="R24" s="27">
        <f t="shared" si="70"/>
        <v>0.29094106302115819</v>
      </c>
      <c r="S24" s="27">
        <f t="shared" si="70"/>
        <v>0.24367046722256891</v>
      </c>
      <c r="T24" s="27">
        <f t="shared" si="70"/>
        <v>0.19639987142397949</v>
      </c>
      <c r="U24" s="27">
        <f t="shared" si="70"/>
        <v>0.14912927562538991</v>
      </c>
      <c r="V24" s="27">
        <f t="shared" si="70"/>
        <v>0.10185867982680064</v>
      </c>
      <c r="W24" s="27">
        <f t="shared" si="70"/>
        <v>5.4588084028211213E-2</v>
      </c>
      <c r="X24" s="27">
        <f t="shared" si="70"/>
        <v>7.3174882296216381E-3</v>
      </c>
      <c r="Y24" s="27">
        <f t="shared" si="70"/>
        <v>0.48002344621551613</v>
      </c>
      <c r="Z24" s="27">
        <f t="shared" si="70"/>
        <v>0.45638814831622138</v>
      </c>
      <c r="AA24" s="27">
        <f t="shared" si="70"/>
        <v>0.43275285041692668</v>
      </c>
      <c r="AB24" s="43">
        <f t="shared" si="70"/>
        <v>0.40911755251763199</v>
      </c>
      <c r="AC24" s="27">
        <f t="shared" ref="AC24:AN24" si="71">(AC22*AC21-AC20)/(AC22*AC21)</f>
        <v>0.38548225461833718</v>
      </c>
      <c r="AD24" s="27">
        <f t="shared" si="71"/>
        <v>0.36184695671904249</v>
      </c>
      <c r="AE24" s="27">
        <f t="shared" si="71"/>
        <v>0.33821165881974768</v>
      </c>
      <c r="AF24" s="27">
        <f t="shared" si="71"/>
        <v>0.31457636092045299</v>
      </c>
      <c r="AG24" s="27">
        <f t="shared" si="71"/>
        <v>0.29094106302115819</v>
      </c>
      <c r="AH24" s="27">
        <f t="shared" si="71"/>
        <v>0.26730576512186355</v>
      </c>
      <c r="AI24" s="27">
        <f t="shared" si="71"/>
        <v>0.24367046722256891</v>
      </c>
      <c r="AJ24" s="27">
        <f t="shared" si="71"/>
        <v>0.22003516932327413</v>
      </c>
      <c r="AK24" s="27">
        <f t="shared" si="71"/>
        <v>0.19639987142397949</v>
      </c>
      <c r="AL24" s="27">
        <f t="shared" si="71"/>
        <v>0.17276457352468469</v>
      </c>
      <c r="AM24" s="27">
        <f t="shared" si="71"/>
        <v>0.14912927562538991</v>
      </c>
      <c r="AN24" s="27">
        <f t="shared" si="71"/>
        <v>0.12549397772609514</v>
      </c>
      <c r="AO24" s="27">
        <f t="shared" ref="AO24:AY24" si="72">(AO22*AO21-AO20)/(AO22*AO21)</f>
        <v>0.10185867982680064</v>
      </c>
      <c r="AP24" s="27">
        <f t="shared" si="72"/>
        <v>7.8223381927505997E-2</v>
      </c>
      <c r="AQ24" s="27">
        <f t="shared" si="72"/>
        <v>5.4588084028211213E-2</v>
      </c>
      <c r="AR24" s="27">
        <f t="shared" si="72"/>
        <v>3.0952786128916426E-2</v>
      </c>
      <c r="AS24" s="27">
        <f t="shared" si="72"/>
        <v>7.3174882296216381E-3</v>
      </c>
      <c r="AT24" s="27">
        <f t="shared" si="72"/>
        <v>0.32245479355355122</v>
      </c>
      <c r="AU24" s="27">
        <f t="shared" si="72"/>
        <v>0.30669792828735482</v>
      </c>
      <c r="AV24" s="27">
        <f t="shared" si="72"/>
        <v>0.2909410630211583</v>
      </c>
      <c r="AW24" s="27">
        <f t="shared" si="72"/>
        <v>0.27518419775496183</v>
      </c>
      <c r="AX24" s="27">
        <f t="shared" si="72"/>
        <v>0.25942733248876543</v>
      </c>
      <c r="AY24" s="27">
        <f t="shared" si="72"/>
        <v>0.24367046722256891</v>
      </c>
      <c r="AZ24" s="27">
        <f t="shared" ref="AZ24:BB24" si="73">(AZ22*AZ21-AZ20)/(AZ22*AZ21)</f>
        <v>0.22791360195637239</v>
      </c>
      <c r="BA24" s="27">
        <f t="shared" si="73"/>
        <v>0.21215673669017596</v>
      </c>
      <c r="BB24" s="27">
        <f t="shared" si="73"/>
        <v>0.19639987142397944</v>
      </c>
      <c r="BC24" s="27">
        <f t="shared" ref="BC24:BL24" si="74">(BC22*BC21-BC20)/(BC22*BC21)</f>
        <v>0.18064300615778292</v>
      </c>
      <c r="BD24" s="27">
        <f t="shared" si="74"/>
        <v>0.16488614089158637</v>
      </c>
      <c r="BE24" s="27">
        <f t="shared" si="74"/>
        <v>0.14912927562538997</v>
      </c>
      <c r="BF24" s="27">
        <f t="shared" si="74"/>
        <v>0.13337241035919345</v>
      </c>
      <c r="BG24" s="27">
        <f t="shared" si="74"/>
        <v>0.11761554509299692</v>
      </c>
      <c r="BH24" s="27">
        <f t="shared" si="74"/>
        <v>0.10185867982680048</v>
      </c>
      <c r="BI24" s="27">
        <f t="shared" si="74"/>
        <v>8.6101814560603965E-2</v>
      </c>
      <c r="BJ24" s="27">
        <f t="shared" si="74"/>
        <v>7.0344949294407433E-2</v>
      </c>
      <c r="BK24" s="27">
        <f t="shared" si="74"/>
        <v>5.4588084028210915E-2</v>
      </c>
      <c r="BL24" s="27">
        <f t="shared" si="74"/>
        <v>3.8831218762014591E-2</v>
      </c>
      <c r="BM24" s="27">
        <f t="shared" ref="BM24:BQ24" si="75">(BM22*BM21-BM20)/(BM22*BM21)</f>
        <v>2.3074353495818063E-2</v>
      </c>
      <c r="BN24" s="27">
        <f t="shared" si="75"/>
        <v>7.3174882296215393E-3</v>
      </c>
      <c r="BO24" s="27">
        <f t="shared" si="75"/>
        <v>0.24367046722256891</v>
      </c>
      <c r="BP24" s="27">
        <f t="shared" si="75"/>
        <v>0.23185281827292167</v>
      </c>
      <c r="BQ24" s="27">
        <f t="shared" si="75"/>
        <v>0.22003516932327413</v>
      </c>
      <c r="BR24" s="27">
        <f t="shared" ref="BR24" si="76">(BR22*BR21-BR20)/(BR22*BR21)</f>
        <v>0.20821752037362687</v>
      </c>
    </row>
  </sheetData>
  <mergeCells count="5">
    <mergeCell ref="A20:A22"/>
    <mergeCell ref="G2:J2"/>
    <mergeCell ref="G3:J3"/>
    <mergeCell ref="G4:J4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1"/>
  <sheetViews>
    <sheetView topLeftCell="A5" zoomScale="125" zoomScaleNormal="125" workbookViewId="0">
      <selection activeCell="U31" sqref="U31"/>
    </sheetView>
  </sheetViews>
  <sheetFormatPr baseColWidth="10" defaultRowHeight="15" x14ac:dyDescent="0.2"/>
  <cols>
    <col min="2" max="2" width="18.5" style="26" customWidth="1"/>
    <col min="3" max="13" width="6.5" customWidth="1"/>
    <col min="14" max="14" width="5.6640625" customWidth="1"/>
  </cols>
  <sheetData>
    <row r="1" spans="2:16" ht="17" thickBot="1" x14ac:dyDescent="0.25">
      <c r="B1" s="50" t="s">
        <v>147</v>
      </c>
      <c r="C1" s="50"/>
      <c r="D1" s="50"/>
      <c r="E1" s="50"/>
      <c r="F1" s="23">
        <f>'Laser Count Analysis'!K2</f>
        <v>250</v>
      </c>
      <c r="G1" s="23" t="s">
        <v>8</v>
      </c>
    </row>
    <row r="2" spans="2:16" ht="17" thickBot="1" x14ac:dyDescent="0.25">
      <c r="B2" s="50" t="s">
        <v>148</v>
      </c>
      <c r="C2" s="50"/>
      <c r="D2" s="50"/>
      <c r="E2" s="50"/>
      <c r="F2" s="23">
        <f>'Laser Count Analysis'!K3</f>
        <v>61</v>
      </c>
      <c r="G2" s="23" t="s">
        <v>8</v>
      </c>
    </row>
    <row r="3" spans="2:16" ht="17" thickBot="1" x14ac:dyDescent="0.25">
      <c r="B3" s="50" t="s">
        <v>149</v>
      </c>
      <c r="C3" s="50"/>
      <c r="D3" s="50"/>
      <c r="E3" s="50"/>
      <c r="F3" s="23">
        <f>'Laser Count Analysis'!K4</f>
        <v>6</v>
      </c>
      <c r="G3" s="23" t="s">
        <v>6</v>
      </c>
    </row>
    <row r="5" spans="2:16" x14ac:dyDescent="0.2">
      <c r="B5" s="26" t="s">
        <v>151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6" t="s">
        <v>134</v>
      </c>
      <c r="C6">
        <f>C5*'Laser Count Analysis'!$K4</f>
        <v>6</v>
      </c>
      <c r="D6">
        <f>D5*'Laser Count Analysis'!$K4</f>
        <v>12</v>
      </c>
      <c r="E6">
        <f>E5*'Laser Count Analysis'!$K4</f>
        <v>18</v>
      </c>
      <c r="F6">
        <f>F5*'Laser Count Analysis'!$K4</f>
        <v>24</v>
      </c>
      <c r="G6">
        <f>G5*'Laser Count Analysis'!$K4</f>
        <v>30</v>
      </c>
      <c r="H6">
        <f>H5*'Laser Count Analysis'!$K4</f>
        <v>36</v>
      </c>
      <c r="I6">
        <f>I5*'Laser Count Analysis'!$K4</f>
        <v>42</v>
      </c>
      <c r="J6">
        <f>J5*'Laser Count Analysis'!$K4</f>
        <v>48</v>
      </c>
      <c r="K6">
        <f>K5*'Laser Count Analysis'!$K4</f>
        <v>54</v>
      </c>
      <c r="L6">
        <f>L5*'Laser Count Analysis'!$K4</f>
        <v>60</v>
      </c>
      <c r="M6">
        <f>M5*'Laser Count Analysis'!$K4</f>
        <v>66</v>
      </c>
      <c r="N6">
        <f>N5*'Laser Count Analysis'!$K4</f>
        <v>72</v>
      </c>
    </row>
    <row r="7" spans="2:16" x14ac:dyDescent="0.2">
      <c r="B7" s="26" t="s">
        <v>135</v>
      </c>
      <c r="C7" s="47">
        <v>0.15</v>
      </c>
      <c r="D7" s="47">
        <v>0.15</v>
      </c>
      <c r="E7" s="47">
        <v>0.15</v>
      </c>
      <c r="F7" s="47">
        <v>0.15</v>
      </c>
      <c r="G7" s="47">
        <v>0.15</v>
      </c>
      <c r="H7" s="47">
        <v>0.15</v>
      </c>
      <c r="I7" s="47">
        <v>0.15</v>
      </c>
      <c r="J7" s="47">
        <v>0.15</v>
      </c>
      <c r="K7" s="47">
        <v>0.15</v>
      </c>
      <c r="L7" s="47">
        <v>0.15</v>
      </c>
      <c r="M7" s="47">
        <v>0.15</v>
      </c>
      <c r="N7" s="47">
        <v>0.15</v>
      </c>
      <c r="P7" t="s">
        <v>154</v>
      </c>
    </row>
    <row r="8" spans="2:16" x14ac:dyDescent="0.2">
      <c r="B8" s="26" t="s">
        <v>136</v>
      </c>
      <c r="C8">
        <f>C6/C7</f>
        <v>40</v>
      </c>
      <c r="D8">
        <f t="shared" ref="D8:N8" si="0">D6/D7</f>
        <v>80</v>
      </c>
      <c r="E8">
        <f t="shared" si="0"/>
        <v>120</v>
      </c>
      <c r="F8">
        <f t="shared" si="0"/>
        <v>160</v>
      </c>
      <c r="G8">
        <f t="shared" si="0"/>
        <v>200</v>
      </c>
      <c r="H8">
        <f t="shared" si="0"/>
        <v>240</v>
      </c>
      <c r="I8">
        <f t="shared" si="0"/>
        <v>280</v>
      </c>
      <c r="J8">
        <f t="shared" si="0"/>
        <v>320</v>
      </c>
      <c r="K8">
        <f t="shared" si="0"/>
        <v>360</v>
      </c>
      <c r="L8">
        <f t="shared" si="0"/>
        <v>400</v>
      </c>
      <c r="M8">
        <f t="shared" si="0"/>
        <v>440</v>
      </c>
      <c r="N8">
        <f t="shared" si="0"/>
        <v>480</v>
      </c>
    </row>
    <row r="9" spans="2:16" x14ac:dyDescent="0.2">
      <c r="B9" s="26" t="s">
        <v>137</v>
      </c>
      <c r="C9">
        <f t="shared" ref="C9:N9" si="1">$F2</f>
        <v>61</v>
      </c>
      <c r="D9">
        <f t="shared" si="1"/>
        <v>61</v>
      </c>
      <c r="E9">
        <f t="shared" si="1"/>
        <v>61</v>
      </c>
      <c r="F9">
        <f t="shared" si="1"/>
        <v>61</v>
      </c>
      <c r="G9">
        <f t="shared" si="1"/>
        <v>61</v>
      </c>
      <c r="H9">
        <f t="shared" si="1"/>
        <v>61</v>
      </c>
      <c r="I9">
        <f t="shared" si="1"/>
        <v>61</v>
      </c>
      <c r="J9">
        <f t="shared" si="1"/>
        <v>61</v>
      </c>
      <c r="K9">
        <f t="shared" si="1"/>
        <v>61</v>
      </c>
      <c r="L9">
        <f t="shared" si="1"/>
        <v>61</v>
      </c>
      <c r="M9">
        <f t="shared" si="1"/>
        <v>61</v>
      </c>
      <c r="N9">
        <f t="shared" si="1"/>
        <v>61</v>
      </c>
    </row>
    <row r="10" spans="2:16" x14ac:dyDescent="0.2">
      <c r="B10" s="26" t="s">
        <v>138</v>
      </c>
      <c r="C10">
        <f>C8*C9/60</f>
        <v>40.666666666666664</v>
      </c>
      <c r="D10">
        <f t="shared" ref="D10:N10" si="2">D8*D9/60</f>
        <v>81.333333333333329</v>
      </c>
      <c r="E10">
        <f t="shared" si="2"/>
        <v>122</v>
      </c>
      <c r="F10">
        <f t="shared" si="2"/>
        <v>162.66666666666666</v>
      </c>
      <c r="G10">
        <f t="shared" si="2"/>
        <v>203.33333333333334</v>
      </c>
      <c r="H10">
        <f t="shared" si="2"/>
        <v>244</v>
      </c>
      <c r="I10">
        <f t="shared" si="2"/>
        <v>284.66666666666669</v>
      </c>
      <c r="J10">
        <f t="shared" si="2"/>
        <v>325.33333333333331</v>
      </c>
      <c r="K10">
        <f t="shared" si="2"/>
        <v>366</v>
      </c>
      <c r="L10">
        <f t="shared" si="2"/>
        <v>406.66666666666669</v>
      </c>
      <c r="M10">
        <f t="shared" si="2"/>
        <v>447.33333333333331</v>
      </c>
      <c r="N10">
        <f t="shared" si="2"/>
        <v>488</v>
      </c>
    </row>
    <row r="11" spans="2:16" x14ac:dyDescent="0.2">
      <c r="B11" s="26" t="s">
        <v>155</v>
      </c>
      <c r="C11" s="47">
        <v>0.85</v>
      </c>
      <c r="D11" s="47">
        <v>0.85</v>
      </c>
      <c r="E11" s="47">
        <v>0.85</v>
      </c>
      <c r="F11" s="47">
        <v>0.85</v>
      </c>
      <c r="G11" s="47">
        <v>0.85</v>
      </c>
      <c r="H11" s="47">
        <v>0.85</v>
      </c>
      <c r="I11" s="47">
        <v>0.85</v>
      </c>
      <c r="J11" s="47">
        <v>0.85</v>
      </c>
      <c r="K11" s="47">
        <v>0.85</v>
      </c>
      <c r="L11" s="47">
        <v>0.85</v>
      </c>
      <c r="M11" s="47">
        <v>0.85</v>
      </c>
      <c r="N11" s="47">
        <v>0.85</v>
      </c>
    </row>
    <row r="12" spans="2:16" x14ac:dyDescent="0.2">
      <c r="B12" s="26" t="s">
        <v>144</v>
      </c>
      <c r="C12" s="2">
        <f>C10/C11</f>
        <v>47.843137254901961</v>
      </c>
      <c r="D12" s="2">
        <f t="shared" ref="D12:N12" si="3">D10/D11</f>
        <v>95.686274509803923</v>
      </c>
      <c r="E12" s="2">
        <f t="shared" si="3"/>
        <v>143.52941176470588</v>
      </c>
      <c r="F12" s="2">
        <f t="shared" si="3"/>
        <v>191.37254901960785</v>
      </c>
      <c r="G12" s="2">
        <f t="shared" si="3"/>
        <v>239.21568627450984</v>
      </c>
      <c r="H12" s="2">
        <f t="shared" si="3"/>
        <v>287.05882352941177</v>
      </c>
      <c r="I12" s="2">
        <f t="shared" si="3"/>
        <v>334.90196078431376</v>
      </c>
      <c r="J12" s="2">
        <f t="shared" si="3"/>
        <v>382.74509803921569</v>
      </c>
      <c r="K12" s="2">
        <f t="shared" si="3"/>
        <v>430.58823529411768</v>
      </c>
      <c r="L12" s="2">
        <f t="shared" si="3"/>
        <v>478.43137254901967</v>
      </c>
      <c r="M12" s="2">
        <f t="shared" si="3"/>
        <v>526.27450980392155</v>
      </c>
      <c r="N12" s="2">
        <f t="shared" si="3"/>
        <v>574.11764705882354</v>
      </c>
    </row>
    <row r="13" spans="2:16" x14ac:dyDescent="0.2">
      <c r="B13" s="26" t="s">
        <v>146</v>
      </c>
      <c r="C13" s="17">
        <v>260</v>
      </c>
      <c r="D13" s="17">
        <v>260</v>
      </c>
      <c r="E13" s="17">
        <v>260</v>
      </c>
      <c r="F13" s="17">
        <v>260</v>
      </c>
      <c r="G13" s="17">
        <v>260</v>
      </c>
      <c r="H13" s="17">
        <v>260</v>
      </c>
      <c r="I13" s="17">
        <v>260</v>
      </c>
      <c r="J13" s="17">
        <v>260</v>
      </c>
      <c r="K13" s="17">
        <v>260</v>
      </c>
      <c r="L13" s="17">
        <v>260</v>
      </c>
      <c r="M13" s="17">
        <v>260</v>
      </c>
      <c r="N13" s="17">
        <v>260</v>
      </c>
    </row>
    <row r="14" spans="2:16" x14ac:dyDescent="0.2">
      <c r="B14" s="26" t="s">
        <v>145</v>
      </c>
      <c r="C14">
        <f t="shared" ref="C14:N14" si="4">C12*1000/C13</f>
        <v>184.01206636500754</v>
      </c>
      <c r="D14">
        <f t="shared" si="4"/>
        <v>368.02413273001508</v>
      </c>
      <c r="E14">
        <f t="shared" si="4"/>
        <v>552.03619909502254</v>
      </c>
      <c r="F14">
        <f t="shared" si="4"/>
        <v>736.04826546003017</v>
      </c>
      <c r="G14">
        <f t="shared" si="4"/>
        <v>920.06033182503791</v>
      </c>
      <c r="H14">
        <f t="shared" si="4"/>
        <v>1104.0723981900451</v>
      </c>
      <c r="I14">
        <f t="shared" si="4"/>
        <v>1288.0844645550528</v>
      </c>
      <c r="J14">
        <f t="shared" si="4"/>
        <v>1472.0965309200603</v>
      </c>
      <c r="K14">
        <f t="shared" si="4"/>
        <v>1656.1085972850681</v>
      </c>
      <c r="L14">
        <f t="shared" si="4"/>
        <v>1840.1206636500758</v>
      </c>
      <c r="M14">
        <f t="shared" si="4"/>
        <v>2024.1327300150829</v>
      </c>
      <c r="N14">
        <f t="shared" si="4"/>
        <v>2208.1447963800902</v>
      </c>
    </row>
    <row r="16" spans="2:16" x14ac:dyDescent="0.2">
      <c r="B16" s="26" t="s">
        <v>7</v>
      </c>
      <c r="C16">
        <f>$F1</f>
        <v>250</v>
      </c>
      <c r="D16">
        <f t="shared" ref="D16:N16" si="5">$F1</f>
        <v>250</v>
      </c>
      <c r="E16">
        <f t="shared" si="5"/>
        <v>250</v>
      </c>
      <c r="F16">
        <f t="shared" si="5"/>
        <v>250</v>
      </c>
      <c r="G16">
        <f t="shared" si="5"/>
        <v>250</v>
      </c>
      <c r="H16">
        <f t="shared" si="5"/>
        <v>250</v>
      </c>
      <c r="I16">
        <f t="shared" si="5"/>
        <v>250</v>
      </c>
      <c r="J16">
        <f t="shared" si="5"/>
        <v>250</v>
      </c>
      <c r="K16">
        <f t="shared" si="5"/>
        <v>250</v>
      </c>
      <c r="L16">
        <f t="shared" si="5"/>
        <v>250</v>
      </c>
      <c r="M16">
        <f t="shared" si="5"/>
        <v>250</v>
      </c>
      <c r="N16">
        <f t="shared" si="5"/>
        <v>250</v>
      </c>
    </row>
    <row r="17" spans="2:14" x14ac:dyDescent="0.2">
      <c r="B17" s="26" t="s">
        <v>141</v>
      </c>
      <c r="C17" s="47">
        <v>0.75</v>
      </c>
      <c r="D17" s="47">
        <v>0.75</v>
      </c>
      <c r="E17" s="47">
        <v>0.75</v>
      </c>
      <c r="F17" s="47">
        <v>0.75</v>
      </c>
      <c r="G17" s="47">
        <v>0.75</v>
      </c>
      <c r="H17" s="47">
        <v>0.75</v>
      </c>
      <c r="I17" s="47">
        <v>0.75</v>
      </c>
      <c r="J17" s="47">
        <v>0.75</v>
      </c>
      <c r="K17" s="47">
        <v>0.75</v>
      </c>
      <c r="L17" s="47">
        <v>0.75</v>
      </c>
      <c r="M17" s="47">
        <v>0.75</v>
      </c>
      <c r="N17" s="47">
        <v>0.75</v>
      </c>
    </row>
    <row r="18" spans="2:14" x14ac:dyDescent="0.2">
      <c r="B18" s="26" t="s">
        <v>142</v>
      </c>
      <c r="C18">
        <f t="shared" ref="C18:N18" si="6">C16*C17</f>
        <v>187.5</v>
      </c>
      <c r="D18">
        <f t="shared" si="6"/>
        <v>187.5</v>
      </c>
      <c r="E18">
        <f t="shared" si="6"/>
        <v>187.5</v>
      </c>
      <c r="F18">
        <f t="shared" si="6"/>
        <v>187.5</v>
      </c>
      <c r="G18">
        <f t="shared" si="6"/>
        <v>187.5</v>
      </c>
      <c r="H18">
        <f t="shared" si="6"/>
        <v>187.5</v>
      </c>
      <c r="I18">
        <f t="shared" si="6"/>
        <v>187.5</v>
      </c>
      <c r="J18">
        <f t="shared" si="6"/>
        <v>187.5</v>
      </c>
      <c r="K18">
        <f t="shared" si="6"/>
        <v>187.5</v>
      </c>
      <c r="L18">
        <f t="shared" si="6"/>
        <v>187.5</v>
      </c>
      <c r="M18">
        <f t="shared" si="6"/>
        <v>187.5</v>
      </c>
      <c r="N18">
        <f t="shared" si="6"/>
        <v>187.5</v>
      </c>
    </row>
    <row r="19" spans="2:14" x14ac:dyDescent="0.2">
      <c r="B19" s="26" t="s">
        <v>139</v>
      </c>
      <c r="C19">
        <v>1373</v>
      </c>
      <c r="D19">
        <v>1373</v>
      </c>
      <c r="E19">
        <v>1373</v>
      </c>
      <c r="F19">
        <v>1373</v>
      </c>
      <c r="G19">
        <v>1373</v>
      </c>
      <c r="H19">
        <v>1373</v>
      </c>
      <c r="I19">
        <v>1373</v>
      </c>
      <c r="J19">
        <v>1373</v>
      </c>
      <c r="K19">
        <v>1373</v>
      </c>
      <c r="L19">
        <v>1373</v>
      </c>
      <c r="M19">
        <v>1373</v>
      </c>
      <c r="N19">
        <v>1373</v>
      </c>
    </row>
    <row r="20" spans="2:14" x14ac:dyDescent="0.2">
      <c r="B20" s="26" t="s">
        <v>140</v>
      </c>
      <c r="C20" s="47">
        <v>0.4</v>
      </c>
      <c r="D20" s="47">
        <v>0.4</v>
      </c>
      <c r="E20" s="47">
        <v>0.4</v>
      </c>
      <c r="F20" s="47">
        <v>0.4</v>
      </c>
      <c r="G20" s="47">
        <v>0.4</v>
      </c>
      <c r="H20" s="47">
        <v>0.4</v>
      </c>
      <c r="I20" s="47">
        <v>0.4</v>
      </c>
      <c r="J20" s="47">
        <v>0.4</v>
      </c>
      <c r="K20" s="47">
        <v>0.4</v>
      </c>
      <c r="L20" s="47">
        <v>0.4</v>
      </c>
      <c r="M20" s="47">
        <v>0.4</v>
      </c>
      <c r="N20" s="47">
        <v>0.4</v>
      </c>
    </row>
    <row r="21" spans="2:14" x14ac:dyDescent="0.2">
      <c r="B21" s="26" t="s">
        <v>143</v>
      </c>
      <c r="C21">
        <f t="shared" ref="C21:N21" si="7">C12/(C18/60*C19/1000)/C20</f>
        <v>27.876554846264796</v>
      </c>
      <c r="D21">
        <f t="shared" si="7"/>
        <v>55.753109692529591</v>
      </c>
      <c r="E21">
        <f t="shared" si="7"/>
        <v>83.629664538794387</v>
      </c>
      <c r="F21">
        <f>F12/(F18/60*F19/1000)/F20</f>
        <v>111.50621938505918</v>
      </c>
      <c r="G21">
        <f t="shared" si="7"/>
        <v>139.38277423132399</v>
      </c>
      <c r="H21">
        <f t="shared" si="7"/>
        <v>167.25932907758877</v>
      </c>
      <c r="I21">
        <f t="shared" si="7"/>
        <v>195.13588392385358</v>
      </c>
      <c r="J21">
        <f t="shared" si="7"/>
        <v>223.01243877011837</v>
      </c>
      <c r="K21">
        <f t="shared" si="7"/>
        <v>250.88899361638317</v>
      </c>
      <c r="L21">
        <f t="shared" si="7"/>
        <v>278.76554846264798</v>
      </c>
      <c r="M21">
        <f t="shared" si="7"/>
        <v>306.64210330891274</v>
      </c>
      <c r="N21">
        <f t="shared" si="7"/>
        <v>334.51865815517755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4"/>
  <sheetViews>
    <sheetView topLeftCell="A26" zoomScale="125" zoomScaleNormal="125" workbookViewId="0">
      <selection activeCell="E48" sqref="E47:E4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103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0">
        <v>50</v>
      </c>
      <c r="P3" s="30">
        <v>50</v>
      </c>
      <c r="Q3" s="30">
        <v>50</v>
      </c>
      <c r="R3" s="30">
        <v>50</v>
      </c>
      <c r="S3" s="30">
        <v>50</v>
      </c>
      <c r="T3" s="30">
        <v>50</v>
      </c>
    </row>
    <row r="4" spans="1:20" ht="16" x14ac:dyDescent="0.2">
      <c r="A4" s="7" t="s">
        <v>112</v>
      </c>
      <c r="B4" s="7" t="s">
        <v>106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0">
        <v>200</v>
      </c>
      <c r="P4" s="30">
        <v>200</v>
      </c>
      <c r="Q4" s="30">
        <v>200</v>
      </c>
      <c r="R4" s="30">
        <v>200</v>
      </c>
      <c r="S4" s="30">
        <v>200</v>
      </c>
      <c r="T4" s="30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1"/>
      <c r="P5" s="31"/>
      <c r="Q5" s="31"/>
      <c r="R5" s="31"/>
      <c r="S5" s="31"/>
      <c r="T5" s="31"/>
    </row>
    <row r="6" spans="1:20" ht="16" x14ac:dyDescent="0.2">
      <c r="A6" s="7" t="s">
        <v>104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0">
        <v>150</v>
      </c>
      <c r="P6" s="30">
        <v>150</v>
      </c>
      <c r="Q6" s="30">
        <v>150</v>
      </c>
      <c r="R6" s="30">
        <v>150</v>
      </c>
      <c r="S6" s="30">
        <v>150</v>
      </c>
      <c r="T6" s="30">
        <v>150</v>
      </c>
    </row>
    <row r="7" spans="1:20" ht="16" x14ac:dyDescent="0.2">
      <c r="A7" s="7" t="s">
        <v>107</v>
      </c>
      <c r="B7" s="7" t="s">
        <v>106</v>
      </c>
      <c r="C7" s="29">
        <v>450</v>
      </c>
      <c r="D7" s="29">
        <v>450</v>
      </c>
      <c r="E7" s="29">
        <v>450</v>
      </c>
      <c r="F7" s="29">
        <v>450</v>
      </c>
      <c r="G7" s="29">
        <v>450</v>
      </c>
      <c r="H7" s="29">
        <v>450</v>
      </c>
      <c r="I7" s="29">
        <v>450</v>
      </c>
      <c r="J7" s="29">
        <v>450</v>
      </c>
      <c r="K7" s="29">
        <v>450</v>
      </c>
      <c r="L7" s="29">
        <v>450</v>
      </c>
      <c r="M7" s="29">
        <v>450</v>
      </c>
      <c r="N7" s="29">
        <v>450</v>
      </c>
      <c r="O7" s="29">
        <v>450</v>
      </c>
      <c r="P7" s="29">
        <v>450</v>
      </c>
      <c r="Q7" s="29">
        <v>450</v>
      </c>
      <c r="R7" s="29">
        <v>450</v>
      </c>
      <c r="S7" s="29">
        <v>450</v>
      </c>
      <c r="T7" s="29">
        <v>450</v>
      </c>
    </row>
    <row r="8" spans="1:20" x14ac:dyDescent="0.2">
      <c r="O8" s="32"/>
      <c r="P8" s="32"/>
      <c r="Q8" s="32"/>
      <c r="R8" s="32"/>
      <c r="S8" s="32"/>
      <c r="T8" s="32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0">
        <v>1</v>
      </c>
      <c r="P9" s="30">
        <v>2</v>
      </c>
      <c r="Q9" s="30">
        <v>3</v>
      </c>
      <c r="R9" s="30">
        <v>4</v>
      </c>
      <c r="S9" s="30">
        <v>5</v>
      </c>
      <c r="T9" s="30">
        <v>6</v>
      </c>
    </row>
    <row r="10" spans="1:20" ht="16" x14ac:dyDescent="0.2">
      <c r="A10" s="7" t="s">
        <v>35</v>
      </c>
      <c r="B10" s="7"/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2</v>
      </c>
      <c r="J10" s="29">
        <v>2</v>
      </c>
      <c r="K10" s="29">
        <v>2</v>
      </c>
      <c r="L10" s="29">
        <v>2</v>
      </c>
      <c r="M10" s="29">
        <v>2</v>
      </c>
      <c r="N10" s="29">
        <v>2</v>
      </c>
      <c r="O10" s="30">
        <v>4</v>
      </c>
      <c r="P10" s="30">
        <v>4</v>
      </c>
      <c r="Q10" s="30">
        <v>4</v>
      </c>
      <c r="R10" s="30">
        <v>4</v>
      </c>
      <c r="S10" s="30">
        <v>4</v>
      </c>
      <c r="T10" s="30">
        <v>4</v>
      </c>
    </row>
    <row r="11" spans="1:20" x14ac:dyDescent="0.2">
      <c r="O11" s="32"/>
      <c r="P11" s="32"/>
      <c r="Q11" s="32"/>
      <c r="R11" s="32"/>
      <c r="S11" s="32"/>
      <c r="T11" s="32"/>
    </row>
    <row r="12" spans="1:20" ht="16" x14ac:dyDescent="0.2">
      <c r="A12" s="7" t="s">
        <v>111</v>
      </c>
      <c r="B12" s="7" t="s">
        <v>106</v>
      </c>
      <c r="C12">
        <f>C7+(C10*C4)</f>
        <v>650</v>
      </c>
      <c r="D12">
        <f t="shared" ref="D12:T12" si="0">D7+(D10*D4)</f>
        <v>650</v>
      </c>
      <c r="E12">
        <f t="shared" si="0"/>
        <v>650</v>
      </c>
      <c r="F12">
        <f t="shared" si="0"/>
        <v>650</v>
      </c>
      <c r="G12">
        <f t="shared" si="0"/>
        <v>650</v>
      </c>
      <c r="H12">
        <f t="shared" si="0"/>
        <v>650</v>
      </c>
      <c r="I12">
        <f t="shared" si="0"/>
        <v>850</v>
      </c>
      <c r="J12">
        <f t="shared" si="0"/>
        <v>850</v>
      </c>
      <c r="K12">
        <f t="shared" si="0"/>
        <v>850</v>
      </c>
      <c r="L12">
        <f t="shared" si="0"/>
        <v>850</v>
      </c>
      <c r="M12">
        <f t="shared" si="0"/>
        <v>850</v>
      </c>
      <c r="N12">
        <f t="shared" si="0"/>
        <v>850</v>
      </c>
      <c r="O12">
        <f t="shared" si="0"/>
        <v>1250</v>
      </c>
      <c r="P12">
        <f t="shared" si="0"/>
        <v>1250</v>
      </c>
      <c r="Q12">
        <f t="shared" si="0"/>
        <v>1250</v>
      </c>
      <c r="R12">
        <f t="shared" si="0"/>
        <v>1250</v>
      </c>
      <c r="S12">
        <f t="shared" si="0"/>
        <v>1250</v>
      </c>
      <c r="T12">
        <f t="shared" si="0"/>
        <v>1250</v>
      </c>
    </row>
    <row r="13" spans="1:20" ht="16" x14ac:dyDescent="0.2">
      <c r="A13" s="7" t="s">
        <v>108</v>
      </c>
      <c r="B13" s="7" t="s">
        <v>106</v>
      </c>
      <c r="C13" s="7">
        <f>C12*C9</f>
        <v>650</v>
      </c>
      <c r="D13" s="7">
        <f t="shared" ref="D13:T13" si="1">D12*D9</f>
        <v>1300</v>
      </c>
      <c r="E13" s="7">
        <f t="shared" si="1"/>
        <v>1950</v>
      </c>
      <c r="F13" s="7">
        <f t="shared" si="1"/>
        <v>2600</v>
      </c>
      <c r="G13" s="7">
        <f t="shared" si="1"/>
        <v>3250</v>
      </c>
      <c r="H13" s="7">
        <f t="shared" si="1"/>
        <v>3900</v>
      </c>
      <c r="I13" s="7">
        <f t="shared" si="1"/>
        <v>850</v>
      </c>
      <c r="J13" s="7">
        <f t="shared" si="1"/>
        <v>1700</v>
      </c>
      <c r="K13" s="7">
        <f t="shared" si="1"/>
        <v>2550</v>
      </c>
      <c r="L13" s="7">
        <f t="shared" si="1"/>
        <v>3400</v>
      </c>
      <c r="M13" s="7">
        <f t="shared" si="1"/>
        <v>4250</v>
      </c>
      <c r="N13" s="7">
        <f t="shared" si="1"/>
        <v>5100</v>
      </c>
      <c r="O13" s="7">
        <f t="shared" si="1"/>
        <v>1250</v>
      </c>
      <c r="P13" s="7">
        <f t="shared" si="1"/>
        <v>2500</v>
      </c>
      <c r="Q13" s="7">
        <f t="shared" si="1"/>
        <v>3750</v>
      </c>
      <c r="R13" s="7">
        <f t="shared" si="1"/>
        <v>5000</v>
      </c>
      <c r="S13" s="7">
        <f t="shared" si="1"/>
        <v>6250</v>
      </c>
      <c r="T13" s="7">
        <f t="shared" si="1"/>
        <v>7500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105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110</v>
      </c>
      <c r="B18" s="7" t="s">
        <v>113</v>
      </c>
      <c r="C18" s="29">
        <v>100000</v>
      </c>
      <c r="D18" s="29">
        <v>100000</v>
      </c>
      <c r="E18" s="29">
        <v>100000</v>
      </c>
      <c r="F18" s="29">
        <v>100000</v>
      </c>
      <c r="G18" s="29">
        <v>100000</v>
      </c>
      <c r="H18" s="29">
        <v>100000</v>
      </c>
      <c r="I18" s="29">
        <v>100000</v>
      </c>
      <c r="J18" s="29">
        <v>100000</v>
      </c>
      <c r="K18" s="29">
        <v>100000</v>
      </c>
      <c r="L18" s="29">
        <v>100000</v>
      </c>
      <c r="M18" s="29">
        <v>100000</v>
      </c>
      <c r="N18" s="29">
        <v>100000</v>
      </c>
      <c r="O18" s="29">
        <v>100000</v>
      </c>
      <c r="P18" s="29">
        <v>100000</v>
      </c>
      <c r="Q18" s="29">
        <v>100000</v>
      </c>
      <c r="R18" s="29">
        <v>100000</v>
      </c>
      <c r="S18" s="29">
        <v>100000</v>
      </c>
      <c r="T18" s="29">
        <v>100000</v>
      </c>
    </row>
    <row r="19" spans="1:25" ht="16" x14ac:dyDescent="0.2">
      <c r="A19" s="7" t="s">
        <v>109</v>
      </c>
      <c r="B19" s="7" t="s">
        <v>33</v>
      </c>
      <c r="C19" s="7">
        <f>C13*C18/10000000</f>
        <v>6.5</v>
      </c>
      <c r="D19" s="7">
        <f t="shared" ref="D19:T19" si="4">D13*D18/10000000</f>
        <v>13</v>
      </c>
      <c r="E19" s="7">
        <f t="shared" si="4"/>
        <v>19.5</v>
      </c>
      <c r="F19" s="7">
        <f t="shared" si="4"/>
        <v>26</v>
      </c>
      <c r="G19" s="7">
        <f t="shared" si="4"/>
        <v>32.5</v>
      </c>
      <c r="H19" s="7">
        <f t="shared" si="4"/>
        <v>39</v>
      </c>
      <c r="I19" s="7">
        <f t="shared" si="4"/>
        <v>8.5</v>
      </c>
      <c r="J19" s="7">
        <f t="shared" si="4"/>
        <v>17</v>
      </c>
      <c r="K19" s="7">
        <f t="shared" si="4"/>
        <v>25.5</v>
      </c>
      <c r="L19" s="7">
        <f t="shared" si="4"/>
        <v>34</v>
      </c>
      <c r="M19" s="7">
        <f t="shared" si="4"/>
        <v>42.5</v>
      </c>
      <c r="N19" s="7">
        <f t="shared" si="4"/>
        <v>51</v>
      </c>
      <c r="O19" s="7">
        <f t="shared" si="4"/>
        <v>12.5</v>
      </c>
      <c r="P19" s="7">
        <f t="shared" si="4"/>
        <v>25</v>
      </c>
      <c r="Q19" s="7">
        <f t="shared" si="4"/>
        <v>37.5</v>
      </c>
      <c r="R19" s="7">
        <f t="shared" si="4"/>
        <v>50</v>
      </c>
      <c r="S19" s="7">
        <f t="shared" si="4"/>
        <v>62.5</v>
      </c>
      <c r="T19" s="7">
        <f t="shared" si="4"/>
        <v>75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4" t="s">
        <v>37</v>
      </c>
      <c r="B21" s="35" t="s">
        <v>33</v>
      </c>
      <c r="C21" s="36">
        <f>C19+C16</f>
        <v>206.5</v>
      </c>
      <c r="D21" s="36">
        <f t="shared" ref="D21:T21" si="5">D19+D16</f>
        <v>413</v>
      </c>
      <c r="E21" s="36">
        <f t="shared" si="5"/>
        <v>619.5</v>
      </c>
      <c r="F21" s="36">
        <f t="shared" si="5"/>
        <v>826</v>
      </c>
      <c r="G21" s="36">
        <f t="shared" si="5"/>
        <v>1032.5</v>
      </c>
      <c r="H21" s="36">
        <f t="shared" si="5"/>
        <v>1239</v>
      </c>
      <c r="I21" s="36">
        <f t="shared" si="5"/>
        <v>258.5</v>
      </c>
      <c r="J21" s="36">
        <f t="shared" si="5"/>
        <v>517</v>
      </c>
      <c r="K21" s="36">
        <f t="shared" si="5"/>
        <v>775.5</v>
      </c>
      <c r="L21" s="36">
        <f t="shared" si="5"/>
        <v>1034</v>
      </c>
      <c r="M21" s="36">
        <f t="shared" si="5"/>
        <v>1292.5</v>
      </c>
      <c r="N21" s="36">
        <f t="shared" si="5"/>
        <v>1551</v>
      </c>
      <c r="O21" s="36">
        <f t="shared" si="5"/>
        <v>362.5</v>
      </c>
      <c r="P21" s="36">
        <f t="shared" si="5"/>
        <v>725</v>
      </c>
      <c r="Q21" s="36">
        <f t="shared" si="5"/>
        <v>1087.5</v>
      </c>
      <c r="R21" s="36">
        <f t="shared" si="5"/>
        <v>1450</v>
      </c>
      <c r="S21" s="36">
        <f t="shared" si="5"/>
        <v>1812.5</v>
      </c>
      <c r="T21" s="37">
        <f t="shared" si="5"/>
        <v>2175</v>
      </c>
    </row>
    <row r="23" spans="1:25" ht="16" x14ac:dyDescent="0.2">
      <c r="A23" s="7" t="s">
        <v>114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ht="16" x14ac:dyDescent="0.2">
      <c r="A24" s="7" t="s">
        <v>150</v>
      </c>
      <c r="C24">
        <f>C23*'Laser Count Analysis'!$K4</f>
        <v>6</v>
      </c>
      <c r="D24">
        <f>D23*'Laser Count Analysis'!$K4</f>
        <v>12</v>
      </c>
      <c r="E24">
        <f>E23*'Laser Count Analysis'!$K4</f>
        <v>18</v>
      </c>
      <c r="F24">
        <f>F23*'Laser Count Analysis'!$K4</f>
        <v>24</v>
      </c>
      <c r="G24">
        <f>G23*'Laser Count Analysis'!$K4</f>
        <v>30</v>
      </c>
      <c r="H24">
        <f>H23*'Laser Count Analysis'!$K4</f>
        <v>36</v>
      </c>
      <c r="I24">
        <f>I23*'Laser Count Analysis'!$K4</f>
        <v>12</v>
      </c>
      <c r="J24">
        <f>J23*'Laser Count Analysis'!$K4</f>
        <v>24</v>
      </c>
      <c r="K24">
        <f>K23*'Laser Count Analysis'!$K4</f>
        <v>36</v>
      </c>
      <c r="L24">
        <f>L23*'Laser Count Analysis'!$K4</f>
        <v>48</v>
      </c>
      <c r="M24">
        <f>M23*'Laser Count Analysis'!$K4</f>
        <v>60</v>
      </c>
      <c r="N24">
        <f>N23*'Laser Count Analysis'!$K4</f>
        <v>72</v>
      </c>
      <c r="O24">
        <f>O23*'Laser Count Analysis'!$K4</f>
        <v>24</v>
      </c>
      <c r="P24">
        <f>P23*'Laser Count Analysis'!$K4</f>
        <v>48</v>
      </c>
      <c r="Q24">
        <f>Q23*'Laser Count Analysis'!$K4</f>
        <v>72</v>
      </c>
      <c r="R24">
        <f>R23*'Laser Count Analysis'!$K4</f>
        <v>96</v>
      </c>
      <c r="S24">
        <f>S23*'Laser Count Analysis'!$K4</f>
        <v>120</v>
      </c>
      <c r="T24">
        <f>T23*'Laser Count Analysis'!$K4</f>
        <v>144</v>
      </c>
    </row>
    <row r="25" spans="1:25" x14ac:dyDescent="0.2">
      <c r="A25" s="33" t="s">
        <v>121</v>
      </c>
      <c r="B25" s="3"/>
      <c r="C25" s="3">
        <f>'Laser Count Analysis'!$K3</f>
        <v>61</v>
      </c>
      <c r="D25" s="3">
        <f>'Laser Count Analysis'!$K3</f>
        <v>61</v>
      </c>
      <c r="E25" s="3">
        <f>'Laser Count Analysis'!$K3</f>
        <v>61</v>
      </c>
      <c r="F25" s="3">
        <f>'Laser Count Analysis'!$K3</f>
        <v>61</v>
      </c>
      <c r="G25" s="3">
        <f>'Laser Count Analysis'!$K3</f>
        <v>61</v>
      </c>
      <c r="H25" s="3">
        <f>'Laser Count Analysis'!$K3</f>
        <v>61</v>
      </c>
      <c r="I25" s="3">
        <f>'Laser Count Analysis'!$K3</f>
        <v>61</v>
      </c>
      <c r="J25" s="3">
        <f>'Laser Count Analysis'!$K3</f>
        <v>61</v>
      </c>
      <c r="K25" s="3">
        <f>'Laser Count Analysis'!$K3</f>
        <v>61</v>
      </c>
      <c r="L25" s="3">
        <f>'Laser Count Analysis'!$K3</f>
        <v>61</v>
      </c>
      <c r="M25" s="3">
        <f>'Laser Count Analysis'!$K3</f>
        <v>61</v>
      </c>
      <c r="N25" s="3">
        <f>'Laser Count Analysis'!$K3</f>
        <v>61</v>
      </c>
      <c r="O25" s="3">
        <f>'Laser Count Analysis'!$K3</f>
        <v>61</v>
      </c>
      <c r="P25" s="3">
        <f>'Laser Count Analysis'!$K3</f>
        <v>61</v>
      </c>
      <c r="Q25" s="3">
        <f>'Laser Count Analysis'!$K3</f>
        <v>61</v>
      </c>
      <c r="R25" s="3">
        <f>'Laser Count Analysis'!$K3</f>
        <v>61</v>
      </c>
      <c r="S25" s="3">
        <f>'Laser Count Analysis'!$K3</f>
        <v>61</v>
      </c>
      <c r="T25" s="3">
        <f>'Laser Count Analysis'!$K3</f>
        <v>61</v>
      </c>
      <c r="U25" s="3"/>
      <c r="V25" s="3"/>
      <c r="W25" s="3"/>
      <c r="X25" s="3"/>
      <c r="Y25" s="3"/>
    </row>
    <row r="26" spans="1:25" x14ac:dyDescent="0.2">
      <c r="A26" s="33" t="s">
        <v>122</v>
      </c>
      <c r="B26" s="1"/>
      <c r="C26" s="1">
        <f>24*60/'Laser Count Analysis'!$K2</f>
        <v>5.76</v>
      </c>
      <c r="D26" s="1">
        <f>24*60/'Laser Count Analysis'!$K2</f>
        <v>5.76</v>
      </c>
      <c r="E26" s="1">
        <f>24*60/'Laser Count Analysis'!$K2</f>
        <v>5.76</v>
      </c>
      <c r="F26" s="1">
        <f>24*60/'Laser Count Analysis'!$K2</f>
        <v>5.76</v>
      </c>
      <c r="G26" s="1">
        <f>24*60/'Laser Count Analysis'!$K2</f>
        <v>5.76</v>
      </c>
      <c r="H26" s="1">
        <f>24*60/'Laser Count Analysis'!$K2</f>
        <v>5.76</v>
      </c>
      <c r="I26" s="1">
        <f>24*60/'Laser Count Analysis'!$K2</f>
        <v>5.76</v>
      </c>
      <c r="J26" s="1">
        <f>24*60/'Laser Count Analysis'!$K2</f>
        <v>5.76</v>
      </c>
      <c r="K26" s="1">
        <f>24*60/'Laser Count Analysis'!$K2</f>
        <v>5.76</v>
      </c>
      <c r="L26" s="1">
        <f>24*60/'Laser Count Analysis'!$K2</f>
        <v>5.76</v>
      </c>
      <c r="M26" s="1">
        <f>24*60/'Laser Count Analysis'!$K2</f>
        <v>5.76</v>
      </c>
      <c r="N26" s="1">
        <f>24*60/'Laser Count Analysis'!$K2</f>
        <v>5.76</v>
      </c>
      <c r="O26" s="1">
        <f>24*60/'Laser Count Analysis'!$K2</f>
        <v>5.76</v>
      </c>
      <c r="P26" s="1">
        <f>24*60/'Laser Count Analysis'!$K2</f>
        <v>5.76</v>
      </c>
      <c r="Q26" s="1">
        <f>24*60/'Laser Count Analysis'!$K2</f>
        <v>5.76</v>
      </c>
      <c r="R26" s="1">
        <f>24*60/'Laser Count Analysis'!$K2</f>
        <v>5.76</v>
      </c>
      <c r="S26" s="1">
        <f>24*60/'Laser Count Analysis'!$K2</f>
        <v>5.76</v>
      </c>
      <c r="T26" s="1">
        <f>24*60/'Laser Count Analysis'!$K2</f>
        <v>5.76</v>
      </c>
      <c r="U26" s="1"/>
      <c r="V26" s="1"/>
      <c r="W26" s="1"/>
      <c r="X26" s="1"/>
      <c r="Y26" s="1"/>
    </row>
    <row r="27" spans="1:25" x14ac:dyDescent="0.2">
      <c r="A27" s="33" t="s">
        <v>123</v>
      </c>
      <c r="B27" s="1"/>
      <c r="C27" s="1">
        <f t="shared" ref="C27" si="7">C25/60*C26</f>
        <v>5.8559999999999999</v>
      </c>
      <c r="D27" s="1">
        <f t="shared" ref="D27" si="8">D25/60*D26</f>
        <v>5.8559999999999999</v>
      </c>
      <c r="E27" s="1">
        <f t="shared" ref="E27" si="9">E25/60*E26</f>
        <v>5.8559999999999999</v>
      </c>
      <c r="F27" s="1">
        <f t="shared" ref="F27" si="10">F25/60*F26</f>
        <v>5.8559999999999999</v>
      </c>
      <c r="G27" s="1">
        <f t="shared" ref="G27" si="11">G25/60*G26</f>
        <v>5.8559999999999999</v>
      </c>
      <c r="H27" s="1">
        <f t="shared" ref="H27" si="12">H25/60*H26</f>
        <v>5.8559999999999999</v>
      </c>
      <c r="I27" s="1">
        <f t="shared" ref="I27" si="13">I25/60*I26</f>
        <v>5.8559999999999999</v>
      </c>
      <c r="J27" s="1">
        <f t="shared" ref="J27" si="14">J25/60*J26</f>
        <v>5.8559999999999999</v>
      </c>
      <c r="K27" s="1">
        <f t="shared" ref="K27" si="15">K25/60*K26</f>
        <v>5.8559999999999999</v>
      </c>
      <c r="L27" s="1">
        <f t="shared" ref="L27" si="16">L25/60*L26</f>
        <v>5.8559999999999999</v>
      </c>
      <c r="M27" s="1">
        <f t="shared" ref="M27" si="17">M25/60*M26</f>
        <v>5.8559999999999999</v>
      </c>
      <c r="N27" s="1">
        <f t="shared" ref="N27" si="18">N25/60*N26</f>
        <v>5.8559999999999999</v>
      </c>
      <c r="O27" s="1">
        <f t="shared" ref="O27" si="19">O25/60*O26</f>
        <v>5.8559999999999999</v>
      </c>
      <c r="P27" s="1">
        <f t="shared" ref="P27" si="20">P25/60*P26</f>
        <v>5.8559999999999999</v>
      </c>
      <c r="Q27" s="1">
        <f t="shared" ref="Q27" si="21">Q25/60*Q26</f>
        <v>5.8559999999999999</v>
      </c>
      <c r="R27" s="1">
        <f t="shared" ref="R27" si="22">R25/60*R26</f>
        <v>5.8559999999999999</v>
      </c>
      <c r="S27" s="1">
        <f t="shared" ref="S27" si="23">S25/60*S26</f>
        <v>5.8559999999999999</v>
      </c>
      <c r="T27" s="1">
        <f t="shared" ref="T27" si="24">T25/60*T26</f>
        <v>5.8559999999999999</v>
      </c>
      <c r="U27" s="1"/>
      <c r="V27" s="1"/>
      <c r="W27" s="1"/>
      <c r="X27" s="1"/>
      <c r="Y27" s="1"/>
    </row>
    <row r="28" spans="1:25" ht="16" x14ac:dyDescent="0.2">
      <c r="A28" s="7" t="s">
        <v>115</v>
      </c>
      <c r="C28" s="1">
        <f>C24*C27</f>
        <v>35.135999999999996</v>
      </c>
      <c r="D28" s="1">
        <f t="shared" ref="D28:T28" si="25">D24*D27</f>
        <v>70.271999999999991</v>
      </c>
      <c r="E28" s="1">
        <f t="shared" si="25"/>
        <v>105.408</v>
      </c>
      <c r="F28" s="1">
        <f t="shared" si="25"/>
        <v>140.54399999999998</v>
      </c>
      <c r="G28" s="1">
        <f t="shared" si="25"/>
        <v>175.68</v>
      </c>
      <c r="H28" s="1">
        <f t="shared" si="25"/>
        <v>210.816</v>
      </c>
      <c r="I28" s="1">
        <f t="shared" si="25"/>
        <v>70.271999999999991</v>
      </c>
      <c r="J28" s="1">
        <f t="shared" si="25"/>
        <v>140.54399999999998</v>
      </c>
      <c r="K28" s="1">
        <f t="shared" si="25"/>
        <v>210.816</v>
      </c>
      <c r="L28" s="1">
        <f t="shared" si="25"/>
        <v>281.08799999999997</v>
      </c>
      <c r="M28" s="1">
        <f t="shared" si="25"/>
        <v>351.36</v>
      </c>
      <c r="N28" s="1">
        <f t="shared" si="25"/>
        <v>421.63200000000001</v>
      </c>
      <c r="O28" s="1">
        <f t="shared" si="25"/>
        <v>140.54399999999998</v>
      </c>
      <c r="P28" s="1">
        <f t="shared" si="25"/>
        <v>281.08799999999997</v>
      </c>
      <c r="Q28" s="1">
        <f t="shared" si="25"/>
        <v>421.63200000000001</v>
      </c>
      <c r="R28" s="1">
        <f t="shared" si="25"/>
        <v>562.17599999999993</v>
      </c>
      <c r="S28" s="1">
        <f t="shared" si="25"/>
        <v>702.72</v>
      </c>
      <c r="T28" s="1">
        <f t="shared" si="25"/>
        <v>843.26400000000001</v>
      </c>
    </row>
    <row r="29" spans="1:25" ht="16" x14ac:dyDescent="0.2">
      <c r="A29" s="7" t="s">
        <v>119</v>
      </c>
      <c r="C29" s="3">
        <f>365*C28</f>
        <v>12824.639999999998</v>
      </c>
      <c r="D29" s="3">
        <f t="shared" ref="D29:T29" si="26">365*D28</f>
        <v>25649.279999999995</v>
      </c>
      <c r="E29" s="3">
        <f t="shared" si="26"/>
        <v>38473.919999999998</v>
      </c>
      <c r="F29" s="3">
        <f t="shared" si="26"/>
        <v>51298.55999999999</v>
      </c>
      <c r="G29" s="3">
        <f t="shared" si="26"/>
        <v>64123.200000000004</v>
      </c>
      <c r="H29" s="3">
        <f t="shared" si="26"/>
        <v>76947.839999999997</v>
      </c>
      <c r="I29" s="3">
        <f t="shared" si="26"/>
        <v>25649.279999999995</v>
      </c>
      <c r="J29" s="3">
        <f t="shared" si="26"/>
        <v>51298.55999999999</v>
      </c>
      <c r="K29" s="3">
        <f t="shared" si="26"/>
        <v>76947.839999999997</v>
      </c>
      <c r="L29" s="3">
        <f t="shared" si="26"/>
        <v>102597.11999999998</v>
      </c>
      <c r="M29" s="3">
        <f t="shared" si="26"/>
        <v>128246.40000000001</v>
      </c>
      <c r="N29" s="3">
        <f t="shared" si="26"/>
        <v>153895.67999999999</v>
      </c>
      <c r="O29" s="3">
        <f t="shared" si="26"/>
        <v>51298.55999999999</v>
      </c>
      <c r="P29" s="3">
        <f t="shared" si="26"/>
        <v>102597.11999999998</v>
      </c>
      <c r="Q29" s="3">
        <f t="shared" si="26"/>
        <v>153895.67999999999</v>
      </c>
      <c r="R29" s="3">
        <f t="shared" si="26"/>
        <v>205194.23999999996</v>
      </c>
      <c r="S29" s="3">
        <f t="shared" si="26"/>
        <v>256492.80000000002</v>
      </c>
      <c r="T29" s="3">
        <f t="shared" si="26"/>
        <v>307791.35999999999</v>
      </c>
    </row>
    <row r="30" spans="1:25" ht="16" x14ac:dyDescent="0.2">
      <c r="A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2">
      <c r="A31" s="33" t="s">
        <v>116</v>
      </c>
      <c r="B31" t="s">
        <v>113</v>
      </c>
      <c r="C31" s="3">
        <f>C21/(C29)*1000000</f>
        <v>16101.816503231285</v>
      </c>
      <c r="D31" s="3">
        <f t="shared" ref="D31:T31" si="27">D21/(D29)*1000000</f>
        <v>16101.816503231285</v>
      </c>
      <c r="E31" s="3">
        <f t="shared" si="27"/>
        <v>16101.816503231281</v>
      </c>
      <c r="F31" s="3">
        <f t="shared" si="27"/>
        <v>16101.816503231285</v>
      </c>
      <c r="G31" s="3">
        <f t="shared" si="27"/>
        <v>16101.816503231277</v>
      </c>
      <c r="H31" s="3">
        <f t="shared" si="27"/>
        <v>16101.816503231281</v>
      </c>
      <c r="I31" s="3">
        <f t="shared" si="27"/>
        <v>10078.25560795469</v>
      </c>
      <c r="J31" s="3">
        <f t="shared" si="27"/>
        <v>10078.25560795469</v>
      </c>
      <c r="K31" s="3">
        <f t="shared" si="27"/>
        <v>10078.255607954688</v>
      </c>
      <c r="L31" s="3">
        <f t="shared" si="27"/>
        <v>10078.25560795469</v>
      </c>
      <c r="M31" s="3">
        <f t="shared" si="27"/>
        <v>10078.255607954687</v>
      </c>
      <c r="N31" s="3">
        <f t="shared" si="27"/>
        <v>10078.255607954688</v>
      </c>
      <c r="O31" s="3">
        <f t="shared" si="27"/>
        <v>7066.4751603163922</v>
      </c>
      <c r="P31" s="3">
        <f t="shared" si="27"/>
        <v>7066.4751603163922</v>
      </c>
      <c r="Q31" s="3">
        <f t="shared" si="27"/>
        <v>7066.4751603163913</v>
      </c>
      <c r="R31" s="3">
        <f t="shared" si="27"/>
        <v>7066.4751603163922</v>
      </c>
      <c r="S31" s="3">
        <f t="shared" si="27"/>
        <v>7066.4751603163904</v>
      </c>
      <c r="T31" s="3">
        <f t="shared" si="27"/>
        <v>7066.4751603163913</v>
      </c>
    </row>
    <row r="32" spans="1:25" x14ac:dyDescent="0.2">
      <c r="A32" s="33" t="s">
        <v>117</v>
      </c>
      <c r="B32" t="s">
        <v>113</v>
      </c>
      <c r="C32" s="3">
        <f>C21/(C29*2)*1000000</f>
        <v>8050.9082516156423</v>
      </c>
      <c r="D32" s="3">
        <f t="shared" ref="D32:T32" si="28">D21/(D29*2)*1000000</f>
        <v>8050.9082516156423</v>
      </c>
      <c r="E32" s="3">
        <f t="shared" si="28"/>
        <v>8050.9082516156404</v>
      </c>
      <c r="F32" s="3">
        <f t="shared" si="28"/>
        <v>8050.9082516156423</v>
      </c>
      <c r="G32" s="3">
        <f t="shared" si="28"/>
        <v>8050.9082516156386</v>
      </c>
      <c r="H32" s="3">
        <f t="shared" si="28"/>
        <v>8050.9082516156404</v>
      </c>
      <c r="I32" s="3">
        <f t="shared" si="28"/>
        <v>5039.1278039773451</v>
      </c>
      <c r="J32" s="3">
        <f t="shared" si="28"/>
        <v>5039.1278039773451</v>
      </c>
      <c r="K32" s="3">
        <f t="shared" si="28"/>
        <v>5039.1278039773442</v>
      </c>
      <c r="L32" s="3">
        <f t="shared" si="28"/>
        <v>5039.1278039773451</v>
      </c>
      <c r="M32" s="3">
        <f t="shared" si="28"/>
        <v>5039.1278039773433</v>
      </c>
      <c r="N32" s="3">
        <f t="shared" si="28"/>
        <v>5039.1278039773442</v>
      </c>
      <c r="O32" s="3">
        <f t="shared" si="28"/>
        <v>3533.2375801581961</v>
      </c>
      <c r="P32" s="3">
        <f t="shared" si="28"/>
        <v>3533.2375801581961</v>
      </c>
      <c r="Q32" s="3">
        <f t="shared" si="28"/>
        <v>3533.2375801581957</v>
      </c>
      <c r="R32" s="3">
        <f t="shared" si="28"/>
        <v>3533.2375801581961</v>
      </c>
      <c r="S32" s="3">
        <f t="shared" si="28"/>
        <v>3533.2375801581952</v>
      </c>
      <c r="T32" s="3">
        <f t="shared" si="28"/>
        <v>3533.2375801581957</v>
      </c>
    </row>
    <row r="33" spans="1:20" x14ac:dyDescent="0.2">
      <c r="A33" s="33" t="s">
        <v>118</v>
      </c>
      <c r="B33" t="s">
        <v>113</v>
      </c>
      <c r="C33" s="3">
        <f>C21/(C29*5)*1000000</f>
        <v>3220.3633006462564</v>
      </c>
      <c r="D33" s="3">
        <f t="shared" ref="D33:T33" si="29">D21/(D29*5)*1000000</f>
        <v>3220.3633006462564</v>
      </c>
      <c r="E33" s="3">
        <f t="shared" si="29"/>
        <v>3220.3633006462564</v>
      </c>
      <c r="F33" s="3">
        <f t="shared" si="29"/>
        <v>3220.3633006462564</v>
      </c>
      <c r="G33" s="3">
        <f t="shared" si="29"/>
        <v>3220.363300646256</v>
      </c>
      <c r="H33" s="3">
        <f t="shared" si="29"/>
        <v>3220.3633006462564</v>
      </c>
      <c r="I33" s="3">
        <f t="shared" si="29"/>
        <v>2015.6511215909377</v>
      </c>
      <c r="J33" s="3">
        <f t="shared" si="29"/>
        <v>2015.6511215909377</v>
      </c>
      <c r="K33" s="3">
        <f t="shared" si="29"/>
        <v>2015.6511215909377</v>
      </c>
      <c r="L33" s="3">
        <f t="shared" si="29"/>
        <v>2015.6511215909377</v>
      </c>
      <c r="M33" s="3">
        <f t="shared" si="29"/>
        <v>2015.6511215909377</v>
      </c>
      <c r="N33" s="3">
        <f t="shared" si="29"/>
        <v>2015.6511215909377</v>
      </c>
      <c r="O33" s="3">
        <f t="shared" si="29"/>
        <v>1413.2950320632783</v>
      </c>
      <c r="P33" s="3">
        <f t="shared" si="29"/>
        <v>1413.2950320632783</v>
      </c>
      <c r="Q33" s="3">
        <f t="shared" si="29"/>
        <v>1413.2950320632783</v>
      </c>
      <c r="R33" s="3">
        <f t="shared" si="29"/>
        <v>1413.2950320632783</v>
      </c>
      <c r="S33" s="3">
        <f t="shared" si="29"/>
        <v>1413.2950320632783</v>
      </c>
      <c r="T33" s="3">
        <f t="shared" si="29"/>
        <v>1413.2950320632783</v>
      </c>
    </row>
    <row r="34" spans="1:20" x14ac:dyDescent="0.2">
      <c r="A34" s="33" t="s">
        <v>120</v>
      </c>
      <c r="B34" t="s">
        <v>113</v>
      </c>
      <c r="C34" s="3">
        <f>C21/(C29*10)*1000000</f>
        <v>1610.1816503231282</v>
      </c>
      <c r="D34" s="3">
        <f t="shared" ref="D34:T34" si="30">D21/(D29*10)*1000000</f>
        <v>1610.1816503231282</v>
      </c>
      <c r="E34" s="3">
        <f t="shared" si="30"/>
        <v>1610.1816503231282</v>
      </c>
      <c r="F34" s="3">
        <f t="shared" si="30"/>
        <v>1610.1816503231282</v>
      </c>
      <c r="G34" s="3">
        <f t="shared" si="30"/>
        <v>1610.181650323128</v>
      </c>
      <c r="H34" s="3">
        <f t="shared" si="30"/>
        <v>1610.1816503231282</v>
      </c>
      <c r="I34" s="3">
        <f t="shared" si="30"/>
        <v>1007.8255607954688</v>
      </c>
      <c r="J34" s="3">
        <f t="shared" si="30"/>
        <v>1007.8255607954688</v>
      </c>
      <c r="K34" s="3">
        <f t="shared" si="30"/>
        <v>1007.8255607954688</v>
      </c>
      <c r="L34" s="3">
        <f t="shared" si="30"/>
        <v>1007.8255607954688</v>
      </c>
      <c r="M34" s="3">
        <f t="shared" si="30"/>
        <v>1007.8255607954688</v>
      </c>
      <c r="N34" s="3">
        <f t="shared" si="30"/>
        <v>1007.8255607954688</v>
      </c>
      <c r="O34" s="3">
        <f t="shared" si="30"/>
        <v>706.64751603163916</v>
      </c>
      <c r="P34" s="3">
        <f t="shared" si="30"/>
        <v>706.64751603163916</v>
      </c>
      <c r="Q34" s="3">
        <f t="shared" si="30"/>
        <v>706.64751603163916</v>
      </c>
      <c r="R34" s="3">
        <f t="shared" si="30"/>
        <v>706.64751603163916</v>
      </c>
      <c r="S34" s="3">
        <f t="shared" si="30"/>
        <v>706.64751603163916</v>
      </c>
      <c r="T34" s="3">
        <f t="shared" si="30"/>
        <v>706.64751603163916</v>
      </c>
    </row>
    <row r="38" spans="1:20" x14ac:dyDescent="0.2">
      <c r="C38" t="s">
        <v>129</v>
      </c>
      <c r="D38" t="s">
        <v>130</v>
      </c>
      <c r="E38" t="s">
        <v>131</v>
      </c>
    </row>
    <row r="39" spans="1:20" x14ac:dyDescent="0.2">
      <c r="A39" t="s">
        <v>124</v>
      </c>
      <c r="C39" s="3">
        <f>D21</f>
        <v>413</v>
      </c>
      <c r="D39" s="3">
        <f>I21</f>
        <v>258.5</v>
      </c>
      <c r="G39" s="3"/>
      <c r="H39" s="3"/>
    </row>
    <row r="40" spans="1:20" x14ac:dyDescent="0.2">
      <c r="A40" t="s">
        <v>125</v>
      </c>
      <c r="C40" s="3">
        <f>F21</f>
        <v>826</v>
      </c>
      <c r="D40" s="3">
        <f>J21</f>
        <v>517</v>
      </c>
      <c r="E40" s="3">
        <f>O21</f>
        <v>362.5</v>
      </c>
      <c r="G40" s="27"/>
      <c r="H40" s="3"/>
      <c r="I40" s="3"/>
    </row>
    <row r="41" spans="1:20" x14ac:dyDescent="0.2">
      <c r="A41" t="s">
        <v>126</v>
      </c>
      <c r="C41" s="3">
        <f>H21</f>
        <v>1239</v>
      </c>
      <c r="D41" s="3">
        <f>K21</f>
        <v>775.5</v>
      </c>
      <c r="G41" s="3"/>
      <c r="H41" s="3"/>
    </row>
    <row r="42" spans="1:20" x14ac:dyDescent="0.2">
      <c r="A42" t="s">
        <v>127</v>
      </c>
      <c r="D42" s="3">
        <f>L21</f>
        <v>1034</v>
      </c>
      <c r="E42" s="3">
        <f>P21</f>
        <v>725</v>
      </c>
      <c r="I42" s="3"/>
    </row>
    <row r="43" spans="1:20" x14ac:dyDescent="0.2">
      <c r="A43" t="s">
        <v>132</v>
      </c>
      <c r="D43" s="3">
        <f>M21</f>
        <v>1292.5</v>
      </c>
      <c r="E43" s="3"/>
      <c r="I43" s="3"/>
    </row>
    <row r="44" spans="1:20" x14ac:dyDescent="0.2">
      <c r="A44" t="s">
        <v>128</v>
      </c>
      <c r="D44" s="3">
        <f>N21</f>
        <v>1551</v>
      </c>
      <c r="E44" s="3">
        <f>Q21</f>
        <v>1087.5</v>
      </c>
      <c r="H44" s="3"/>
      <c r="I44" s="3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133</v>
      </c>
      <c r="C14" t="s">
        <v>106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C2:S45"/>
  <sheetViews>
    <sheetView tabSelected="1" topLeftCell="A9" zoomScale="125" zoomScaleNormal="125" workbookViewId="0">
      <selection activeCell="R23" sqref="R23"/>
    </sheetView>
  </sheetViews>
  <sheetFormatPr baseColWidth="10" defaultRowHeight="15" x14ac:dyDescent="0.2"/>
  <cols>
    <col min="4" max="4" width="8.33203125" customWidth="1"/>
    <col min="5" max="5" width="5.1640625" customWidth="1"/>
    <col min="6" max="6" width="8.1640625" customWidth="1"/>
    <col min="7" max="7" width="5.1640625" customWidth="1"/>
  </cols>
  <sheetData>
    <row r="2" spans="3:7" x14ac:dyDescent="0.2">
      <c r="C2" s="26" t="s">
        <v>163</v>
      </c>
      <c r="D2">
        <v>1373</v>
      </c>
      <c r="E2" t="s">
        <v>152</v>
      </c>
      <c r="F2">
        <v>1373</v>
      </c>
      <c r="G2" t="s">
        <v>152</v>
      </c>
    </row>
    <row r="3" spans="3:7" x14ac:dyDescent="0.2">
      <c r="C3" s="26" t="s">
        <v>166</v>
      </c>
      <c r="D3">
        <v>402</v>
      </c>
      <c r="E3" t="s">
        <v>152</v>
      </c>
      <c r="F3">
        <v>1300</v>
      </c>
      <c r="G3" t="s">
        <v>152</v>
      </c>
    </row>
    <row r="4" spans="3:7" x14ac:dyDescent="0.2">
      <c r="C4" s="26"/>
    </row>
    <row r="5" spans="3:7" x14ac:dyDescent="0.2">
      <c r="C5" s="26" t="s">
        <v>160</v>
      </c>
    </row>
    <row r="6" spans="3:7" x14ac:dyDescent="0.2">
      <c r="C6" s="26" t="s">
        <v>158</v>
      </c>
      <c r="D6">
        <v>12</v>
      </c>
      <c r="E6" t="s">
        <v>46</v>
      </c>
      <c r="F6">
        <v>12</v>
      </c>
      <c r="G6" t="s">
        <v>46</v>
      </c>
    </row>
    <row r="7" spans="3:7" x14ac:dyDescent="0.2">
      <c r="C7" s="26" t="s">
        <v>159</v>
      </c>
      <c r="D7">
        <v>90</v>
      </c>
      <c r="E7" t="s">
        <v>46</v>
      </c>
      <c r="F7">
        <v>90</v>
      </c>
      <c r="G7" t="s">
        <v>46</v>
      </c>
    </row>
    <row r="8" spans="3:7" x14ac:dyDescent="0.2">
      <c r="C8" s="26"/>
    </row>
    <row r="9" spans="3:7" x14ac:dyDescent="0.2">
      <c r="C9" s="26" t="s">
        <v>161</v>
      </c>
    </row>
    <row r="10" spans="3:7" x14ac:dyDescent="0.2">
      <c r="C10" s="26" t="s">
        <v>158</v>
      </c>
      <c r="D10">
        <v>12</v>
      </c>
      <c r="E10" t="s">
        <v>46</v>
      </c>
      <c r="F10">
        <v>12</v>
      </c>
      <c r="G10" t="s">
        <v>46</v>
      </c>
    </row>
    <row r="11" spans="3:7" x14ac:dyDescent="0.2">
      <c r="C11" s="26" t="s">
        <v>159</v>
      </c>
      <c r="D11">
        <v>45</v>
      </c>
      <c r="E11" t="s">
        <v>46</v>
      </c>
      <c r="F11">
        <v>67</v>
      </c>
      <c r="G11" t="s">
        <v>46</v>
      </c>
    </row>
    <row r="13" spans="3:7" x14ac:dyDescent="0.2">
      <c r="C13" s="26" t="s">
        <v>165</v>
      </c>
      <c r="D13" s="1">
        <f>RADIANS(D14)</f>
        <v>0.52359877559829882</v>
      </c>
      <c r="E13" t="s">
        <v>47</v>
      </c>
      <c r="F13" s="1">
        <f>RADIANS(F14)</f>
        <v>0.52359877559829882</v>
      </c>
      <c r="G13" t="s">
        <v>47</v>
      </c>
    </row>
    <row r="14" spans="3:7" x14ac:dyDescent="0.2">
      <c r="C14" s="26" t="s">
        <v>165</v>
      </c>
      <c r="D14" s="5">
        <v>30</v>
      </c>
      <c r="E14" t="s">
        <v>46</v>
      </c>
      <c r="F14" s="5">
        <v>30</v>
      </c>
      <c r="G14" t="s">
        <v>46</v>
      </c>
    </row>
    <row r="15" spans="3:7" x14ac:dyDescent="0.2">
      <c r="C15" s="26" t="s">
        <v>164</v>
      </c>
      <c r="D15" s="1">
        <f>ASIN((D2/(D2+D3)))</f>
        <v>0.88437830828608255</v>
      </c>
      <c r="E15" t="s">
        <v>47</v>
      </c>
      <c r="F15" s="1">
        <f>ASIN((F2/(F2+F3)))</f>
        <v>0.53943938812170644</v>
      </c>
      <c r="G15" t="s">
        <v>47</v>
      </c>
    </row>
    <row r="16" spans="3:7" x14ac:dyDescent="0.2">
      <c r="C16" s="26" t="s">
        <v>164</v>
      </c>
      <c r="D16" s="2">
        <f>DEGREES(D15)</f>
        <v>50.671144557712132</v>
      </c>
      <c r="E16" t="s">
        <v>46</v>
      </c>
      <c r="F16" s="2">
        <f t="shared" ref="F16" si="0">DEGREES(F15)</f>
        <v>30.907600242493331</v>
      </c>
      <c r="G16" t="s">
        <v>46</v>
      </c>
    </row>
    <row r="17" spans="3:19" x14ac:dyDescent="0.2">
      <c r="C17" s="26" t="s">
        <v>167</v>
      </c>
      <c r="D17" s="2">
        <f>ASIN(COS(D13)*SIN(D15))</f>
        <v>0.7340592020747656</v>
      </c>
      <c r="E17" t="s">
        <v>47</v>
      </c>
      <c r="F17" s="2">
        <f>ASIN(COS(F13)*SIN(F15))</f>
        <v>0.46099374881500926</v>
      </c>
      <c r="G17" t="s">
        <v>47</v>
      </c>
    </row>
    <row r="18" spans="3:19" x14ac:dyDescent="0.2">
      <c r="C18" s="26" t="s">
        <v>167</v>
      </c>
      <c r="D18" s="2">
        <f>DEGREES(D17)</f>
        <v>42.058494191624909</v>
      </c>
      <c r="E18" t="s">
        <v>46</v>
      </c>
      <c r="F18" s="2">
        <f>DEGREES(F17)</f>
        <v>26.412996189014027</v>
      </c>
      <c r="G18" t="s">
        <v>46</v>
      </c>
    </row>
    <row r="19" spans="3:19" x14ac:dyDescent="0.2">
      <c r="C19" s="26" t="s">
        <v>168</v>
      </c>
      <c r="D19" s="2">
        <f>RADIANS(90-D14-D18)</f>
        <v>0.31313834912183214</v>
      </c>
      <c r="E19" t="s">
        <v>47</v>
      </c>
      <c r="F19" s="2">
        <f>RADIANS(90-F14-F18)</f>
        <v>0.58620380238158853</v>
      </c>
      <c r="G19" t="s">
        <v>47</v>
      </c>
    </row>
    <row r="20" spans="3:19" x14ac:dyDescent="0.2">
      <c r="C20" s="26" t="s">
        <v>168</v>
      </c>
      <c r="D20" s="2">
        <f>DEGREES(D19)</f>
        <v>17.941505808375091</v>
      </c>
      <c r="E20" t="s">
        <v>46</v>
      </c>
      <c r="F20" s="2">
        <f>DEGREES(F19)</f>
        <v>33.587003810985976</v>
      </c>
      <c r="G20" t="s">
        <v>46</v>
      </c>
    </row>
    <row r="21" spans="3:19" x14ac:dyDescent="0.2">
      <c r="C21" s="26" t="s">
        <v>162</v>
      </c>
      <c r="D21" s="3">
        <f>D2*(SIN(D19)/SIN(D17))</f>
        <v>631.36882882933344</v>
      </c>
      <c r="E21" t="s">
        <v>152</v>
      </c>
      <c r="F21" s="3">
        <f>F2*(SIN(F19)/SIN(F17))</f>
        <v>1707.4678882558132</v>
      </c>
      <c r="G21" t="s">
        <v>152</v>
      </c>
    </row>
    <row r="23" spans="3:19" x14ac:dyDescent="0.2">
      <c r="J23" s="32"/>
    </row>
    <row r="24" spans="3:19" ht="28" customHeight="1" x14ac:dyDescent="0.2">
      <c r="C24" s="26" t="s">
        <v>169</v>
      </c>
      <c r="D24" s="5">
        <v>50</v>
      </c>
      <c r="E24" t="s">
        <v>170</v>
      </c>
      <c r="F24" s="5">
        <v>50</v>
      </c>
      <c r="G24" t="s">
        <v>170</v>
      </c>
      <c r="Q24" t="s">
        <v>191</v>
      </c>
    </row>
    <row r="25" spans="3:19" x14ac:dyDescent="0.2">
      <c r="C25" s="26" t="s">
        <v>172</v>
      </c>
      <c r="D25" s="53">
        <f>PI()*(D24/100)^2</f>
        <v>0.78539816339744828</v>
      </c>
      <c r="E25" t="s">
        <v>1</v>
      </c>
      <c r="F25" s="53">
        <f>PI()*(F24/100)^2</f>
        <v>0.78539816339744828</v>
      </c>
      <c r="G25" t="s">
        <v>1</v>
      </c>
      <c r="H25" t="s">
        <v>174</v>
      </c>
      <c r="Q25" s="49" t="s">
        <v>190</v>
      </c>
      <c r="R25" s="49"/>
      <c r="S25" s="49"/>
    </row>
    <row r="26" spans="3:19" ht="25" x14ac:dyDescent="0.35">
      <c r="C26" s="26" t="s">
        <v>171</v>
      </c>
      <c r="D26" s="51">
        <f>PI()*(D24/100)^2*COS(RADIANS(90)-D13)</f>
        <v>0.39269908169872403</v>
      </c>
      <c r="E26" t="s">
        <v>1</v>
      </c>
      <c r="F26" s="51">
        <f>PI()*(F24/100)^2*COS(RADIANS(90)-F13)</f>
        <v>0.39269908169872403</v>
      </c>
      <c r="G26" t="s">
        <v>1</v>
      </c>
      <c r="H26" s="54" t="s">
        <v>173</v>
      </c>
    </row>
    <row r="28" spans="3:19" x14ac:dyDescent="0.2">
      <c r="C28" s="26" t="s">
        <v>183</v>
      </c>
      <c r="D28" s="5">
        <v>85</v>
      </c>
      <c r="E28" t="s">
        <v>170</v>
      </c>
      <c r="F28" s="5">
        <v>85</v>
      </c>
      <c r="G28" t="s">
        <v>170</v>
      </c>
    </row>
    <row r="29" spans="3:19" x14ac:dyDescent="0.2">
      <c r="C29" s="26" t="s">
        <v>184</v>
      </c>
      <c r="D29" s="52">
        <f>D28</f>
        <v>85</v>
      </c>
      <c r="E29" s="52" t="s">
        <v>170</v>
      </c>
      <c r="F29" s="52">
        <f>F28</f>
        <v>85</v>
      </c>
      <c r="G29" t="s">
        <v>170</v>
      </c>
      <c r="H29" t="s">
        <v>185</v>
      </c>
    </row>
    <row r="30" spans="3:19" x14ac:dyDescent="0.2">
      <c r="C30" s="26" t="s">
        <v>187</v>
      </c>
      <c r="D30" s="53">
        <f>2*PI()*(D29/100/2)^2</f>
        <v>1.1349003461093126</v>
      </c>
      <c r="E30" s="52" t="s">
        <v>1</v>
      </c>
      <c r="F30" s="53">
        <f>2*PI()*(F29/100/2)^2</f>
        <v>1.1349003461093126</v>
      </c>
      <c r="G30" t="s">
        <v>1</v>
      </c>
    </row>
    <row r="32" spans="3:19" x14ac:dyDescent="0.2">
      <c r="C32" s="26" t="s">
        <v>175</v>
      </c>
      <c r="D32">
        <f>(D29-D24)/2</f>
        <v>17.5</v>
      </c>
      <c r="E32" t="s">
        <v>170</v>
      </c>
      <c r="F32">
        <f>(F29-F24)/2</f>
        <v>17.5</v>
      </c>
      <c r="G32" t="s">
        <v>170</v>
      </c>
      <c r="H32" t="s">
        <v>176</v>
      </c>
    </row>
    <row r="34" spans="3:14" x14ac:dyDescent="0.2">
      <c r="C34" s="26" t="s">
        <v>189</v>
      </c>
      <c r="D34" s="1">
        <f>ATAN((D32/100)/(D21*1000))*10000000</f>
        <v>2.7717554622466181</v>
      </c>
      <c r="E34" t="s">
        <v>178</v>
      </c>
      <c r="F34" s="1">
        <f>ATAN((F32/100)/(F21*1000))*10000000</f>
        <v>1.0249094650837782</v>
      </c>
      <c r="G34" t="s">
        <v>178</v>
      </c>
      <c r="H34" t="s">
        <v>180</v>
      </c>
    </row>
    <row r="35" spans="3:14" x14ac:dyDescent="0.2">
      <c r="C35" s="26" t="s">
        <v>188</v>
      </c>
      <c r="D35" s="1">
        <f>D26/D30</f>
        <v>0.34602076124567471</v>
      </c>
      <c r="F35" s="1">
        <f>F26/F30</f>
        <v>0.34602076124567471</v>
      </c>
      <c r="H35" t="s">
        <v>186</v>
      </c>
    </row>
    <row r="40" spans="3:14" x14ac:dyDescent="0.2">
      <c r="M40" t="s">
        <v>177</v>
      </c>
    </row>
    <row r="41" spans="3:14" x14ac:dyDescent="0.2">
      <c r="I41" t="s">
        <v>175</v>
      </c>
      <c r="N41" t="s">
        <v>179</v>
      </c>
    </row>
    <row r="42" spans="3:14" x14ac:dyDescent="0.2">
      <c r="L42" t="s">
        <v>162</v>
      </c>
    </row>
    <row r="43" spans="3:14" x14ac:dyDescent="0.2">
      <c r="K43" t="s">
        <v>182</v>
      </c>
    </row>
    <row r="45" spans="3:14" x14ac:dyDescent="0.2">
      <c r="J45" t="s">
        <v>181</v>
      </c>
    </row>
  </sheetData>
  <mergeCells count="1">
    <mergeCell ref="Q25:S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Laser Count Analysis</vt:lpstr>
      <vt:lpstr>Spacecraft Sizing</vt:lpstr>
      <vt:lpstr>Fleet cost analysis</vt:lpstr>
      <vt:lpstr>SE analysis</vt:lpstr>
      <vt:lpstr>Pointing Eff Acc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2023-03-10T16:03:58Z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