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appendix\tables\F1_compare_VB\"/>
    </mc:Choice>
  </mc:AlternateContent>
  <xr:revisionPtr revIDLastSave="0" documentId="13_ncr:1_{F5973DC3-709D-4B7C-B900-E350E838327C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able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K18" i="1"/>
  <c r="E14" i="2" l="1"/>
  <c r="E26" i="2" l="1"/>
  <c r="E33" i="2"/>
  <c r="E24" i="1" l="1"/>
  <c r="E16" i="1"/>
  <c r="E17" i="1"/>
  <c r="E24" i="2" l="1"/>
  <c r="E28" i="2" s="1"/>
  <c r="F23" i="2"/>
  <c r="G26" i="2"/>
  <c r="G25" i="2"/>
  <c r="G22" i="2"/>
  <c r="G33" i="2"/>
  <c r="F24" i="2" l="1"/>
  <c r="F28" i="2" s="1"/>
  <c r="G28" i="2" s="1"/>
  <c r="E27" i="2"/>
  <c r="G23" i="2"/>
  <c r="G24" i="2" l="1"/>
  <c r="F27" i="2"/>
  <c r="G27" i="2" s="1"/>
  <c r="G32" i="2"/>
  <c r="F8" i="2" l="1"/>
  <c r="F11" i="2"/>
  <c r="E18" i="2"/>
  <c r="E10" i="1" l="1"/>
  <c r="F19" i="2"/>
  <c r="F18" i="2"/>
  <c r="M5" i="1"/>
  <c r="E11" i="2" l="1"/>
  <c r="G11" i="2" s="1"/>
  <c r="E8" i="2"/>
  <c r="G8" i="2" s="1"/>
  <c r="E19" i="2"/>
  <c r="G19" i="2" s="1"/>
  <c r="G18" i="2"/>
  <c r="F15" i="2"/>
  <c r="G15" i="2" s="1"/>
  <c r="F14" i="2"/>
  <c r="G14" i="2" l="1"/>
  <c r="F31" i="2" l="1"/>
  <c r="G31" i="2" s="1"/>
</calcChain>
</file>

<file path=xl/sharedStrings.xml><?xml version="1.0" encoding="utf-8"?>
<sst xmlns="http://schemas.openxmlformats.org/spreadsheetml/2006/main" count="69" uniqueCount="49">
  <si>
    <t>Accidents</t>
  </si>
  <si>
    <t>Ratio</t>
  </si>
  <si>
    <t>Reduced Form Estimates</t>
  </si>
  <si>
    <t>Travel Time</t>
  </si>
  <si>
    <t>Fatalities</t>
  </si>
  <si>
    <t>Van Benthem (2015)</t>
  </si>
  <si>
    <t>Ang, Christensen
&amp; Vieira (2018)</t>
  </si>
  <si>
    <t>Original Parameters</t>
  </si>
  <si>
    <t>Van Benthem</t>
  </si>
  <si>
    <t>Exchange rates</t>
  </si>
  <si>
    <t>USD 2016 / BRL 2016</t>
  </si>
  <si>
    <t>USD 2016 / USD 2006</t>
  </si>
  <si>
    <t>USD 2016 / USD 2000</t>
  </si>
  <si>
    <t>BRL 2016 / BRL 2014</t>
  </si>
  <si>
    <t>travel time gains</t>
  </si>
  <si>
    <t>unit</t>
  </si>
  <si>
    <t>U$</t>
  </si>
  <si>
    <t>year</t>
  </si>
  <si>
    <t>value</t>
  </si>
  <si>
    <t>accident costs</t>
  </si>
  <si>
    <t xml:space="preserve"> (U$ Million per Year)</t>
  </si>
  <si>
    <t>Additional Accident Costs</t>
  </si>
  <si>
    <t>Travel Time Savings</t>
  </si>
  <si>
    <t>VSL</t>
  </si>
  <si>
    <t>VOT</t>
  </si>
  <si>
    <t>ACV</t>
  </si>
  <si>
    <t>R$</t>
  </si>
  <si>
    <t>Breakeven VSL</t>
  </si>
  <si>
    <t>USD 2016 / USD 2015</t>
  </si>
  <si>
    <t>ACV/VB</t>
  </si>
  <si>
    <r>
      <t>Breakeven VSL ratio</t>
    </r>
    <r>
      <rPr>
        <vertAlign val="superscript"/>
        <sz val="11"/>
        <color theme="1"/>
        <rFont val="Times New Roman"/>
        <family val="1"/>
      </rPr>
      <t>a</t>
    </r>
  </si>
  <si>
    <r>
      <t>VOT</t>
    </r>
    <r>
      <rPr>
        <i/>
        <sz val="8"/>
        <color theme="1"/>
        <rFont val="Times New Roman"/>
        <family val="1"/>
      </rPr>
      <t xml:space="preserve"> (U$ per hour)</t>
    </r>
  </si>
  <si>
    <r>
      <t xml:space="preserve">Notes: All monetary values are in USD of 2016.  </t>
    </r>
    <r>
      <rPr>
        <vertAlign val="superscript"/>
        <sz val="9"/>
        <color theme="1"/>
        <rFont val="Times New Roman"/>
        <family val="1"/>
      </rPr>
      <t xml:space="preserve">a </t>
    </r>
    <r>
      <rPr>
        <sz val="9"/>
        <color theme="1"/>
        <rFont val="Times New Roman"/>
        <family val="1"/>
      </rPr>
      <t>Breakeven VSL divided by baseline parameter</t>
    </r>
  </si>
  <si>
    <t>Travel time</t>
  </si>
  <si>
    <t>Reduced form estimates</t>
  </si>
  <si>
    <t>Main parameters</t>
  </si>
  <si>
    <r>
      <t>VSL</t>
    </r>
    <r>
      <rPr>
        <i/>
        <sz val="8"/>
        <color theme="1"/>
        <rFont val="Times New Roman"/>
        <family val="1"/>
      </rPr>
      <t xml:space="preserve"> (U$ million)</t>
    </r>
  </si>
  <si>
    <t>Benefits/costs</t>
  </si>
  <si>
    <t>Cost-benefit results</t>
  </si>
  <si>
    <t>Urban highways in
São Paulo, Brazil</t>
  </si>
  <si>
    <t>Western USA
freeways</t>
  </si>
  <si>
    <t>Pre-treatment values</t>
  </si>
  <si>
    <r>
      <t>Average vehicle speed</t>
    </r>
    <r>
      <rPr>
        <i/>
        <sz val="9"/>
        <color theme="1"/>
        <rFont val="Times New Roman"/>
        <family val="1"/>
      </rPr>
      <t xml:space="preserve"> (km/h)</t>
    </r>
  </si>
  <si>
    <t>Accidents per year</t>
  </si>
  <si>
    <t>Fatalities per year</t>
  </si>
  <si>
    <r>
      <t>VHT per year</t>
    </r>
    <r>
      <rPr>
        <sz val="8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(million)</t>
    </r>
  </si>
  <si>
    <t>Accidents per million VHT</t>
  </si>
  <si>
    <r>
      <t>VKT per year</t>
    </r>
    <r>
      <rPr>
        <sz val="8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(billion)</t>
    </r>
  </si>
  <si>
    <t>Fatalities per million VHT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</si>
</sst>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_);\(0.0\);&quot;-&quot;"/>
    <numFmt numFmtId="166" formatCode="0.000"/>
    <numFmt numFmtId="167" formatCode="0.00_);\(0.00\);&quot;-&quot;"/>
    <numFmt numFmtId="168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theme="1"/>
      <name val="Times New Roman"/>
      <family val="1"/>
    </font>
    <font>
      <i/>
      <sz val="8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166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66" fontId="1" fillId="2" borderId="0" xfId="0" applyNumberFormat="1" applyFont="1" applyFill="1" applyAlignment="1">
      <alignment horizontal="center"/>
    </xf>
    <xf numFmtId="168" fontId="1" fillId="2" borderId="0" xfId="0" applyNumberFormat="1" applyFont="1" applyFill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6" fontId="4" fillId="2" borderId="0" xfId="0" applyNumberFormat="1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167" fontId="4" fillId="2" borderId="0" xfId="0" applyNumberFormat="1" applyFont="1" applyFill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5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top" wrapText="1"/>
    </xf>
    <xf numFmtId="164" fontId="4" fillId="2" borderId="0" xfId="0" applyNumberFormat="1" applyFont="1" applyFill="1" applyAlignment="1">
      <alignment horizontal="center" vertical="top"/>
    </xf>
    <xf numFmtId="2" fontId="4" fillId="2" borderId="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left" vertical="center"/>
    </xf>
    <xf numFmtId="164" fontId="4" fillId="2" borderId="4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justify" vertical="top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ropbox/Apps/ShareLaTeX/Speed_Change_2/restat/tables/6_cba/B_cba_cos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ropbox/Apps/ShareLaTeX/Speed_Change_2/restat/tables/6_cba/A_cba_benefi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/Dropbox/Apps/Overleaf/Speed_Change_2/restat/tables/6_cba/A_cba_benefit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/Dropbox/Apps/Overleaf/Speed_Change_2/restat/tables/6_cba/B_cba_costs2.csvcost_scenario_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cba_costs"/>
    </sheetNames>
    <sheetDataSet>
      <sheetData sheetId="0">
        <row r="5">
          <cell r="D5">
            <v>-41.748837941937602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cba_benefits"/>
    </sheetNames>
    <sheetDataSet>
      <sheetData sheetId="0">
        <row r="6">
          <cell r="I6">
            <v>57.979380123848003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cba_benefits"/>
    </sheetNames>
    <sheetDataSet>
      <sheetData sheetId="0">
        <row r="6">
          <cell r="I6">
            <v>57.979380123848003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cba_costs2.csvcost_scenario_3"/>
    </sheetNames>
    <sheetDataSet>
      <sheetData sheetId="0">
        <row r="5">
          <cell r="D5">
            <v>-55.801491320890101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4"/>
  <sheetViews>
    <sheetView workbookViewId="0">
      <selection activeCell="K18" sqref="K18"/>
    </sheetView>
  </sheetViews>
  <sheetFormatPr defaultColWidth="8.85546875" defaultRowHeight="15" x14ac:dyDescent="0.25"/>
  <cols>
    <col min="1" max="1" width="8.85546875" style="1"/>
    <col min="2" max="2" width="2" style="1" customWidth="1"/>
    <col min="3" max="3" width="2.42578125" style="1" customWidth="1"/>
    <col min="4" max="4" width="17.28515625" style="1" customWidth="1"/>
    <col min="5" max="5" width="8.85546875" style="2"/>
    <col min="6" max="6" width="10.7109375" style="2" bestFit="1" customWidth="1"/>
    <col min="7" max="7" width="8.85546875" style="2"/>
    <col min="8" max="11" width="8.85546875" style="1"/>
    <col min="12" max="12" width="21.5703125" style="1" customWidth="1"/>
    <col min="13" max="16384" width="8.85546875" style="1"/>
  </cols>
  <sheetData>
    <row r="2" spans="2:15" x14ac:dyDescent="0.25">
      <c r="B2" s="3" t="s">
        <v>7</v>
      </c>
      <c r="C2" s="3"/>
      <c r="D2" s="3"/>
      <c r="E2" s="4" t="s">
        <v>18</v>
      </c>
      <c r="F2" s="4" t="s">
        <v>15</v>
      </c>
      <c r="G2" s="4" t="s">
        <v>17</v>
      </c>
    </row>
    <row r="3" spans="2:15" x14ac:dyDescent="0.25">
      <c r="B3" s="3"/>
      <c r="C3" s="3"/>
      <c r="D3" s="3"/>
      <c r="E3" s="4"/>
      <c r="F3" s="4"/>
      <c r="G3" s="4"/>
    </row>
    <row r="4" spans="2:15" x14ac:dyDescent="0.25">
      <c r="B4" s="5" t="s">
        <v>8</v>
      </c>
      <c r="F4" s="1"/>
      <c r="G4" s="1"/>
      <c r="L4" s="6" t="s">
        <v>9</v>
      </c>
      <c r="M4" s="7"/>
      <c r="N4" s="7"/>
      <c r="O4" s="7"/>
    </row>
    <row r="5" spans="2:15" x14ac:dyDescent="0.25">
      <c r="C5" s="1" t="s">
        <v>14</v>
      </c>
      <c r="E5" s="2">
        <v>156</v>
      </c>
      <c r="F5" s="2" t="s">
        <v>16</v>
      </c>
      <c r="G5" s="2">
        <v>2006</v>
      </c>
      <c r="L5" s="7" t="s">
        <v>10</v>
      </c>
      <c r="M5" s="6">
        <f>1/3.2551</f>
        <v>0.30721022395625325</v>
      </c>
      <c r="O5" s="7"/>
    </row>
    <row r="6" spans="2:15" x14ac:dyDescent="0.25">
      <c r="C6" s="1" t="s">
        <v>19</v>
      </c>
      <c r="E6" s="2">
        <v>345</v>
      </c>
      <c r="F6" s="2" t="s">
        <v>16</v>
      </c>
      <c r="G6" s="2">
        <v>2006</v>
      </c>
      <c r="O6" s="7"/>
    </row>
    <row r="7" spans="2:15" x14ac:dyDescent="0.25">
      <c r="C7" s="1" t="s">
        <v>23</v>
      </c>
      <c r="E7" s="2">
        <v>7.37</v>
      </c>
      <c r="F7" s="2" t="s">
        <v>16</v>
      </c>
      <c r="G7" s="2">
        <v>2006</v>
      </c>
      <c r="L7" s="7" t="s">
        <v>28</v>
      </c>
      <c r="M7" s="6">
        <v>1.0126200000000001</v>
      </c>
      <c r="O7" s="7"/>
    </row>
    <row r="8" spans="2:15" x14ac:dyDescent="0.25">
      <c r="C8" s="1" t="s">
        <v>24</v>
      </c>
      <c r="E8" s="2">
        <v>15.37</v>
      </c>
      <c r="F8" s="2" t="s">
        <v>16</v>
      </c>
      <c r="G8" s="2">
        <v>2006</v>
      </c>
      <c r="L8" s="7" t="s">
        <v>11</v>
      </c>
      <c r="M8" s="6">
        <v>1.1910000000000001</v>
      </c>
      <c r="O8" s="7"/>
    </row>
    <row r="9" spans="2:15" x14ac:dyDescent="0.25">
      <c r="C9" s="8" t="s">
        <v>2</v>
      </c>
      <c r="D9" s="9"/>
      <c r="E9" s="9"/>
      <c r="L9" s="7" t="s">
        <v>12</v>
      </c>
      <c r="M9" s="6">
        <v>1.3939999999999999</v>
      </c>
      <c r="O9" s="7"/>
    </row>
    <row r="10" spans="2:15" x14ac:dyDescent="0.25">
      <c r="C10" s="9"/>
      <c r="D10" s="9" t="s">
        <v>3</v>
      </c>
      <c r="E10" s="12">
        <f>3.5/59.6</f>
        <v>5.8724832214765099E-2</v>
      </c>
      <c r="N10" s="10"/>
      <c r="O10" s="11"/>
    </row>
    <row r="11" spans="2:15" x14ac:dyDescent="0.25">
      <c r="C11" s="9"/>
      <c r="D11" s="9" t="s">
        <v>0</v>
      </c>
      <c r="E11" s="2">
        <v>0.14000000000000001</v>
      </c>
      <c r="L11" s="7" t="s">
        <v>13</v>
      </c>
      <c r="M11" s="6">
        <v>1.1763213509825461</v>
      </c>
      <c r="N11" s="7"/>
      <c r="O11" s="7"/>
    </row>
    <row r="12" spans="2:15" x14ac:dyDescent="0.25">
      <c r="D12" s="9" t="s">
        <v>4</v>
      </c>
      <c r="E12" s="2">
        <v>0.44</v>
      </c>
      <c r="L12" s="6"/>
      <c r="M12" s="7"/>
      <c r="N12" s="7"/>
      <c r="O12" s="7"/>
    </row>
    <row r="13" spans="2:15" x14ac:dyDescent="0.25">
      <c r="C13" s="1" t="s">
        <v>27</v>
      </c>
      <c r="D13" s="9"/>
      <c r="E13" s="2">
        <v>3.7</v>
      </c>
      <c r="F13" s="2" t="s">
        <v>16</v>
      </c>
      <c r="G13" s="2">
        <v>2006</v>
      </c>
      <c r="L13" s="6"/>
      <c r="M13" s="7"/>
      <c r="N13" s="7"/>
      <c r="O13" s="7"/>
    </row>
    <row r="14" spans="2:15" x14ac:dyDescent="0.25">
      <c r="L14" s="6"/>
      <c r="M14" s="7"/>
      <c r="N14" s="7"/>
      <c r="O14" s="7"/>
    </row>
    <row r="15" spans="2:15" x14ac:dyDescent="0.25">
      <c r="B15" s="5" t="s">
        <v>25</v>
      </c>
    </row>
    <row r="16" spans="2:15" x14ac:dyDescent="0.25">
      <c r="C16" s="1" t="s">
        <v>14</v>
      </c>
      <c r="E16" s="2">
        <f>-[1]B_cba_costs!$D$5</f>
        <v>41.748837941937602</v>
      </c>
      <c r="F16" s="2" t="s">
        <v>26</v>
      </c>
      <c r="G16" s="2">
        <v>2016</v>
      </c>
    </row>
    <row r="17" spans="3:12" x14ac:dyDescent="0.25">
      <c r="C17" s="1" t="s">
        <v>19</v>
      </c>
      <c r="E17" s="2">
        <f>[2]A_cba_benefits!$I$6</f>
        <v>57.979380123848003</v>
      </c>
      <c r="F17" s="2" t="s">
        <v>26</v>
      </c>
      <c r="G17" s="2">
        <v>2016</v>
      </c>
    </row>
    <row r="18" spans="3:12" x14ac:dyDescent="0.25">
      <c r="C18" s="1" t="s">
        <v>23</v>
      </c>
      <c r="E18" s="2">
        <v>1.6950000000000001</v>
      </c>
      <c r="F18" s="2" t="s">
        <v>16</v>
      </c>
      <c r="G18" s="2">
        <v>2015</v>
      </c>
      <c r="K18" s="1">
        <f>E18*M7</f>
        <v>1.7163909000000002</v>
      </c>
      <c r="L18" s="1">
        <f>K18/M5</f>
        <v>5.5870240185900011</v>
      </c>
    </row>
    <row r="19" spans="3:12" x14ac:dyDescent="0.25">
      <c r="C19" s="1" t="s">
        <v>24</v>
      </c>
      <c r="E19" s="2">
        <v>10.28</v>
      </c>
      <c r="F19" s="2" t="s">
        <v>26</v>
      </c>
      <c r="G19" s="2">
        <v>2016</v>
      </c>
    </row>
    <row r="20" spans="3:12" x14ac:dyDescent="0.25">
      <c r="C20" s="8" t="s">
        <v>2</v>
      </c>
      <c r="D20" s="9"/>
      <c r="E20" s="9"/>
    </row>
    <row r="21" spans="3:12" x14ac:dyDescent="0.25">
      <c r="C21" s="9"/>
      <c r="D21" s="9" t="s">
        <v>3</v>
      </c>
      <c r="E21" s="12">
        <v>5.7000000000000002E-2</v>
      </c>
    </row>
    <row r="22" spans="3:12" x14ac:dyDescent="0.25">
      <c r="C22" s="9"/>
      <c r="D22" s="9" t="s">
        <v>0</v>
      </c>
      <c r="E22" s="2">
        <v>0.47199999999999998</v>
      </c>
    </row>
    <row r="23" spans="3:12" x14ac:dyDescent="0.25">
      <c r="D23" s="9" t="s">
        <v>4</v>
      </c>
      <c r="E23" s="2">
        <v>0.214</v>
      </c>
    </row>
    <row r="24" spans="3:12" x14ac:dyDescent="0.25">
      <c r="C24" s="1" t="s">
        <v>27</v>
      </c>
      <c r="D24" s="9"/>
      <c r="E24" s="2">
        <f>0.5728</f>
        <v>0.57279999999999998</v>
      </c>
      <c r="F24" s="2" t="s">
        <v>16</v>
      </c>
      <c r="G24" s="2">
        <v>2016</v>
      </c>
      <c r="I24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5"/>
  <sheetViews>
    <sheetView tabSelected="1" zoomScaleNormal="100" workbookViewId="0">
      <selection activeCell="E16" sqref="E16"/>
    </sheetView>
  </sheetViews>
  <sheetFormatPr defaultColWidth="8.85546875" defaultRowHeight="15" x14ac:dyDescent="0.25"/>
  <cols>
    <col min="1" max="1" width="8.85546875" style="17"/>
    <col min="2" max="2" width="1.7109375" style="17" customWidth="1"/>
    <col min="3" max="3" width="5.28515625" style="17" customWidth="1"/>
    <col min="4" max="4" width="20.85546875" style="17" customWidth="1"/>
    <col min="5" max="5" width="17.7109375" style="44" customWidth="1"/>
    <col min="6" max="6" width="15.85546875" style="44" customWidth="1"/>
    <col min="7" max="7" width="9.28515625" style="16" customWidth="1"/>
    <col min="8" max="8" width="8.85546875" style="17"/>
    <col min="9" max="9" width="9.5703125" style="18" bestFit="1" customWidth="1"/>
    <col min="10" max="16384" width="8.85546875" style="17"/>
  </cols>
  <sheetData>
    <row r="3" spans="2:7" ht="6" customHeight="1" thickBot="1" x14ac:dyDescent="0.3">
      <c r="B3" s="14"/>
      <c r="C3" s="14"/>
      <c r="D3" s="14"/>
      <c r="E3" s="15"/>
      <c r="F3" s="15"/>
    </row>
    <row r="4" spans="2:7" ht="37.5" customHeight="1" thickTop="1" x14ac:dyDescent="0.25">
      <c r="B4" s="19"/>
      <c r="C4" s="19"/>
      <c r="D4" s="19"/>
      <c r="E4" s="20" t="s">
        <v>6</v>
      </c>
      <c r="F4" s="20" t="s">
        <v>5</v>
      </c>
      <c r="G4" s="20" t="s">
        <v>1</v>
      </c>
    </row>
    <row r="5" spans="2:7" ht="22.9" customHeight="1" x14ac:dyDescent="0.25">
      <c r="B5" s="21"/>
      <c r="C5" s="21"/>
      <c r="D5" s="21"/>
      <c r="E5" s="22" t="s">
        <v>39</v>
      </c>
      <c r="F5" s="22" t="s">
        <v>40</v>
      </c>
      <c r="G5" s="22" t="s">
        <v>29</v>
      </c>
    </row>
    <row r="6" spans="2:7" ht="3.75" customHeight="1" x14ac:dyDescent="0.25">
      <c r="B6" s="23"/>
      <c r="C6" s="23"/>
      <c r="D6" s="23"/>
      <c r="E6" s="24"/>
      <c r="F6" s="24"/>
      <c r="G6" s="24"/>
    </row>
    <row r="7" spans="2:7" x14ac:dyDescent="0.25">
      <c r="B7" s="49" t="s">
        <v>38</v>
      </c>
      <c r="C7" s="49"/>
      <c r="D7" s="49"/>
      <c r="E7" s="49"/>
      <c r="F7" s="49"/>
      <c r="G7" s="49"/>
    </row>
    <row r="8" spans="2:7" s="25" customFormat="1" ht="0.6" customHeight="1" x14ac:dyDescent="0.25">
      <c r="C8" s="25" t="s">
        <v>22</v>
      </c>
      <c r="E8" s="26">
        <f>Sheet1!E16*Sheet1!$M$5</f>
        <v>12.825669854055974</v>
      </c>
      <c r="F8" s="27">
        <f>Sheet1!E5*Sheet1!$M$8</f>
        <v>185.79600000000002</v>
      </c>
      <c r="G8" s="28">
        <f>$F8/E8</f>
        <v>14.486260921587977</v>
      </c>
    </row>
    <row r="9" spans="2:7" s="29" customFormat="1" hidden="1" x14ac:dyDescent="0.25">
      <c r="C9" s="30" t="s">
        <v>20</v>
      </c>
    </row>
    <row r="10" spans="2:7" hidden="1" x14ac:dyDescent="0.25">
      <c r="E10" s="31"/>
      <c r="F10" s="32"/>
    </row>
    <row r="11" spans="2:7" hidden="1" x14ac:dyDescent="0.25">
      <c r="C11" s="17" t="s">
        <v>21</v>
      </c>
      <c r="E11" s="26">
        <f>Sheet1!E17*Sheet1!$M$5</f>
        <v>17.811858352692084</v>
      </c>
      <c r="F11" s="33">
        <f>Sheet1!E6*Sheet1!M8</f>
        <v>410.89500000000004</v>
      </c>
      <c r="G11" s="34">
        <f>$F11/E11</f>
        <v>23.068620458566436</v>
      </c>
    </row>
    <row r="12" spans="2:7" s="29" customFormat="1" hidden="1" x14ac:dyDescent="0.25">
      <c r="C12" s="30" t="s">
        <v>20</v>
      </c>
    </row>
    <row r="13" spans="2:7" hidden="1" x14ac:dyDescent="0.25">
      <c r="E13" s="31"/>
      <c r="F13" s="32"/>
    </row>
    <row r="14" spans="2:7" x14ac:dyDescent="0.25">
      <c r="C14" s="21" t="s">
        <v>37</v>
      </c>
      <c r="D14" s="21"/>
      <c r="E14" s="35">
        <f>-[3]A_cba_benefits!$I$6/[4]B_cba_costs2.csvcost_scenario_3!$D$5</f>
        <v>1.0390292221839343</v>
      </c>
      <c r="F14" s="35">
        <f>F11/F8</f>
        <v>2.2115384615384617</v>
      </c>
      <c r="G14" s="35">
        <f>E14/F14</f>
        <v>0.46982190916143113</v>
      </c>
    </row>
    <row r="15" spans="2:7" ht="18" x14ac:dyDescent="0.25">
      <c r="B15" s="21"/>
      <c r="C15" s="21" t="s">
        <v>30</v>
      </c>
      <c r="D15" s="21"/>
      <c r="E15" s="35">
        <v>0.93</v>
      </c>
      <c r="F15" s="35">
        <f>Sheet1!E13*Sheet1!M8/F18</f>
        <v>0.50203527815468119</v>
      </c>
      <c r="G15" s="35">
        <f>E15/F15</f>
        <v>1.8524594594594594</v>
      </c>
    </row>
    <row r="16" spans="2:7" ht="1.9" customHeight="1" x14ac:dyDescent="0.25">
      <c r="B16" s="36"/>
      <c r="C16" s="36"/>
      <c r="D16" s="36"/>
      <c r="E16" s="37"/>
      <c r="F16" s="37"/>
      <c r="G16" s="37"/>
    </row>
    <row r="17" spans="2:15" x14ac:dyDescent="0.25">
      <c r="B17" s="50" t="s">
        <v>35</v>
      </c>
      <c r="C17" s="50"/>
      <c r="D17" s="50"/>
      <c r="E17" s="50"/>
      <c r="F17" s="50"/>
      <c r="G17" s="50"/>
    </row>
    <row r="18" spans="2:15" x14ac:dyDescent="0.25">
      <c r="B18" s="21"/>
      <c r="C18" s="21" t="s">
        <v>36</v>
      </c>
      <c r="D18" s="21"/>
      <c r="E18" s="38">
        <f>Sheet1!E18*Sheet1!$M$7</f>
        <v>1.7163909000000002</v>
      </c>
      <c r="F18" s="38">
        <f>Sheet1!E7*Sheet1!M8</f>
        <v>8.7776700000000005</v>
      </c>
      <c r="G18" s="35">
        <f>E18/F18</f>
        <v>0.19554060473907087</v>
      </c>
    </row>
    <row r="19" spans="2:15" s="21" customFormat="1" x14ac:dyDescent="0.25">
      <c r="C19" s="21" t="s">
        <v>31</v>
      </c>
      <c r="E19" s="38">
        <f>Sheet1!E19*Sheet1!$M$5</f>
        <v>3.1581211022702833</v>
      </c>
      <c r="F19" s="38">
        <f>Sheet1!E8*Sheet1!M8</f>
        <v>18.305669999999999</v>
      </c>
      <c r="G19" s="35">
        <f>E19/F19</f>
        <v>0.17252147024775841</v>
      </c>
      <c r="I19" s="39"/>
    </row>
    <row r="20" spans="2:15" ht="2.4500000000000002" customHeight="1" x14ac:dyDescent="0.25">
      <c r="B20" s="36"/>
      <c r="C20" s="36"/>
      <c r="D20" s="36"/>
      <c r="E20" s="37"/>
      <c r="F20" s="37"/>
      <c r="G20" s="37"/>
    </row>
    <row r="21" spans="2:15" x14ac:dyDescent="0.25">
      <c r="B21" s="45" t="s">
        <v>41</v>
      </c>
      <c r="C21" s="21"/>
      <c r="D21" s="21"/>
      <c r="E21" s="38"/>
      <c r="F21" s="38"/>
      <c r="G21" s="35"/>
    </row>
    <row r="22" spans="2:15" x14ac:dyDescent="0.25">
      <c r="B22" s="21"/>
      <c r="C22" s="21" t="s">
        <v>42</v>
      </c>
      <c r="D22" s="21"/>
      <c r="E22" s="38">
        <v>35.450000000000003</v>
      </c>
      <c r="F22" s="38">
        <v>96.8</v>
      </c>
      <c r="G22" s="35">
        <f>E22/F22</f>
        <v>0.36621900826446285</v>
      </c>
      <c r="I22" s="38"/>
    </row>
    <row r="23" spans="2:15" x14ac:dyDescent="0.25">
      <c r="B23" s="21"/>
      <c r="C23" s="21" t="s">
        <v>47</v>
      </c>
      <c r="D23" s="21"/>
      <c r="E23" s="38">
        <v>2.2191852600000002</v>
      </c>
      <c r="F23" s="38">
        <f>2.892*1.6</f>
        <v>4.6272000000000002</v>
      </c>
      <c r="G23" s="35">
        <f>E23/F23</f>
        <v>0.47959570798755186</v>
      </c>
      <c r="I23" s="38"/>
      <c r="J23" s="38"/>
    </row>
    <row r="24" spans="2:15" x14ac:dyDescent="0.25">
      <c r="B24" s="45"/>
      <c r="C24" s="21" t="s">
        <v>45</v>
      </c>
      <c r="D24" s="21"/>
      <c r="E24" s="38">
        <f>1000*E23/E22</f>
        <v>62.60043046544429</v>
      </c>
      <c r="F24" s="38">
        <f>1000*F23/F22</f>
        <v>47.801652892561982</v>
      </c>
      <c r="G24" s="35">
        <f>E24/F24</f>
        <v>1.3095871518531741</v>
      </c>
    </row>
    <row r="25" spans="2:15" x14ac:dyDescent="0.25">
      <c r="B25" s="45"/>
      <c r="C25" s="21" t="s">
        <v>43</v>
      </c>
      <c r="D25" s="21"/>
      <c r="E25" s="47">
        <v>514</v>
      </c>
      <c r="F25" s="47">
        <v>1010</v>
      </c>
      <c r="G25" s="35">
        <f t="shared" ref="G25:G26" si="0">E25/F25</f>
        <v>0.50891089108910892</v>
      </c>
    </row>
    <row r="26" spans="2:15" x14ac:dyDescent="0.25">
      <c r="B26" s="45"/>
      <c r="C26" s="21" t="s">
        <v>44</v>
      </c>
      <c r="D26" s="21"/>
      <c r="E26" s="47">
        <f>E25*0.0550239</f>
        <v>28.282284600000001</v>
      </c>
      <c r="F26" s="47">
        <v>24</v>
      </c>
      <c r="G26" s="35">
        <f t="shared" si="0"/>
        <v>1.1784285249999999</v>
      </c>
    </row>
    <row r="27" spans="2:15" x14ac:dyDescent="0.25">
      <c r="B27" s="21"/>
      <c r="C27" s="21" t="s">
        <v>46</v>
      </c>
      <c r="D27" s="21"/>
      <c r="E27" s="46">
        <f>E25/E24</f>
        <v>8.2108061586530177</v>
      </c>
      <c r="F27" s="46">
        <f>F25/F24</f>
        <v>21.128976486860306</v>
      </c>
      <c r="G27" s="35">
        <f>E27/F27</f>
        <v>0.38860406531093239</v>
      </c>
      <c r="I27" s="38"/>
      <c r="J27" s="21"/>
      <c r="K27" s="21"/>
      <c r="L27" s="21"/>
      <c r="M27" s="21"/>
      <c r="N27" s="21"/>
      <c r="O27" s="21"/>
    </row>
    <row r="28" spans="2:15" x14ac:dyDescent="0.25">
      <c r="B28" s="21"/>
      <c r="C28" s="21" t="s">
        <v>48</v>
      </c>
      <c r="D28" s="21"/>
      <c r="E28" s="38">
        <f>E26/E24</f>
        <v>0.45179057699310782</v>
      </c>
      <c r="F28" s="38">
        <f>F26/F24</f>
        <v>0.50207468879668049</v>
      </c>
      <c r="G28" s="35">
        <f>E28/F28</f>
        <v>0.89984734756478502</v>
      </c>
      <c r="I28" s="38"/>
      <c r="J28" s="21"/>
      <c r="K28" s="21"/>
      <c r="L28" s="21"/>
      <c r="M28" s="21"/>
      <c r="N28" s="21"/>
      <c r="O28" s="21"/>
    </row>
    <row r="29" spans="2:15" ht="1.1499999999999999" customHeight="1" x14ac:dyDescent="0.25">
      <c r="B29" s="36"/>
      <c r="C29" s="36"/>
      <c r="D29" s="36"/>
      <c r="E29" s="37"/>
      <c r="F29" s="37"/>
      <c r="G29" s="40"/>
    </row>
    <row r="30" spans="2:15" x14ac:dyDescent="0.25">
      <c r="B30" s="50" t="s">
        <v>34</v>
      </c>
      <c r="C30" s="50"/>
      <c r="D30" s="50"/>
      <c r="E30" s="50"/>
      <c r="F30" s="50"/>
      <c r="G30" s="50"/>
    </row>
    <row r="31" spans="2:15" x14ac:dyDescent="0.25">
      <c r="B31" s="21"/>
      <c r="C31" s="21" t="s">
        <v>33</v>
      </c>
      <c r="D31" s="21"/>
      <c r="E31" s="41">
        <v>5.5E-2</v>
      </c>
      <c r="F31" s="41">
        <f>3.5/59.6</f>
        <v>5.8724832214765099E-2</v>
      </c>
      <c r="G31" s="35">
        <f>E31/F31</f>
        <v>0.93657142857142861</v>
      </c>
      <c r="I31" s="17"/>
    </row>
    <row r="32" spans="2:15" x14ac:dyDescent="0.25">
      <c r="B32" s="21"/>
      <c r="C32" s="21" t="s">
        <v>0</v>
      </c>
      <c r="D32" s="21"/>
      <c r="E32" s="38">
        <v>0.32400000000000001</v>
      </c>
      <c r="F32" s="38">
        <v>0.14000000000000001</v>
      </c>
      <c r="G32" s="35">
        <f>E32/F32</f>
        <v>2.3142857142857141</v>
      </c>
      <c r="I32" s="17"/>
    </row>
    <row r="33" spans="2:9" x14ac:dyDescent="0.25">
      <c r="B33" s="21"/>
      <c r="C33" s="21" t="s">
        <v>4</v>
      </c>
      <c r="D33" s="21"/>
      <c r="E33" s="38">
        <f>E32</f>
        <v>0.32400000000000001</v>
      </c>
      <c r="F33" s="38">
        <v>0.44</v>
      </c>
      <c r="G33" s="35">
        <f>E33/F33</f>
        <v>0.73636363636363633</v>
      </c>
      <c r="I33" s="17"/>
    </row>
    <row r="34" spans="2:9" ht="1.9" customHeight="1" x14ac:dyDescent="0.25">
      <c r="B34" s="23"/>
      <c r="C34" s="23"/>
      <c r="D34" s="23"/>
      <c r="E34" s="42"/>
      <c r="F34" s="43"/>
      <c r="G34" s="42"/>
      <c r="I34" s="17"/>
    </row>
    <row r="35" spans="2:9" ht="31.9" customHeight="1" x14ac:dyDescent="0.25">
      <c r="B35" s="48" t="s">
        <v>32</v>
      </c>
      <c r="C35" s="48"/>
      <c r="D35" s="48"/>
      <c r="E35" s="48"/>
      <c r="F35" s="48"/>
      <c r="G35" s="48"/>
    </row>
  </sheetData>
  <mergeCells count="4">
    <mergeCell ref="B35:G35"/>
    <mergeCell ref="B7:G7"/>
    <mergeCell ref="B17:G17"/>
    <mergeCell ref="B30:G30"/>
  </mergeCells>
  <printOptions horizontalCentered="1"/>
  <pageMargins left="0.7" right="0.7" top="0.75" bottom="0.75" header="0.3" footer="0.3"/>
  <pageSetup orientation="portrait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Vieira</dc:creator>
  <cp:lastModifiedBy>Renato Vieira</cp:lastModifiedBy>
  <cp:lastPrinted>2018-03-24T20:59:14Z</cp:lastPrinted>
  <dcterms:created xsi:type="dcterms:W3CDTF">2018-03-24T18:24:29Z</dcterms:created>
  <dcterms:modified xsi:type="dcterms:W3CDTF">2019-09-30T01:05:36Z</dcterms:modified>
</cp:coreProperties>
</file>