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92727096-BA0E-E641-B681-1435F2F94A48}" xr6:coauthVersionLast="47" xr6:coauthVersionMax="47" xr10:uidLastSave="{00000000-0000-0000-0000-000000000000}"/>
  <bookViews>
    <workbookView xWindow="-11160" yWindow="-21600" windowWidth="38400" windowHeight="21600" firstSheet="7" activeTab="11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wire or Not24" sheetId="15" r:id="rId12"/>
    <sheet name="Random circuit" sheetId="12" r:id="rId13"/>
    <sheet name="Random circuit on sot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15" l="1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T19" i="15"/>
  <c r="T18" i="15"/>
  <c r="T17" i="15"/>
  <c r="T16" i="15"/>
  <c r="T15" i="15"/>
  <c r="T14" i="15"/>
  <c r="T13" i="15"/>
  <c r="T12" i="15"/>
  <c r="T11" i="15"/>
  <c r="T10" i="15"/>
  <c r="N17" i="15"/>
  <c r="N16" i="15"/>
  <c r="N15" i="15"/>
  <c r="N14" i="15"/>
  <c r="N13" i="15"/>
  <c r="N12" i="15"/>
  <c r="N11" i="15"/>
  <c r="N10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S20" i="15"/>
  <c r="S19" i="15"/>
  <c r="S18" i="15"/>
  <c r="S17" i="15"/>
  <c r="S16" i="15"/>
  <c r="S15" i="15"/>
  <c r="S14" i="15"/>
  <c r="S13" i="15"/>
  <c r="S12" i="15"/>
  <c r="S11" i="15"/>
  <c r="S10" i="15"/>
  <c r="M18" i="15"/>
  <c r="M17" i="15"/>
  <c r="M16" i="15"/>
  <c r="M15" i="15"/>
  <c r="M14" i="15"/>
  <c r="M13" i="15"/>
  <c r="M12" i="15"/>
  <c r="M11" i="15"/>
  <c r="M10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<sst xmlns="http://schemas.openxmlformats.org/spreadsheetml/2006/main" count="178" uniqueCount="53">
  <si>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</si>
  <si>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</si>
  <si>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</si>
  <si>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</si>
  <si>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</si>
  <si>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</si>
  <si>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</si>
  <si>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</si>
  <si>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</si>
  <si>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</si>
  <si>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</si>
  <si>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</si>
  <si>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</si>
  <si>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</si>
  <si>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</si>
  <si>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</si>
  <si>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</si>
  <si>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</si>
  <si>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</si>
  <si>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</si>
  <si>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</si>
  <si>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</si>
  <si>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</si>
  <si>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</si>
  <si>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</si>
  <si>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</si>
  <si>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</si>
  <si>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</si>
  <si>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</si>
  <si>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</si>
  <si>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</si>
  <si>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</si>
  <si>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</si>
  <si>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</si>
  <si>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</si>
  <si>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</si>
  <si>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</si>
  <si>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</si>
  <si>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</si>
  <si>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</si>
  <si>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</si>
  <si>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</si>
  <si>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</si>
  <si>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random2</t>
    <phoneticPr fontId="1"/>
  </si>
  <si>
    <t>main</t>
    <phoneticPr fontId="1"/>
  </si>
  <si>
    <t>wire</t>
    <phoneticPr fontId="1"/>
  </si>
  <si>
    <t>random4</t>
    <phoneticPr fontId="1"/>
  </si>
  <si>
    <t>randomRotate</t>
    <phoneticPr fontId="1"/>
  </si>
  <si>
    <t>full wire</t>
    <phoneticPr fontId="1"/>
  </si>
  <si>
    <t>0edge optimize</t>
    <phoneticPr fontId="1"/>
  </si>
  <si>
    <t>para/main</t>
    <phoneticPr fontId="1"/>
  </si>
  <si>
    <t>para/wire</t>
    <phoneticPr fontId="1"/>
  </si>
  <si>
    <t>para/opt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</si>
</sst>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2" fontId="0" fillId="0" borderId="5" xfId="0" applyNumberFormat="1" applyBorder="1">
      <alignment vertical="center"/>
    </xf>
    <xf numFmtId="2" fontId="0" fillId="0" borderId="0" xfId="0" applyNumberFormat="1" applyBorder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8" t="s">
        <v>7</v>
      </c>
      <c r="G2" s="18"/>
      <c r="H2" s="18"/>
      <c r="I2" s="18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D2FE-1783-1C43-BEC1-A1CD991D81CC}">
  <dimension ref="F8:T34"/>
  <sheetViews>
    <sheetView tabSelected="1" topLeftCell="F4" zoomScale="139" workbookViewId="0">
      <selection activeCell="R23" sqref="R23"/>
    </sheetView>
  </sheetViews>
  <sheetFormatPr baseColWidth="10" defaultRowHeight="20"/>
  <cols>
    <col min="16" max="16" width="10.7109375" customWidth="1"/>
    <col min="17" max="17" width="14" bestFit="1" customWidth="1"/>
    <col min="20" max="20" width="11.140625" bestFit="1" customWidth="1"/>
  </cols>
  <sheetData>
    <row r="8" spans="6:20">
      <c r="G8" s="18" t="s">
        <v>43</v>
      </c>
      <c r="H8" s="18"/>
      <c r="I8" s="18"/>
      <c r="J8" s="18"/>
      <c r="K8" s="24" t="s">
        <v>46</v>
      </c>
      <c r="L8" s="25"/>
      <c r="O8" s="18" t="s">
        <v>47</v>
      </c>
      <c r="P8" s="18"/>
      <c r="Q8" s="18"/>
    </row>
    <row r="9" spans="6:20">
      <c r="G9" t="s">
        <v>44</v>
      </c>
      <c r="H9" t="s">
        <v>50</v>
      </c>
      <c r="I9" t="s">
        <v>45</v>
      </c>
      <c r="J9" t="s">
        <v>51</v>
      </c>
      <c r="K9" s="26" t="s">
        <v>44</v>
      </c>
      <c r="L9" s="27"/>
      <c r="M9" t="s">
        <v>45</v>
      </c>
      <c r="O9" t="s">
        <v>44</v>
      </c>
      <c r="P9" t="s">
        <v>50</v>
      </c>
      <c r="Q9" t="s">
        <v>49</v>
      </c>
      <c r="R9" t="s">
        <v>52</v>
      </c>
      <c r="S9" t="s">
        <v>48</v>
      </c>
    </row>
    <row r="10" spans="6:20">
      <c r="F10">
        <v>2</v>
      </c>
      <c r="G10" s="23">
        <f>AVERAGE(30.4371,30.7419, 30.599,32.2867,30.4039)</f>
        <v>30.893720000000002</v>
      </c>
      <c r="I10" s="23">
        <f>AVERAGE(30.21, 30.0486, 29.7054, 29.9983, 30.4106)</f>
        <v>30.074579999999997</v>
      </c>
      <c r="J10" s="23">
        <f>AVERAGE(47.1964, 46.3253, 47.5277, 44.3922, 48.7378)</f>
        <v>46.835879999999996</v>
      </c>
      <c r="K10" s="28">
        <f>AVERAGE(33.1282, 33.5901, 33.359, 34.5387, 33.4823)</f>
        <v>33.619660000000003</v>
      </c>
      <c r="L10" s="27"/>
      <c r="M10" s="23">
        <f>AVERAGE(34.0071, 34.0012, 33.8874, 33.4796, 33.0286)</f>
        <v>33.680779999999992</v>
      </c>
      <c r="N10" s="23">
        <f>AVERAGE(55.8394, 52.0674, 50.5765, 55.0451, 57.2382)</f>
        <v>54.153319999999994</v>
      </c>
      <c r="O10" s="23">
        <f>AVERAGE(34.1637, 32.2673, 32.7236, 33.504, 33.4666)</f>
        <v>33.225039999999993</v>
      </c>
      <c r="Q10" s="23">
        <f>AVERAGE(34.0429, 33.7438, 34.0278, 33.5255, 33.6129)</f>
        <v>33.790579999999999</v>
      </c>
      <c r="R10" s="23">
        <f>AVERAGE(54.5478, 52.2648,  54.8495, 54.9854, 53.1706)</f>
        <v>53.963620000000006</v>
      </c>
      <c r="S10" s="23">
        <f>AVERAGE(32.6347, 32.6913, 33.4424, 32.5906, 33.5494)</f>
        <v>32.981679999999997</v>
      </c>
      <c r="T10" s="23">
        <f>AVERAGE(51.0735, 54.9663, 56.4669, 50.6943, 55.2499)</f>
        <v>53.690179999999998</v>
      </c>
    </row>
    <row r="11" spans="6:20">
      <c r="F11">
        <v>3</v>
      </c>
      <c r="G11" s="23">
        <f>AVERAGE(32.4899, 32.6455, 32.5941, 32.4478,31.962)</f>
        <v>32.427859999999995</v>
      </c>
      <c r="I11" s="23">
        <f>AVERAGE(30.2969, 30.557, 30.0877, 30.5792, 30.5289)</f>
        <v>30.409939999999999</v>
      </c>
      <c r="J11" s="23">
        <f>AVERAGE(49.4534, 53.735, 52.9941, 47.9007, 54.8866)</f>
        <v>51.793960000000006</v>
      </c>
      <c r="K11" s="28">
        <f>AVERAGE(40.472, 40.2379, 41.084, 40.6164, 40.8477)</f>
        <v>40.651600000000002</v>
      </c>
      <c r="L11" s="27"/>
      <c r="M11" s="23">
        <f>AVERAGE(45.3439, 45.0259, 45.0335, 44.3652, 44.0755)</f>
        <v>44.768800000000006</v>
      </c>
      <c r="N11" s="23">
        <f>AVERAGE(63.3653,65.5299, 65.3683, 68.8719, 64.4478)</f>
        <v>65.51664000000001</v>
      </c>
      <c r="O11" s="23">
        <f>AVERAGE(38.1762, 39.4314, 39.2782, 38.8014, 41.3187)</f>
        <v>39.401179999999997</v>
      </c>
      <c r="Q11" s="23">
        <f>AVERAGE(39.7695, 38.7944, 39.3964, 39.1195, 39.4946)</f>
        <v>39.314880000000002</v>
      </c>
      <c r="R11" s="23">
        <f>AVERAGE(60.359, 61.3906, 59.6798, 57.4334, 59.1678)</f>
        <v>59.606119999999997</v>
      </c>
      <c r="S11" s="23">
        <f>AVERAGE(40.3342, 39.0578, 40.0329, 40.6143, 40.3188)</f>
        <v>40.071600000000004</v>
      </c>
      <c r="T11" s="23">
        <f>AVERAGE(64.0682, 58.9155, 63.2802, 62.1123, 63.5194)</f>
        <v>62.37912</v>
      </c>
    </row>
    <row r="12" spans="6:20">
      <c r="F12">
        <v>4</v>
      </c>
      <c r="G12" s="23">
        <f>AVERAGE(33.9835, 34.4651, 34.4085, 34.2331, 34.6994)</f>
        <v>34.35792</v>
      </c>
      <c r="I12" s="23">
        <f>AVERAGE(29.5622, 29.4853, 30.9691, 30.2415, 30.2341)</f>
        <v>30.09844</v>
      </c>
      <c r="J12" s="23">
        <f>AVERAGE(46.2544, 53.6714, 51.2438, 48.3798, 52.8523)</f>
        <v>50.480339999999998</v>
      </c>
      <c r="K12" s="28">
        <f>AVERAGE(53.3832, 53.3973, 53.1006, 52.267, 53.0044)</f>
        <v>53.030499999999996</v>
      </c>
      <c r="L12" s="27"/>
      <c r="M12" s="23">
        <f>AVERAGE(82.8706, 82.3914, 80.476, 82.3184, 81.6488)</f>
        <v>81.941040000000001</v>
      </c>
      <c r="N12" s="23">
        <f>AVERAGE(102.165, 102.382, 98.7987, 103.575, 102.468)</f>
        <v>101.87774</v>
      </c>
      <c r="O12" s="23">
        <f>AVERAGE(50.2432, 50.2874, 49.4059, 50.6884, 47.2385)</f>
        <v>49.572680000000005</v>
      </c>
      <c r="Q12" s="23">
        <f>AVERAGE(48.2694, 49.5463, 51.3109, 48.7988, 52.0928)</f>
        <v>50.003639999999997</v>
      </c>
      <c r="R12" s="23">
        <f>AVERAGE(66.8155, 69.6284, 72.2165, 72.0607, 70.9651)</f>
        <v>70.337239999999994</v>
      </c>
      <c r="S12" s="23">
        <f>AVERAGE(62.5954, 56.555, 58.7089, 58.0618, 56.3008)</f>
        <v>58.444380000000002</v>
      </c>
      <c r="T12" s="23">
        <f>AVERAGE(81.787, 82.5051, 78.3047, 80.2968, 75.933)</f>
        <v>79.765320000000003</v>
      </c>
    </row>
    <row r="13" spans="6:20">
      <c r="F13">
        <v>5</v>
      </c>
      <c r="G13" s="23">
        <f>AVERAGE( 36.7081, 37.428, 37.1244, 36.6683, 35.1524)</f>
        <v>36.616240000000005</v>
      </c>
      <c r="I13" s="23">
        <f>AVERAGE(30.7867, 31.1235, 29.9504, 30.1389, 29.814)</f>
        <v>30.3627</v>
      </c>
      <c r="J13" s="23">
        <f>AVERAGE(49.2703, 49.0045, 51.7948, 49.0155, 47.6966)</f>
        <v>49.356340000000003</v>
      </c>
      <c r="K13" s="28">
        <f>AVERAGE(74.4368, 77.4731, 76.9034, 73.913, 74.7002)</f>
        <v>75.485299999999995</v>
      </c>
      <c r="L13" s="27"/>
      <c r="M13" s="23">
        <f>AVERAGE(187.788, 193.991, 176.797, 198.008, 178.672)</f>
        <v>187.05120000000002</v>
      </c>
      <c r="N13" s="23">
        <f>AVERAGE(214.368, 215.819, 223.757, 224.052, 210.388)</f>
        <v>217.67680000000001</v>
      </c>
      <c r="O13" s="23">
        <f>AVERAGE(68.3003, 67.8745, 67.5458, 68.7938, 67.1056)</f>
        <v>67.924000000000007</v>
      </c>
      <c r="Q13" s="23">
        <f>AVERAGE(64.4004, 67.1313, 66.0742, 68.5767, 67.4068)</f>
        <v>66.717880000000008</v>
      </c>
      <c r="R13" s="23">
        <f>AVERAGE(86.1275, 86.7391, 83.3187, 89.7593, 84.3559)</f>
        <v>86.060100000000006</v>
      </c>
      <c r="S13" s="23">
        <f>AVERAGE(120.454, 107.658, 101.604, 117.367, 95.485)</f>
        <v>108.5136</v>
      </c>
      <c r="T13" s="23">
        <f>AVERAGE(141.548, 130.045, 132.195, 151.577, 142.82)</f>
        <v>139.637</v>
      </c>
    </row>
    <row r="14" spans="6:20">
      <c r="F14">
        <v>6</v>
      </c>
      <c r="G14" s="23">
        <f>AVERAGE(38.1581, 38.6939, 37.3726, 38.7544, 39.2757)</f>
        <v>38.450940000000003</v>
      </c>
      <c r="I14" s="23">
        <f>AVERAGE(29.7413, 29.2857, 30.3178, 30.5892, 29.8897)</f>
        <v>29.964739999999999</v>
      </c>
      <c r="J14" s="23">
        <f>AVERAGE(48.4472, 46.0575, 49.2164, 46.511, 47.6341)</f>
        <v>47.573239999999998</v>
      </c>
      <c r="K14" s="28">
        <f>AVERAGE(120.43, 117.054, 121.164, 121.045, 122.911)</f>
        <v>120.52080000000001</v>
      </c>
      <c r="L14" s="27"/>
      <c r="M14" s="23">
        <f>AVERAGE(554.496, 618.91, 570.524, 520.915, 559.363)</f>
        <v>564.84159999999997</v>
      </c>
      <c r="N14" s="23">
        <f>AVERAGE(572.778, 583.455, 603.037, 630.734, 521.613)</f>
        <v>582.32339999999999</v>
      </c>
      <c r="O14" s="23">
        <f>AVERAGE(103.607, 99.8519, 101.838, 97.9061, 106.217)</f>
        <v>101.88399999999999</v>
      </c>
      <c r="Q14" s="23">
        <f>AVERAGE(98.0032, 99.3132, 100.708, 100.182, 97.9073)</f>
        <v>99.222740000000016</v>
      </c>
      <c r="R14" s="23">
        <f>AVERAGE(126.17, 124.695, 121.303, 121.506, 123.814)</f>
        <v>123.49759999999999</v>
      </c>
      <c r="S14" s="23">
        <f>AVERAGE(298.365, 273.605, 206.552, 232.137, 219.992)</f>
        <v>246.1302</v>
      </c>
      <c r="T14" s="23">
        <f>AVERAGE(280.404, 296.823, 301.304, 288.783,  282.198)</f>
        <v>289.90239999999994</v>
      </c>
    </row>
    <row r="15" spans="6:20">
      <c r="F15">
        <v>7</v>
      </c>
      <c r="G15" s="23">
        <f>AVERAGE(39.9082, 39.4287, 39.2895, 39.5035, 38.2382)</f>
        <v>39.273620000000001</v>
      </c>
      <c r="I15" s="23">
        <f>AVERAGE(31.3959, 30.1763, 30.3852, 30.3744, 30.3297)</f>
        <v>30.532300000000003</v>
      </c>
      <c r="J15" s="23">
        <f>AVERAGE(49.4224, 49.6139, 48.8497, 43.5695, 49.9096)</f>
        <v>48.27302000000001</v>
      </c>
      <c r="K15" s="28">
        <f>AVERAGE(198.965, 202.506, 205.588, 204.787, 210.464)</f>
        <v>204.46199999999999</v>
      </c>
      <c r="L15" s="27"/>
      <c r="M15" s="23">
        <f>AVERAGE(1738.36, 1778.14, 1871.71, 1833.9, 1952.99)</f>
        <v>1835.02</v>
      </c>
      <c r="N15" s="23">
        <f>AVERAGE(1472.09, 1263.87, 1235.98, 1229.77, 1176)</f>
        <v>1275.5419999999999</v>
      </c>
      <c r="O15">
        <f>AVERAGE(173.3, 171.633, 164.672, 161.583, 178.262)</f>
        <v>169.89000000000001</v>
      </c>
      <c r="Q15" s="23">
        <f>AVERAGE(163.106, 140.972, 155.086, 169.582, 165.541)</f>
        <v>158.85740000000001</v>
      </c>
      <c r="R15" s="23">
        <f>AVERAGE(194.26, 199.322, 190.853, 182.972,190.012)</f>
        <v>191.48379999999997</v>
      </c>
      <c r="S15" s="23">
        <f>AVERAGE(714.319, 697.778, 809.523, 556.542, 705.126)</f>
        <v>696.65759999999989</v>
      </c>
      <c r="T15" s="23">
        <f>AVERAGE(435.598, 616.559, 536.883, 548.835, 624.516)</f>
        <v>552.47820000000002</v>
      </c>
    </row>
    <row r="16" spans="6:20">
      <c r="F16">
        <v>8</v>
      </c>
      <c r="G16" s="23">
        <f>AVERAGE(44.3706, 42.3441, 41.1531, 44.2283, 42.3363)</f>
        <v>42.886479999999992</v>
      </c>
      <c r="I16" s="23">
        <f>AVERAGE(30.1698, 30.2739, 30.8566, 30.992, 29.7696)</f>
        <v>30.412380000000002</v>
      </c>
      <c r="J16" s="23">
        <f>AVERAGE(44.5183, 49.0292, 47.2971, 50.4806, 49.1534)</f>
        <v>48.095720000000007</v>
      </c>
      <c r="K16" s="28">
        <f>AVERAGE(373.275, 386.774, 367.57, 370.903, 370.099)</f>
        <v>373.7242</v>
      </c>
      <c r="L16" s="27"/>
      <c r="M16" s="23">
        <f>AVERAGE(7038.1, 8608.35, 7850.25, 7016.03, 7983.76)</f>
        <v>7699.2979999999998</v>
      </c>
      <c r="N16" s="23">
        <f>AVERAGE(3906.53, 8869.26, 3631.02, 3925.56, 3654.32)</f>
        <v>4797.3380000000006</v>
      </c>
      <c r="O16" s="23">
        <f>AVERAGE(262.27, 259.038, 305.538, 297.739, 262.597)</f>
        <v>277.43639999999999</v>
      </c>
      <c r="Q16" s="23">
        <f>AVERAGE(272.253, 287.209, 229.999, 274.419, 266.629)</f>
        <v>266.10180000000003</v>
      </c>
      <c r="R16" s="23">
        <f>AVERAGE(317.571, 344.183, 295.951, 331.29, 309.795)</f>
        <v>319.75800000000004</v>
      </c>
      <c r="S16" s="23">
        <f>AVERAGE(1368.99, 2063.35, 2308.13, 1921.38, 1579.32)</f>
        <v>1848.2339999999999</v>
      </c>
      <c r="T16" s="23">
        <f>AVERAGE(1266.89, 906.891, 1508.6, 936.966, 1320.63)</f>
        <v>1187.9954</v>
      </c>
    </row>
    <row r="17" spans="6:20">
      <c r="F17">
        <v>9</v>
      </c>
      <c r="G17" s="23">
        <f>AVERAGE(43.3314, 42.937, 43.6744, 43.5675, 43.7881)</f>
        <v>43.459680000000006</v>
      </c>
      <c r="I17" s="23">
        <f>AVERAGE(29.5076, 30.5303, 30.9564, 30.0291, 30.3688)</f>
        <v>30.27844</v>
      </c>
      <c r="J17" s="23">
        <f>AVERAGE(51.9539, 47.074, 51.1665, 50.5019, 49.3182)</f>
        <v>50.002899999999997</v>
      </c>
      <c r="K17" s="28">
        <f>AVERAGE(692.32, 634.02, 702.058, 658.267, 698.848)</f>
        <v>677.10259999999994</v>
      </c>
      <c r="L17" s="27"/>
      <c r="M17" s="23">
        <f>AVERAGE(28023.1, 25907.9, 24291.7,  28182.1, 25078.7)</f>
        <v>26296.7</v>
      </c>
      <c r="N17" s="23">
        <f>AVERAGE(14849.2, 14162.2, 11142.8, 14497.1, 18796)</f>
        <v>14689.459999999997</v>
      </c>
      <c r="O17" s="23">
        <f>AVERAGE(545.382, 500.703, 550.104, 490.605, 496.53)</f>
        <v>516.6647999999999</v>
      </c>
      <c r="Q17" s="23">
        <f>AVERAGE(516.14, 467.922, 530.365, 513.07, 465.868)</f>
        <v>498.67300000000006</v>
      </c>
      <c r="R17" s="23">
        <f>AVERAGE(566.867, 530.827, 594.542, 602.465, 561.164)</f>
        <v>571.173</v>
      </c>
      <c r="S17" s="23">
        <f>AVERAGE(8561.89, 4317.24, 8098.28, 4945.32, 3327.28)</f>
        <v>5850.0019999999995</v>
      </c>
      <c r="T17" s="23">
        <f>AVERAGE(2336.97, 2665.33, 2891.19, 3497.61, 3401.32)</f>
        <v>2958.4839999999999</v>
      </c>
    </row>
    <row r="18" spans="6:20">
      <c r="F18">
        <v>10</v>
      </c>
      <c r="G18" s="23">
        <f>AVERAGE(44.7299,  45.6662, 46.1342, 46.4101, 45.4828)</f>
        <v>45.684640000000002</v>
      </c>
      <c r="I18" s="23">
        <f>AVERAGE(30.6146, 30.7106, 30.6581, 30.8273, 31.8231)</f>
        <v>30.926740000000002</v>
      </c>
      <c r="J18" s="23">
        <f>AVERAGE(47.8479, 48.7168, 46.8631, 46.3984, 48.5258)</f>
        <v>47.670400000000001</v>
      </c>
      <c r="K18" s="28">
        <f>AVERAGE(1407.32, 1274.56, 1273.78, 1334.78, 1334.39)</f>
        <v>1324.9659999999999</v>
      </c>
      <c r="L18" s="27"/>
      <c r="M18" s="23">
        <f>AVERAGE(120211)</f>
        <v>120211</v>
      </c>
      <c r="N18" s="23"/>
      <c r="O18" s="23">
        <f>AVERAGE(917.467, 1099.66, 982.311, 849.19, 1120.07)</f>
        <v>993.73960000000011</v>
      </c>
      <c r="Q18" s="23">
        <f>AVERAGE(786.142, 861.958, 865.172, 1010.84, 979.433)</f>
        <v>900.70900000000006</v>
      </c>
      <c r="R18" s="23">
        <f>AVERAGE(875.287, 1046.72, 1086.73, 985.084, 1074.78)</f>
        <v>1013.7202</v>
      </c>
      <c r="S18" s="23">
        <f>AVERAGE(14499.2, 19729.4, 21032.2, 28495.9, 22840.3)</f>
        <v>21319.4</v>
      </c>
      <c r="T18" s="23">
        <f>AVERAGE(5980.58, 6328.76,  7867.6, 4056.42, 5588.98)</f>
        <v>5964.4679999999998</v>
      </c>
    </row>
    <row r="19" spans="6:20">
      <c r="F19">
        <v>11</v>
      </c>
      <c r="G19" s="23">
        <f>AVERAGE(46.8974, 45.8496, 46.4139, 47.2316, 45.5435)</f>
        <v>46.387199999999993</v>
      </c>
      <c r="I19" s="23">
        <f>AVERAGE(29.8837, 31.4485, 30.6248, 31.0598, 30.4262)</f>
        <v>30.688599999999997</v>
      </c>
      <c r="J19" s="23">
        <f>AVERAGE(50.8485, 47.6504, 48.1193, 47.7961, 45.8908)</f>
        <v>48.061019999999999</v>
      </c>
      <c r="K19" s="28">
        <f>AVERAGE(2540.5, 2486, 2639.09, 2415.95, 2675.55)</f>
        <v>2551.4180000000001</v>
      </c>
      <c r="L19" s="29"/>
      <c r="N19" s="23"/>
      <c r="O19" s="23">
        <f>AVERAGE(1711.07, 1790.24, 1908.55, 1809.32, 1729.7)</f>
        <v>1789.7759999999998</v>
      </c>
      <c r="Q19" s="23">
        <f>AVERAGE(1577.58, 1664.44, 1908.88, 1779.96, 1755.47)</f>
        <v>1737.2660000000001</v>
      </c>
      <c r="R19" s="23">
        <f>AVERAGE(1862.01, 1809.01, 1819.8, 1745.3, 1949.55 )</f>
        <v>1837.134</v>
      </c>
      <c r="S19" s="23">
        <f>AVERAGE(84195.4, 42528.6, 109868, 47490.3, 76020)</f>
        <v>72020.459999999992</v>
      </c>
      <c r="T19" s="23">
        <f>AVERAGE(30695.8, 27759.4, 20368.3, 20962.9,  15729.7)</f>
        <v>23103.219999999998</v>
      </c>
    </row>
    <row r="20" spans="6:20">
      <c r="F20">
        <v>12</v>
      </c>
      <c r="G20" s="23">
        <f>AVERAGE(48.6259, 47.8993, 49.0802, 48.5559, 48.9076)</f>
        <v>48.613780000000006</v>
      </c>
      <c r="I20" s="23">
        <f>AVERAGE(31.5032, 30.963, 30.0797, 30.9291, 31.447)</f>
        <v>30.984400000000001</v>
      </c>
      <c r="J20" s="23">
        <f>AVERAGE(46.6829, 51.1037, 48.0016, 47.498, 50.4968)</f>
        <v>48.756599999999999</v>
      </c>
      <c r="K20" s="28">
        <f>AVERAGE(4775.7, 5015.67, 5248.95, 4612.62, 5171.2)</f>
        <v>4964.8279999999995</v>
      </c>
      <c r="L20" s="29"/>
      <c r="N20" s="23"/>
      <c r="O20" s="23">
        <f>AVERAGE(3752.81, 3484.35, 3640.35, 3580.24, 3501.21)</f>
        <v>3591.7919999999999</v>
      </c>
      <c r="Q20" s="23">
        <f>AVERAGE(3506.69, 3329.36, 3584.14, 3625.45, 3002.63)</f>
        <v>3409.654</v>
      </c>
      <c r="R20" s="23">
        <f>AVERAGE(2580.21, 3476.01, 3534.19, 3014.09, 3473.12)</f>
        <v>3215.5239999999999</v>
      </c>
      <c r="S20" s="23">
        <f>AVERAGE( 313214, 353633, 334338, 199480, 278140)</f>
        <v>295761</v>
      </c>
      <c r="T20" s="23"/>
    </row>
    <row r="21" spans="6:20">
      <c r="F21">
        <v>13</v>
      </c>
      <c r="G21" s="23">
        <f>AVERAGE(49.2932, 51.9771, 52.0567, 48.4579, 50.1339)</f>
        <v>50.383759999999995</v>
      </c>
      <c r="I21" s="23">
        <f>AVERAGE(31.9134, 30.5519, 31.6042, 32.0951, 30.0383)</f>
        <v>31.240580000000001</v>
      </c>
      <c r="J21" s="23">
        <f>AVERAGE(50.8976, 51.5281, 48.5767, 52.3327, 45.5897)</f>
        <v>49.784959999999998</v>
      </c>
      <c r="K21" s="28">
        <f>AVERAGE(8913.36, 10089.2, 9400.44, 10276.1, 9840.28)</f>
        <v>9703.8760000000002</v>
      </c>
      <c r="L21" s="29"/>
      <c r="N21" s="23"/>
      <c r="O21" s="23">
        <f>AVERAGE(7886.52, 5676.11, 5898.29, 6044.62, 8089.14)</f>
        <v>6718.9359999999997</v>
      </c>
      <c r="Q21" s="23">
        <f>AVERAGE(5378.07, 4967.34, 7066.21, 6829.19, 6741.83)</f>
        <v>6196.5280000000002</v>
      </c>
      <c r="R21" s="23">
        <f>AVERAGE(4705.76, 4248.28, 4631.85, 4582.02, 4334.28)</f>
        <v>4500.4380000000001</v>
      </c>
      <c r="S21" s="23"/>
      <c r="T21" s="23"/>
    </row>
    <row r="22" spans="6:20">
      <c r="F22">
        <v>14</v>
      </c>
      <c r="G22" s="23">
        <f>AVERAGE(51.6885, 52.1835, 51.2097, 51.2005, 53.4425)</f>
        <v>51.94494000000001</v>
      </c>
      <c r="I22" s="23">
        <f>AVERAGE(29.762, 31.6446, 31.1495, 30.772, 31.4729)</f>
        <v>30.960200000000004</v>
      </c>
      <c r="J22" s="23">
        <f>AVERAGE(47.4311, 48.6531, 52.7871, 48.2532, 50.162)</f>
        <v>49.457300000000004</v>
      </c>
      <c r="K22" s="28">
        <f>AVERAGE(18731.7, 19567.6, 20475, 17732.2, 20983.7)</f>
        <v>19498.04</v>
      </c>
      <c r="L22" s="29"/>
      <c r="N22" s="23"/>
      <c r="O22" s="23">
        <f>AVERAGE(16087.3, 11199.8, 10465.6, 16440.2, 14612.8)</f>
        <v>13761.14</v>
      </c>
      <c r="Q22" s="23">
        <f>AVERAGE(12645.3, 11631.9, 12335.8, 15978.4, 9859.07)</f>
        <v>12490.094000000001</v>
      </c>
      <c r="R22" s="23">
        <f>AVERAGE(7532.9, 7774.67, 7813.36, 7367.24, 7977.48)</f>
        <v>7693.1299999999992</v>
      </c>
      <c r="S22" s="23"/>
      <c r="T22" s="23"/>
    </row>
    <row r="23" spans="6:20">
      <c r="F23">
        <v>15</v>
      </c>
      <c r="G23" s="23">
        <f>AVERAGE(52.2706, 52.1033, 54.3101, 52.9445, 51.3055)</f>
        <v>52.586800000000004</v>
      </c>
      <c r="I23" s="23">
        <f>AVERAGE(30.4501, 30.9794, 31.2893, 31.6911, 31.1669)</f>
        <v>31.115359999999999</v>
      </c>
      <c r="J23" s="23">
        <f>AVERAGE(49.7197, 49.8982, 49.2145, 48.6287, 49.276)</f>
        <v>49.347420000000007</v>
      </c>
      <c r="K23" s="28">
        <f>AVERAGE(41447.4, 43988.5, 41128.8, 40158.4, 44239.2)</f>
        <v>42192.46</v>
      </c>
      <c r="L23" s="29"/>
      <c r="N23" s="23"/>
      <c r="O23" s="23">
        <f>AVERAGE(37221.2, 30014.3, 32361, 26579.2, 30884.3)</f>
        <v>31412</v>
      </c>
      <c r="Q23" s="23">
        <f>AVERAGE(30435.4, 24004.2, 27906.6, 23018.3, 26048.2)</f>
        <v>26282.54</v>
      </c>
      <c r="R23" s="23">
        <f>AVERAGE(18721.1, 18900.3, 12353.7, 16161.1, 14019.7)</f>
        <v>16031.179999999998</v>
      </c>
      <c r="S23" s="23"/>
      <c r="T23" s="23"/>
    </row>
    <row r="24" spans="6:20">
      <c r="F24">
        <v>16</v>
      </c>
      <c r="G24" s="23">
        <f>AVERAGE(56.7791, 55.2905, 55.4975, 55.9323, 56.8524)</f>
        <v>56.070360000000008</v>
      </c>
      <c r="H24" s="23"/>
      <c r="I24" s="23"/>
      <c r="J24" s="23"/>
      <c r="K24" s="28">
        <f>AVERAGE(140917, 83258.7, 97855.3, 114007, 84992.8)</f>
        <v>104206.16</v>
      </c>
      <c r="L24" s="29"/>
      <c r="N24" s="23"/>
      <c r="O24" s="23">
        <f>AVERAGE(58288.3, 45319.4, 64321.4, 69176.7, 90052.8)</f>
        <v>65431.719999999994</v>
      </c>
      <c r="Q24" s="23">
        <f>AVERAGE(57136.3, 53015.1, 57277.4, 51994, 65682.6)</f>
        <v>57021.08</v>
      </c>
      <c r="R24" s="23"/>
      <c r="S24" s="23"/>
      <c r="T24" s="23"/>
    </row>
    <row r="25" spans="6:20">
      <c r="F25">
        <v>17</v>
      </c>
      <c r="G25" s="23">
        <f>AVERAGE(58.5202, 58.1155, 57.9768, 55.8216, 58.9872)</f>
        <v>57.884259999999998</v>
      </c>
      <c r="H25" s="23"/>
      <c r="I25" s="23"/>
      <c r="J25" s="23"/>
      <c r="K25" s="28">
        <f>AVERAGE(276913, 172963)</f>
        <v>224938</v>
      </c>
      <c r="L25" s="29"/>
      <c r="N25" s="23"/>
      <c r="O25" s="23">
        <f>AVERAGE(121731, 197358, 150400, 122788, 162034)</f>
        <v>150862.20000000001</v>
      </c>
      <c r="Q25" s="23">
        <f>AVERAGE(118258, 115165, 130310, 93424, 98847.1)</f>
        <v>111200.81999999999</v>
      </c>
      <c r="R25" s="23"/>
      <c r="S25" s="23"/>
      <c r="T25" s="23"/>
    </row>
    <row r="26" spans="6:20">
      <c r="F26">
        <v>18</v>
      </c>
      <c r="G26" s="23">
        <f>AVERAGE(58.557, 58.6482, 57.9507, 61.1638, 58.2993)</f>
        <v>58.923800000000007</v>
      </c>
      <c r="H26" s="23"/>
      <c r="I26" s="23"/>
      <c r="J26" s="23"/>
      <c r="K26" s="28"/>
      <c r="L26" s="27"/>
      <c r="N26" s="23"/>
      <c r="O26" s="23"/>
      <c r="P26" s="23"/>
      <c r="Q26" s="23"/>
    </row>
    <row r="27" spans="6:20">
      <c r="F27">
        <v>19</v>
      </c>
      <c r="G27" s="23">
        <f>AVERAGE(59.5569, 62.2508, 60.907, 60.8009, 56.9841)</f>
        <v>60.099940000000004</v>
      </c>
      <c r="H27" s="23"/>
      <c r="I27" s="23"/>
      <c r="J27" s="23"/>
      <c r="K27" s="28"/>
      <c r="L27" s="27"/>
      <c r="N27" s="23"/>
      <c r="O27" s="23"/>
      <c r="P27" s="23"/>
      <c r="Q27" s="23"/>
    </row>
    <row r="28" spans="6:20">
      <c r="F28">
        <v>20</v>
      </c>
      <c r="G28" s="23">
        <f>AVERAGE(61.8693, 66.5654, 64.9043, 62.3259, 64.5053)</f>
        <v>64.034040000000005</v>
      </c>
      <c r="H28" s="23"/>
      <c r="I28" s="23"/>
      <c r="J28" s="23"/>
      <c r="K28" s="28"/>
      <c r="L28" s="27"/>
      <c r="N28" s="23"/>
      <c r="O28" s="23"/>
      <c r="P28" s="23"/>
    </row>
    <row r="29" spans="6:20">
      <c r="F29">
        <v>21</v>
      </c>
      <c r="G29" s="23">
        <f>AVERAGE(66.0514, 65.0641, 63.4008, 65.8043, 63.2549)</f>
        <v>64.715100000000007</v>
      </c>
      <c r="H29" s="23"/>
      <c r="I29" s="23"/>
      <c r="J29" s="23"/>
      <c r="K29" s="28"/>
      <c r="L29" s="27"/>
      <c r="N29" s="23"/>
      <c r="O29" s="23"/>
      <c r="P29" s="23"/>
    </row>
    <row r="30" spans="6:20">
      <c r="F30">
        <v>22</v>
      </c>
      <c r="G30" s="23">
        <f>AVERAGE(67.5743, 65.5693, 67.2018, 66.5036, 66.5754)</f>
        <v>66.684879999999993</v>
      </c>
      <c r="H30" s="23"/>
      <c r="I30" s="23"/>
      <c r="J30" s="23"/>
      <c r="K30" s="28"/>
      <c r="L30" s="27"/>
      <c r="N30" s="23"/>
      <c r="O30" s="23"/>
      <c r="P30" s="23"/>
    </row>
    <row r="31" spans="6:20">
      <c r="J31" s="23"/>
      <c r="K31" s="26"/>
      <c r="L31" s="27"/>
      <c r="N31" s="23"/>
    </row>
    <row r="32" spans="6:20">
      <c r="J32" s="23"/>
      <c r="K32" s="26"/>
      <c r="L32" s="27"/>
      <c r="N32" s="23"/>
    </row>
    <row r="33" spans="10:14">
      <c r="J33" s="23"/>
      <c r="N33" s="23"/>
    </row>
    <row r="34" spans="10:14">
      <c r="J34" s="23"/>
    </row>
  </sheetData>
  <mergeCells count="3">
    <mergeCell ref="K8:L8"/>
    <mergeCell ref="O8:Q8"/>
    <mergeCell ref="G8:J8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zoomScale="75" zoomScaleNormal="40" workbookViewId="0">
      <selection activeCell="N37" sqref="N37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2" t="s">
        <v>34</v>
      </c>
      <c r="E2" s="22"/>
      <c r="F2" s="22" t="s">
        <v>33</v>
      </c>
      <c r="G2" s="22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2" t="s">
        <v>32</v>
      </c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2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2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2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2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2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2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2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2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2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2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2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2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2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2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2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2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2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2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2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2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2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2" t="s">
        <v>35</v>
      </c>
      <c r="O31" s="22"/>
      <c r="P31" s="22"/>
      <c r="Q31" s="22"/>
      <c r="S31" s="6"/>
      <c r="T31" s="6"/>
      <c r="U31" s="6"/>
      <c r="V31" s="6"/>
      <c r="W31" s="6"/>
      <c r="X31" s="6"/>
    </row>
    <row r="32" spans="1:24">
      <c r="A32" s="22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2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2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8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8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8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8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8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8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8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8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8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8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8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8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8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8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8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8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8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8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8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8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8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8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8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8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8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8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8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8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8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8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8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8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8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8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8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8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8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8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8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8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8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8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8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8"/>
      <c r="C217">
        <v>843941</v>
      </c>
      <c r="D217" s="6">
        <v>838196</v>
      </c>
      <c r="E217" s="6">
        <v>903262</v>
      </c>
    </row>
    <row r="218" spans="1:6">
      <c r="A218" s="18"/>
      <c r="C218">
        <v>1278740</v>
      </c>
      <c r="D218" s="6">
        <v>611509</v>
      </c>
      <c r="E218" s="6">
        <v>684758</v>
      </c>
    </row>
    <row r="219" spans="1:6">
      <c r="A219" s="18"/>
      <c r="C219">
        <v>1928820</v>
      </c>
      <c r="D219">
        <v>1176440</v>
      </c>
      <c r="E219" s="6">
        <v>332190</v>
      </c>
    </row>
    <row r="220" spans="1:6">
      <c r="A220" s="18"/>
      <c r="C220">
        <v>1220010</v>
      </c>
      <c r="D220">
        <v>1013930</v>
      </c>
    </row>
    <row r="221" spans="1:6">
      <c r="A221" s="18"/>
      <c r="C221">
        <v>1554340</v>
      </c>
      <c r="D221" s="6">
        <v>779696</v>
      </c>
    </row>
    <row r="222" spans="1:6">
      <c r="A222" s="18"/>
      <c r="C222">
        <v>1241610</v>
      </c>
      <c r="D222">
        <v>1127680</v>
      </c>
    </row>
    <row r="224" spans="1:6">
      <c r="A224" s="18">
        <v>21</v>
      </c>
      <c r="C224">
        <v>1738180</v>
      </c>
      <c r="D224">
        <v>1926610</v>
      </c>
    </row>
    <row r="225" spans="1:4">
      <c r="A225" s="18"/>
      <c r="C225">
        <v>5072940</v>
      </c>
      <c r="D225">
        <v>3042540</v>
      </c>
    </row>
    <row r="226" spans="1:4">
      <c r="A226" s="18"/>
      <c r="C226">
        <v>1737490</v>
      </c>
    </row>
    <row r="227" spans="1:4">
      <c r="A227" s="18"/>
    </row>
    <row r="228" spans="1:4">
      <c r="A228" s="18"/>
    </row>
    <row r="229" spans="1:4">
      <c r="A229" s="18"/>
    </row>
    <row r="230" spans="1:4">
      <c r="A230" s="18"/>
    </row>
    <row r="231" spans="1:4">
      <c r="A231" s="18"/>
    </row>
    <row r="232" spans="1:4">
      <c r="A232" s="18"/>
    </row>
    <row r="233" spans="1:4">
      <c r="A233" s="18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zoomScale="94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2" t="s">
        <v>36</v>
      </c>
      <c r="H2" s="22"/>
      <c r="I2" s="22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2" t="s">
        <v>38</v>
      </c>
      <c r="P7" s="22"/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2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2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2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2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2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2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2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2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2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2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2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2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2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2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2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2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2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2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2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2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2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2" t="s">
        <v>35</v>
      </c>
      <c r="O31" s="22"/>
      <c r="P31" s="22"/>
      <c r="Q31" s="22"/>
      <c r="S31" s="11"/>
      <c r="T31" s="11"/>
      <c r="U31" s="11"/>
      <c r="V31" s="6"/>
      <c r="W31" s="6"/>
      <c r="X31" s="6"/>
    </row>
    <row r="32" spans="1:24">
      <c r="A32" s="22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2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2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8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8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8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8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8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8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8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8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8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8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8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8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8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8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8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8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8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8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8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8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8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8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8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8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8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8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8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8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8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8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8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8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8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8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8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8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8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8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8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8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8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8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8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8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8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8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8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8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8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8">
        <v>21</v>
      </c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9" t="s">
        <v>9</v>
      </c>
      <c r="J8" s="19"/>
      <c r="K8" s="19"/>
      <c r="L8" s="19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9" t="s">
        <v>9</v>
      </c>
      <c r="J8" s="19"/>
      <c r="K8" s="19"/>
      <c r="L8" s="19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9" t="s">
        <v>9</v>
      </c>
      <c r="J8" s="19"/>
      <c r="K8" s="19"/>
      <c r="L8" s="19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9" t="s">
        <v>9</v>
      </c>
      <c r="J8" s="19"/>
      <c r="K8" s="19"/>
      <c r="L8" s="19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8" t="s">
        <v>4</v>
      </c>
      <c r="G2" s="18"/>
      <c r="H2" s="18"/>
      <c r="I2" s="18"/>
      <c r="J2" s="18" t="s">
        <v>5</v>
      </c>
      <c r="K2" s="18"/>
      <c r="L2" s="18"/>
      <c r="M2" s="18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8" t="s">
        <v>4</v>
      </c>
      <c r="E2" s="18"/>
      <c r="F2" s="18"/>
      <c r="G2" s="18"/>
      <c r="H2" s="18" t="s">
        <v>5</v>
      </c>
      <c r="I2" s="18"/>
      <c r="J2" s="18"/>
      <c r="K2" s="18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8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8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8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8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8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8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8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8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8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8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8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8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8" t="s">
        <v>4</v>
      </c>
      <c r="T16" s="18"/>
      <c r="U16" s="18"/>
      <c r="V16" s="18"/>
      <c r="W16" s="18" t="s">
        <v>5</v>
      </c>
      <c r="X16" s="18"/>
      <c r="Y16" s="18"/>
      <c r="Z16" s="18"/>
    </row>
    <row r="17" spans="1:27">
      <c r="A17" s="18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8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8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8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8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8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8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8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2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2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2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2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2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2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2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2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2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2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2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2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2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2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2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2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2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2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2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2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2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2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2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2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2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2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2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2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2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2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2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2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2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2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2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2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2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2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2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2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2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2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2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2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2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2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2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2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2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2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2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2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2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2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2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2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2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2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2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2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2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2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2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2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2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2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2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2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2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2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2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2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2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2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2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2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2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2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2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2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2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2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2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2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2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2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2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2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2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2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2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2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2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2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2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2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2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2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2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2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2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2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2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2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2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2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2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2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2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2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2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2"/>
      <c r="C148" s="5"/>
    </row>
    <row r="149" spans="1:13">
      <c r="A149" s="22"/>
      <c r="C149" s="5"/>
    </row>
    <row r="150" spans="1:13">
      <c r="A150" s="22"/>
    </row>
    <row r="151" spans="1:13">
      <c r="A151" s="22"/>
    </row>
    <row r="152" spans="1:13">
      <c r="A152" s="22"/>
    </row>
    <row r="153" spans="1:13">
      <c r="A153" s="22"/>
    </row>
    <row r="154" spans="1:13">
      <c r="A154" s="22"/>
    </row>
    <row r="155" spans="1:13">
      <c r="A155" s="22"/>
    </row>
    <row r="156" spans="1:13">
      <c r="A156" s="22"/>
    </row>
    <row r="158" spans="1:13">
      <c r="A158" s="22">
        <v>15</v>
      </c>
    </row>
    <row r="159" spans="1:13">
      <c r="A159" s="22"/>
    </row>
    <row r="160" spans="1:13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wire or Not24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2025-06-08T09:05:39Z</dcterms:modified>
</cp:coreProperties>
</file>