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9C627362-E944-534E-A9E9-006D4FEF6259}" xr6:coauthVersionLast="47" xr6:coauthVersionMax="47" xr10:uidLastSave="{00000000-0000-0000-0000-000000000000}"/>
  <bookViews>
    <workbookView xWindow="0" yWindow="740" windowWidth="29400" windowHeight="18380" firstSheet="7" activeTab="11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Sheet1" sheetId="14" r:id="rId11"/>
    <sheet name="wire or Not24" sheetId="15" r:id="rId12"/>
    <sheet name="Random circuit" sheetId="12" r:id="rId13"/>
    <sheet name="Random circuit on sota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15" l="1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9" i="15"/>
  <c r="AF2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B23" i="15"/>
  <c r="AB22" i="15"/>
  <c r="AB21" i="15"/>
  <c r="AB20" i="15"/>
  <c r="AB19" i="15"/>
  <c r="AB18" i="15"/>
  <c r="AB17" i="15"/>
  <c r="AB16" i="15"/>
  <c r="AB15" i="15"/>
  <c r="AB14" i="15"/>
  <c r="AB13" i="15"/>
  <c r="AB12" i="15"/>
  <c r="AB11" i="15"/>
  <c r="AB10" i="15"/>
  <c r="AB9" i="15"/>
  <c r="AD17" i="15"/>
  <c r="AD16" i="15"/>
  <c r="AD13" i="15"/>
  <c r="AE23" i="15"/>
  <c r="AE22" i="15"/>
  <c r="AE21" i="15"/>
  <c r="AE20" i="15"/>
  <c r="AE19" i="15"/>
  <c r="AE18" i="15"/>
  <c r="AE17" i="15"/>
  <c r="AE16" i="15"/>
  <c r="AE15" i="15"/>
  <c r="AE14" i="15"/>
  <c r="AE13" i="15"/>
  <c r="AE12" i="15"/>
  <c r="AE11" i="15"/>
  <c r="AE10" i="15"/>
  <c r="AE9" i="15"/>
  <c r="AD22" i="15"/>
  <c r="AC23" i="15"/>
  <c r="AC22" i="15"/>
  <c r="AC21" i="15"/>
  <c r="AC20" i="15"/>
  <c r="AC19" i="15"/>
  <c r="AC18" i="15"/>
  <c r="AC17" i="15"/>
  <c r="AC16" i="15"/>
  <c r="AC15" i="15"/>
  <c r="AC14" i="15"/>
  <c r="AC13" i="15"/>
  <c r="AC12" i="15"/>
  <c r="AC11" i="15"/>
  <c r="AC10" i="15"/>
  <c r="AC9" i="15"/>
  <c r="AD23" i="15"/>
  <c r="AD21" i="15"/>
  <c r="AD20" i="15"/>
  <c r="AD19" i="15"/>
  <c r="AD18" i="15"/>
  <c r="AD15" i="15"/>
  <c r="AD14" i="15"/>
  <c r="AD12" i="15"/>
  <c r="AD11" i="15"/>
  <c r="AD10" i="15"/>
  <c r="AD9" i="15"/>
  <c r="Z14" i="15"/>
  <c r="Z13" i="15"/>
  <c r="Z12" i="15"/>
  <c r="Z11" i="15"/>
  <c r="Z10" i="15"/>
  <c r="Z9" i="15"/>
  <c r="Y23" i="15"/>
  <c r="Y22" i="15"/>
  <c r="Y21" i="15"/>
  <c r="Y20" i="15"/>
  <c r="Y19" i="15"/>
  <c r="Y18" i="15"/>
  <c r="Y17" i="15"/>
  <c r="Y16" i="15"/>
  <c r="Y15" i="15"/>
  <c r="Y14" i="15"/>
  <c r="Y13" i="15"/>
  <c r="Y12" i="15"/>
  <c r="Y11" i="15"/>
  <c r="Y10" i="15"/>
  <c r="Y9" i="15"/>
  <c r="X26" i="15"/>
  <c r="X25" i="15"/>
  <c r="X24" i="15"/>
  <c r="X23" i="15"/>
  <c r="X22" i="15"/>
  <c r="X21" i="15"/>
  <c r="X20" i="15"/>
  <c r="X19" i="15"/>
  <c r="X18" i="15"/>
  <c r="X17" i="15"/>
  <c r="X16" i="15"/>
  <c r="X15" i="15"/>
  <c r="X14" i="15"/>
  <c r="X13" i="15"/>
  <c r="X12" i="15"/>
  <c r="X11" i="15"/>
  <c r="X10" i="15"/>
  <c r="X9" i="15"/>
  <c r="W26" i="15"/>
  <c r="W25" i="15"/>
  <c r="W24" i="15"/>
  <c r="W23" i="15"/>
  <c r="W22" i="15"/>
  <c r="W21" i="15"/>
  <c r="W20" i="15"/>
  <c r="W19" i="15"/>
  <c r="W18" i="15"/>
  <c r="W17" i="15"/>
  <c r="W16" i="15"/>
  <c r="W15" i="15"/>
  <c r="W14" i="15"/>
  <c r="W13" i="15"/>
  <c r="W12" i="15"/>
  <c r="W11" i="15"/>
  <c r="W10" i="15"/>
  <c r="W9" i="15"/>
  <c r="R25" i="15"/>
  <c r="R24" i="15"/>
  <c r="R23" i="15"/>
  <c r="R22" i="15"/>
  <c r="R21" i="15"/>
  <c r="R20" i="15"/>
  <c r="R19" i="15"/>
  <c r="R18" i="15"/>
  <c r="R17" i="15"/>
  <c r="R16" i="15"/>
  <c r="R15" i="15"/>
  <c r="R14" i="15"/>
  <c r="R13" i="15"/>
  <c r="R12" i="15"/>
  <c r="R11" i="15"/>
  <c r="R10" i="15"/>
  <c r="T19" i="15"/>
  <c r="T18" i="15"/>
  <c r="T17" i="15"/>
  <c r="T16" i="15"/>
  <c r="T15" i="15"/>
  <c r="T14" i="15"/>
  <c r="T13" i="15"/>
  <c r="T12" i="15"/>
  <c r="T11" i="15"/>
  <c r="T10" i="15"/>
  <c r="N17" i="15"/>
  <c r="N16" i="15"/>
  <c r="N15" i="15"/>
  <c r="N14" i="15"/>
  <c r="N13" i="15"/>
  <c r="N12" i="15"/>
  <c r="N11" i="15"/>
  <c r="N10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S20" i="15"/>
  <c r="S19" i="15"/>
  <c r="S18" i="15"/>
  <c r="S17" i="15"/>
  <c r="S16" i="15"/>
  <c r="S15" i="15"/>
  <c r="S14" i="15"/>
  <c r="S13" i="15"/>
  <c r="S12" i="15"/>
  <c r="S11" i="15"/>
  <c r="S10" i="15"/>
  <c r="M18" i="15"/>
  <c r="M17" i="15"/>
  <c r="M16" i="15"/>
  <c r="M15" i="15"/>
  <c r="M14" i="15"/>
  <c r="M13" i="15"/>
  <c r="M12" i="15"/>
  <c r="M11" i="15"/>
  <c r="M10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28" i="12"/>
  <c r="R29" i="12"/>
  <c r="R12" i="12"/>
  <c r="R11" i="12"/>
  <c r="R10" i="12"/>
  <c r="R9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<sst xmlns="http://schemas.openxmlformats.org/spreadsheetml/2006/main" count="178" uniqueCount="53">
  <si>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</si>
  <si>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</si>
  <si>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</si>
  <si>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</si>
  <si>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</si>
  <si>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</si>
  <si>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</si>
  <si>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</si>
  <si>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</si>
  <si>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</si>
  <si>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</si>
  <si>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</si>
  <si>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</si>
  <si>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</si>
  <si>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</si>
  <si>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</si>
  <si>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</si>
  <si>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</si>
  <si>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</si>
  <si>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</si>
  <si>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</si>
  <si>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</si>
  <si>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</si>
  <si>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</si>
  <si>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</si>
  <si>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</si>
  <si>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</si>
  <si>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</si>
  <si>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</si>
  <si>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</si>
  <si>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</si>
  <si>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</si>
  <si>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</si>
  <si>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</si>
  <si>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</si>
  <si>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</si>
  <si>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</si>
  <si>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</si>
  <si>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</si>
  <si>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new</t>
    <phoneticPr fontId="1"/>
  </si>
  <si>
    <t>qubits</t>
    <phoneticPr fontId="1"/>
  </si>
  <si>
    <t>or single</t>
    <phoneticPr fontId="1"/>
  </si>
  <si>
    <t>parallel layer ( bottom up)</t>
    <phoneticPr fontId="1"/>
  </si>
  <si>
    <t>random2</t>
    <phoneticPr fontId="1"/>
  </si>
  <si>
    <t>main</t>
    <phoneticPr fontId="1"/>
  </si>
  <si>
    <t>wire</t>
    <phoneticPr fontId="1"/>
  </si>
  <si>
    <t>random4</t>
    <phoneticPr fontId="1"/>
  </si>
  <si>
    <t>randomRotate</t>
    <phoneticPr fontId="1"/>
  </si>
  <si>
    <t>full wire</t>
    <phoneticPr fontId="1"/>
  </si>
  <si>
    <t>0edge optimize</t>
    <phoneticPr fontId="1"/>
  </si>
  <si>
    <t>para/main</t>
    <phoneticPr fontId="1"/>
  </si>
  <si>
    <t>para/wire</t>
    <phoneticPr fontId="1"/>
  </si>
  <si>
    <t>para/opt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</si>
</sst>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176" fontId="0" fillId="0" borderId="0" xfId="2" applyNumberFormat="1" applyFont="1">
      <alignment vertical="center"/>
    </xf>
    <xf numFmtId="38" fontId="0" fillId="0" borderId="3" xfId="2" applyFont="1" applyBorder="1">
      <alignment vertical="center"/>
    </xf>
    <xf numFmtId="38" fontId="0" fillId="0" borderId="4" xfId="2" applyFont="1" applyBorder="1">
      <alignment vertical="center"/>
    </xf>
    <xf numFmtId="38" fontId="0" fillId="0" borderId="2" xfId="2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2" fontId="0" fillId="0" borderId="0" xfId="0" applyNumberForma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2" fontId="0" fillId="0" borderId="5" xfId="0" applyNumberFormat="1" applyBorder="1">
      <alignment vertical="center"/>
    </xf>
    <xf numFmtId="2" fontId="0" fillId="0" borderId="0" xfId="0" applyNumberFormat="1" applyBorder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8" t="s">
        <v>7</v>
      </c>
      <c r="G2" s="18"/>
      <c r="H2" s="18"/>
      <c r="I2" s="18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86A-A421-C941-9E3F-CF045775AB89}">
  <dimension ref="A1:AD26"/>
  <sheetViews>
    <sheetView zoomScaleNormal="100" workbookViewId="0">
      <selection activeCell="C17" sqref="C17"/>
    </sheetView>
  </sheetViews>
  <sheetFormatPr baseColWidth="10" defaultRowHeight="20"/>
  <cols>
    <col min="1" max="1" width="10.7109375" style="14"/>
    <col min="2" max="2" width="22.28515625" style="17" bestFit="1" customWidth="1"/>
    <col min="3" max="3" width="12" style="14" bestFit="1" customWidth="1"/>
    <col min="4" max="16384" width="10.7109375" style="14"/>
  </cols>
  <sheetData>
    <row r="1" spans="1:30">
      <c r="B1" s="17" t="s">
        <v>42</v>
      </c>
    </row>
    <row r="2" spans="1:30">
      <c r="B2" s="17" t="s">
        <v>41</v>
      </c>
    </row>
    <row r="3" spans="1:30" s="15" customFormat="1">
      <c r="A3" s="15" t="s">
        <v>40</v>
      </c>
      <c r="B3" s="16"/>
      <c r="C3" s="15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P3" s="15">
        <v>13</v>
      </c>
      <c r="Q3" s="15">
        <v>14</v>
      </c>
      <c r="R3" s="15">
        <v>15</v>
      </c>
      <c r="S3" s="15">
        <v>16</v>
      </c>
      <c r="T3" s="15">
        <v>17</v>
      </c>
      <c r="U3" s="15">
        <v>18</v>
      </c>
      <c r="V3" s="15">
        <v>19</v>
      </c>
      <c r="W3" s="15">
        <v>20</v>
      </c>
      <c r="X3" s="15">
        <v>21</v>
      </c>
      <c r="Y3" s="15">
        <v>22</v>
      </c>
      <c r="Z3" s="15">
        <v>23</v>
      </c>
      <c r="AA3" s="15">
        <v>24</v>
      </c>
      <c r="AB3" s="15">
        <v>25</v>
      </c>
      <c r="AC3" s="15">
        <v>26</v>
      </c>
      <c r="AD3" s="15">
        <v>27</v>
      </c>
    </row>
    <row r="4" spans="1:30">
      <c r="B4" s="17">
        <v>1</v>
      </c>
      <c r="C4" s="14">
        <f>AVERAGE(94.8011,95.4352,96.8644,96.4634,95.7454)</f>
        <v>95.861900000000006</v>
      </c>
    </row>
    <row r="5" spans="1:30">
      <c r="B5" s="17">
        <v>2</v>
      </c>
      <c r="C5" s="14">
        <f>AVERAGE(96.6272,97.0965,97.3749,97.1821,96.8055)</f>
        <v>97.017240000000001</v>
      </c>
    </row>
    <row r="6" spans="1:30">
      <c r="B6" s="17">
        <v>3</v>
      </c>
      <c r="C6" s="14">
        <f>AVERAGE(103.597,100.022,101.816,103.154,101.992)</f>
        <v>102.11620000000001</v>
      </c>
    </row>
    <row r="7" spans="1:30">
      <c r="B7" s="17">
        <v>4</v>
      </c>
      <c r="C7" s="14">
        <f>AVERAGE(110.744,109.625,111.394,111.633,112.021)</f>
        <v>111.08340000000001</v>
      </c>
    </row>
    <row r="8" spans="1:30">
      <c r="B8" s="17">
        <v>5</v>
      </c>
      <c r="C8" s="14">
        <f>AVERAGE(124.432,124.536,126.529,126.023,124.593)</f>
        <v>125.22259999999999</v>
      </c>
    </row>
    <row r="9" spans="1:30">
      <c r="B9" s="17">
        <v>6</v>
      </c>
      <c r="C9" s="14">
        <f>AVERAGE(196.128,189.646,185.284,186.701,187.546)</f>
        <v>189.06100000000001</v>
      </c>
    </row>
    <row r="10" spans="1:30">
      <c r="B10" s="17">
        <v>7</v>
      </c>
      <c r="C10" s="14">
        <f>AVERAGE(354.771,345.987,367.2,319.582,369.853)</f>
        <v>351.47860000000003</v>
      </c>
    </row>
    <row r="11" spans="1:30">
      <c r="B11" s="17">
        <v>8</v>
      </c>
      <c r="C11" s="14">
        <f>AVERAGE(844.623,824.134890938,846.782,883.757,841.958)</f>
        <v>848.25097818760003</v>
      </c>
    </row>
    <row r="12" spans="1:30">
      <c r="B12" s="17">
        <v>9</v>
      </c>
      <c r="C12" s="14">
        <f>AVERAGE(2424.82,2483.44,2501.68,2536.87)</f>
        <v>2486.7025000000003</v>
      </c>
    </row>
    <row r="13" spans="1:30">
      <c r="B13" s="17">
        <v>10</v>
      </c>
      <c r="C13" s="14">
        <f>AVERAGE(8037.91,7854.77,8291.66,8065.23,8118.73)</f>
        <v>8073.6600000000008</v>
      </c>
    </row>
    <row r="14" spans="1:30">
      <c r="B14" s="17">
        <v>11</v>
      </c>
      <c r="C14" s="14">
        <f>AVERAGE(37685.5,38249.5,39260.2,38610.8,37995.1)</f>
        <v>38360.22</v>
      </c>
    </row>
    <row r="15" spans="1:30">
      <c r="B15" s="17">
        <v>12</v>
      </c>
      <c r="C15" s="14">
        <f>AVERAGE(188920,191994,189476,197762,201768)</f>
        <v>193984</v>
      </c>
    </row>
    <row r="16" spans="1:30">
      <c r="B16" s="17">
        <v>13</v>
      </c>
      <c r="C16" s="14">
        <f>AVERAGE(7372320)</f>
        <v>7372320</v>
      </c>
    </row>
    <row r="17" spans="2:2">
      <c r="B17" s="17">
        <v>14</v>
      </c>
    </row>
    <row r="18" spans="2:2">
      <c r="B18" s="17">
        <v>15</v>
      </c>
    </row>
    <row r="19" spans="2:2">
      <c r="B19" s="17">
        <v>16</v>
      </c>
    </row>
    <row r="20" spans="2:2">
      <c r="B20" s="17">
        <v>17</v>
      </c>
    </row>
    <row r="21" spans="2:2">
      <c r="B21" s="17">
        <v>18</v>
      </c>
    </row>
    <row r="22" spans="2:2">
      <c r="B22" s="17">
        <v>19</v>
      </c>
    </row>
    <row r="23" spans="2:2">
      <c r="B23" s="17">
        <v>20</v>
      </c>
    </row>
    <row r="24" spans="2:2">
      <c r="B24" s="17">
        <v>21</v>
      </c>
    </row>
    <row r="25" spans="2:2">
      <c r="B25" s="17">
        <v>22</v>
      </c>
    </row>
    <row r="26" spans="2:2">
      <c r="B26" s="17">
        <v>23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D2FE-1783-1C43-BEC1-A1CD991D81CC}">
  <dimension ref="F8:AT34"/>
  <sheetViews>
    <sheetView tabSelected="1" topLeftCell="S1" workbookViewId="0">
      <selection activeCell="T4" sqref="T4"/>
    </sheetView>
  </sheetViews>
  <sheetFormatPr baseColWidth="10" defaultRowHeight="20"/>
  <cols>
    <col min="16" max="16" width="10.7109375" customWidth="1"/>
    <col min="17" max="17" width="14" bestFit="1" customWidth="1"/>
    <col min="20" max="21" width="11.140625" bestFit="1" customWidth="1"/>
    <col min="24" max="24" width="12.140625" bestFit="1" customWidth="1"/>
    <col min="28" max="28" width="11.140625" bestFit="1" customWidth="1"/>
    <col min="29" max="31" width="12.140625" bestFit="1" customWidth="1"/>
  </cols>
  <sheetData>
    <row r="8" spans="6:46">
      <c r="G8" s="18" t="s">
        <v>43</v>
      </c>
      <c r="H8" s="18"/>
      <c r="I8" s="18"/>
      <c r="J8" s="18"/>
      <c r="K8" s="24" t="s">
        <v>46</v>
      </c>
      <c r="L8" s="25"/>
      <c r="O8" s="18" t="s">
        <v>47</v>
      </c>
      <c r="P8" s="18"/>
      <c r="Q8" s="18"/>
      <c r="W8">
        <v>0</v>
      </c>
      <c r="X8">
        <v>1</v>
      </c>
      <c r="Y8">
        <v>2</v>
      </c>
      <c r="Z8">
        <v>3</v>
      </c>
      <c r="AA8">
        <v>4</v>
      </c>
      <c r="AB8">
        <v>5</v>
      </c>
      <c r="AC8">
        <v>6</v>
      </c>
      <c r="AD8">
        <v>7</v>
      </c>
      <c r="AE8">
        <v>8</v>
      </c>
      <c r="AF8">
        <v>9</v>
      </c>
      <c r="AG8">
        <v>10</v>
      </c>
      <c r="AH8">
        <v>11</v>
      </c>
      <c r="AI8">
        <v>12</v>
      </c>
      <c r="AJ8">
        <v>13</v>
      </c>
      <c r="AK8">
        <v>14</v>
      </c>
      <c r="AL8">
        <v>15</v>
      </c>
      <c r="AM8">
        <v>16</v>
      </c>
      <c r="AN8">
        <v>17</v>
      </c>
      <c r="AO8">
        <v>18</v>
      </c>
      <c r="AP8">
        <v>19</v>
      </c>
      <c r="AQ8">
        <v>20</v>
      </c>
      <c r="AR8">
        <v>21</v>
      </c>
      <c r="AS8">
        <v>22</v>
      </c>
      <c r="AT8">
        <v>23</v>
      </c>
    </row>
    <row r="9" spans="6:46">
      <c r="G9" t="s">
        <v>44</v>
      </c>
      <c r="H9" t="s">
        <v>50</v>
      </c>
      <c r="I9" t="s">
        <v>45</v>
      </c>
      <c r="J9" t="s">
        <v>51</v>
      </c>
      <c r="K9" s="26" t="s">
        <v>44</v>
      </c>
      <c r="L9" s="27"/>
      <c r="M9" t="s">
        <v>45</v>
      </c>
      <c r="O9" t="s">
        <v>44</v>
      </c>
      <c r="P9" t="s">
        <v>50</v>
      </c>
      <c r="Q9" t="s">
        <v>49</v>
      </c>
      <c r="R9" t="s">
        <v>52</v>
      </c>
      <c r="S9" t="s">
        <v>48</v>
      </c>
      <c r="U9" s="23">
        <f>AVERAGE(29.1613, 29.5648, 29.5736, 29.4001, 29.6184)</f>
        <v>29.463639999999998</v>
      </c>
      <c r="V9">
        <v>1</v>
      </c>
      <c r="W9" s="23">
        <f>AVERAGE(50.6004, 52.003, 51.3785, 51.9409, 46.2496)</f>
        <v>50.434479999999994</v>
      </c>
      <c r="X9" s="23">
        <f>AVERAGE(31.2935, 29.3397, 29.4784, 29.5178, 29.2749)</f>
        <v>29.780860000000001</v>
      </c>
      <c r="Y9">
        <f>AVERAGE(29.6992, 30.3524, 29.5315, 31.6251, 29.8898)</f>
        <v>30.219600000000003</v>
      </c>
      <c r="Z9">
        <f>AVERAGE(29.1902, 29.8396, 30.5606, 30.2429, 30.4025)</f>
        <v>30.047160000000002</v>
      </c>
      <c r="AB9" s="23">
        <f>AVERAGE(29.0708, 29.7769, 31.052, 29.3769, 29.254)</f>
        <v>29.706119999999999</v>
      </c>
      <c r="AC9" s="23">
        <f>AVERAGE(29.7786, 29.6364, 29.7297, 29.507, 29.0417)</f>
        <v>29.538679999999999</v>
      </c>
      <c r="AD9" s="23">
        <f>AVERAGE(29.3545, 29.7172, 29.6138, 29.2637, 30.1715)</f>
        <v>29.624140000000001</v>
      </c>
      <c r="AE9" s="23">
        <f>AVERAGE(29.4576, 29.2543, 29.6008, 29.5752, 29.2148)</f>
        <v>29.420539999999999</v>
      </c>
      <c r="AF9" s="23">
        <f>AVERAGE(29.9858, 29.2741, 29.4936, 29.1588, 29.4677)</f>
        <v>29.475999999999999</v>
      </c>
    </row>
    <row r="10" spans="6:46">
      <c r="F10">
        <v>2</v>
      </c>
      <c r="G10" s="23">
        <f>AVERAGE(30.4371,30.7419, 30.599,32.2867,30.4039)</f>
        <v>30.893720000000002</v>
      </c>
      <c r="I10" s="23">
        <f>AVERAGE(30.21, 30.0486, 29.7054, 29.9983, 30.4106)</f>
        <v>30.074579999999997</v>
      </c>
      <c r="J10" s="23">
        <f>AVERAGE(47.1964, 46.3253, 47.5277, 44.3922, 48.7378)</f>
        <v>46.835879999999996</v>
      </c>
      <c r="K10" s="28">
        <f>AVERAGE(33.1282, 33.5901, 33.359, 34.5387, 33.4823)</f>
        <v>33.619660000000003</v>
      </c>
      <c r="L10" s="27"/>
      <c r="M10" s="23">
        <f>AVERAGE(34.0071, 34.0012, 33.8874, 33.4796, 33.0286)</f>
        <v>33.680779999999992</v>
      </c>
      <c r="N10" s="23">
        <f>AVERAGE(55.8394, 52.0674, 50.5765, 55.0451, 57.2382)</f>
        <v>54.153319999999994</v>
      </c>
      <c r="O10" s="23">
        <f>AVERAGE(34.1637, 32.2673, 32.7236, 33.504, 33.4666)</f>
        <v>33.225039999999993</v>
      </c>
      <c r="Q10" s="23">
        <f>AVERAGE(34.0429, 33.7438, 34.0278, 33.5255, 33.6129)</f>
        <v>33.790579999999999</v>
      </c>
      <c r="R10" s="23">
        <f>AVERAGE(54.5478, 52.2648,  54.8495, 54.9854, 53.1706)</f>
        <v>53.963620000000006</v>
      </c>
      <c r="S10" s="23">
        <f>AVERAGE(32.6347, 32.6913, 33.4424, 32.5906, 33.5494)</f>
        <v>32.981679999999997</v>
      </c>
      <c r="T10" s="23">
        <f>AVERAGE(51.0735, 54.9663, 56.4669, 50.6943, 55.2499)</f>
        <v>53.690179999999998</v>
      </c>
      <c r="U10" s="23">
        <f>AVERAGE(33.2734, 33.8797, 34.332, 32.5598, 33.1791)</f>
        <v>33.444800000000001</v>
      </c>
      <c r="V10">
        <v>2</v>
      </c>
      <c r="W10" s="23">
        <f>AVERAGE(56.7279, 50.6144, 54.4687, 55.9944, 48.4154)</f>
        <v>53.244159999999987</v>
      </c>
      <c r="X10" s="23">
        <f>AVERAGE(33.4921, 33.388, 32.6722, 33.8682, 33.1966)</f>
        <v>33.323419999999999</v>
      </c>
      <c r="Y10">
        <f>AVERAGE(33.6771, 34.5617, 34.3668, 33.0756, 33.0262)</f>
        <v>33.741480000000003</v>
      </c>
      <c r="Z10">
        <f>AVERAGE(33.4284, 33.8865, 33.9788, 32.9328, 33.5983)</f>
        <v>33.564959999999999</v>
      </c>
      <c r="AB10" s="23">
        <f>AVERAGE(33.7745, 33.2335, 33.0957, 33.159, 34.6942)</f>
        <v>33.591380000000001</v>
      </c>
      <c r="AC10" s="23">
        <f>AVERAGE(34.1411, 33.567, 34.162, 33.0581, 32.7561)</f>
        <v>33.536860000000004</v>
      </c>
      <c r="AD10" s="23">
        <f>AVERAGE(33.0338, 34.1206, 35.7476, 33.6141, 34.8653)</f>
        <v>34.27628</v>
      </c>
      <c r="AE10" s="23">
        <f>AVERAGE(33.9721, 32.39, 33.0595, 32.6763, 34.3983)</f>
        <v>33.299239999999998</v>
      </c>
      <c r="AF10" s="23">
        <f>AVERAGE(32.5588, 34.7104, 33.8263, 33.1664, 33.6285)</f>
        <v>33.57808</v>
      </c>
    </row>
    <row r="11" spans="6:46">
      <c r="F11">
        <v>3</v>
      </c>
      <c r="G11" s="23">
        <f>AVERAGE(32.4899, 32.6455, 32.5941, 32.4478,31.962)</f>
        <v>32.427859999999995</v>
      </c>
      <c r="I11" s="23">
        <f>AVERAGE(30.2969, 30.557, 30.0877, 30.5792, 30.5289)</f>
        <v>30.409939999999999</v>
      </c>
      <c r="J11" s="23">
        <f>AVERAGE(49.4534, 53.735, 52.9941, 47.9007, 54.8866)</f>
        <v>51.793960000000006</v>
      </c>
      <c r="K11" s="28">
        <f>AVERAGE(40.472, 40.2379, 41.084, 40.6164, 40.8477)</f>
        <v>40.651600000000002</v>
      </c>
      <c r="L11" s="27"/>
      <c r="M11" s="23">
        <f>AVERAGE(45.3439, 45.0259, 45.0335, 44.3652, 44.0755)</f>
        <v>44.768800000000006</v>
      </c>
      <c r="N11" s="23">
        <f>AVERAGE(63.3653,65.5299, 65.3683, 68.8719, 64.4478)</f>
        <v>65.51664000000001</v>
      </c>
      <c r="O11" s="23">
        <f>AVERAGE(38.1762, 39.4314, 39.2782, 38.8014, 41.3187)</f>
        <v>39.401179999999997</v>
      </c>
      <c r="Q11" s="23">
        <f>AVERAGE(39.7695, 38.7944, 39.3964, 39.1195, 39.4946)</f>
        <v>39.314880000000002</v>
      </c>
      <c r="R11" s="23">
        <f>AVERAGE(60.359, 61.3906, 59.6798, 57.4334, 59.1678)</f>
        <v>59.606119999999997</v>
      </c>
      <c r="S11" s="23">
        <f>AVERAGE(40.3342, 39.0578, 40.0329, 40.6143, 40.3188)</f>
        <v>40.071600000000004</v>
      </c>
      <c r="T11" s="23">
        <f>AVERAGE(64.0682, 58.9155, 63.2802, 62.1123, 63.5194)</f>
        <v>62.37912</v>
      </c>
      <c r="U11" s="23">
        <f>AVERAGE(39.1293, 40.1836, 39.4311, 39.3166, 39.4785)</f>
        <v>39.507819999999995</v>
      </c>
      <c r="V11">
        <v>3</v>
      </c>
      <c r="W11" s="23">
        <f>AVERAGE(59.8688, 64.5753, 60.7686, 61.9191, 63.007)</f>
        <v>62.027760000000001</v>
      </c>
      <c r="X11" s="23">
        <f>AVERAGE(39.1121, 38.2937, 40.6422, 40.0029, 40.3668)</f>
        <v>39.683540000000008</v>
      </c>
      <c r="Y11">
        <f>AVERAGE(39.0208, 39.3163, 41.2007, 40.2661, 38.343)</f>
        <v>39.629380000000005</v>
      </c>
      <c r="Z11">
        <f>AVERAGE(39.8782, 39.8782, 40.2018, 42.4522, 38.5603)</f>
        <v>40.194140000000004</v>
      </c>
      <c r="AB11" s="23">
        <f>AVERAGE(39.6683, 38.3678, 39.0026, 39.1592, 39.1172)</f>
        <v>39.063020000000002</v>
      </c>
      <c r="AC11" s="23">
        <f>AVERAGE(39.1661, 39.5995, 39.8586, 39.009, 39.2641)</f>
        <v>39.379459999999995</v>
      </c>
      <c r="AD11" s="23">
        <f>AVERAGE(39.5503, 39.5206, 40.9187,39.7637, 39.2934)</f>
        <v>39.809339999999999</v>
      </c>
      <c r="AE11" s="23">
        <f>AVERAGE(38.962, 38.7934, 38.9153, 39.8883, 40.2183)</f>
        <v>39.355460000000008</v>
      </c>
      <c r="AF11" s="23">
        <f>AVERAGE(38.8314, 39.0654, 40.0592, 39.0506, 40.1575)</f>
        <v>39.43282</v>
      </c>
    </row>
    <row r="12" spans="6:46">
      <c r="F12">
        <v>4</v>
      </c>
      <c r="G12" s="23">
        <f>AVERAGE(33.9835, 34.4651, 34.4085, 34.2331, 34.6994)</f>
        <v>34.35792</v>
      </c>
      <c r="I12" s="23">
        <f>AVERAGE(29.5622, 29.4853, 30.9691, 30.2415, 30.2341)</f>
        <v>30.09844</v>
      </c>
      <c r="J12" s="23">
        <f>AVERAGE(46.2544, 53.6714, 51.2438, 48.3798, 52.8523)</f>
        <v>50.480339999999998</v>
      </c>
      <c r="K12" s="28">
        <f>AVERAGE(53.3832, 53.3973, 53.1006, 52.267, 53.0044)</f>
        <v>53.030499999999996</v>
      </c>
      <c r="L12" s="27"/>
      <c r="M12" s="23">
        <f>AVERAGE(82.8706, 82.3914, 80.476, 82.3184, 81.6488)</f>
        <v>81.941040000000001</v>
      </c>
      <c r="N12" s="23">
        <f>AVERAGE(102.165, 102.382, 98.7987, 103.575, 102.468)</f>
        <v>101.87774</v>
      </c>
      <c r="O12" s="23">
        <f>AVERAGE(50.2432, 50.2874, 49.4059, 50.6884, 47.2385)</f>
        <v>49.572680000000005</v>
      </c>
      <c r="Q12" s="23">
        <f>AVERAGE(48.2694, 49.5463, 51.3109, 48.7988, 52.0928)</f>
        <v>50.003639999999997</v>
      </c>
      <c r="R12" s="23">
        <f>AVERAGE(66.8155, 69.6284, 72.2165, 72.0607, 70.9651)</f>
        <v>70.337239999999994</v>
      </c>
      <c r="S12" s="23">
        <f>AVERAGE(62.5954, 56.555, 58.7089, 58.0618, 56.3008)</f>
        <v>58.444380000000002</v>
      </c>
      <c r="T12" s="23">
        <f>AVERAGE(81.787, 82.5051, 78.3047, 80.2968, 75.933)</f>
        <v>79.765320000000003</v>
      </c>
      <c r="U12" s="23">
        <f>AVERAGE(48.2834, 49.8292, 46.9467, 51.751, 49.7998)</f>
        <v>49.322020000000002</v>
      </c>
      <c r="V12">
        <v>4</v>
      </c>
      <c r="W12" s="23">
        <f>AVERAGE(73.7746, 72.701, 71.5082, 68.643, 74.7218)</f>
        <v>72.269720000000007</v>
      </c>
      <c r="X12" s="23">
        <f>AVERAGE(52.1683, 49.1633, 50.1123, 49.4486, 49.4213)</f>
        <v>50.062760000000004</v>
      </c>
      <c r="Y12">
        <f>AVERAGE(52.253, 50.4137, 50.3319, 49.2836, 49.7279)</f>
        <v>50.40202</v>
      </c>
      <c r="Z12">
        <f>AVERAGE(49.3588, 49.1294, 48.943, 49.4629, 50.0817)</f>
        <v>49.395159999999997</v>
      </c>
      <c r="AB12" s="23">
        <f>AVERAGE(51.8541, 49.1629, 50.4783, 47.4841, 49.7987)</f>
        <v>49.75562</v>
      </c>
      <c r="AC12" s="23">
        <f>AVERAGE(50.4279, 48.2589, 48.5873, 49.0313, 48.9295)</f>
        <v>49.046980000000005</v>
      </c>
      <c r="AD12" s="23">
        <f>AVERAGE(49.3718, 50.7, 49.2487, 49.9879, 49.5479)</f>
        <v>49.771259999999998</v>
      </c>
      <c r="AE12" s="23">
        <f>AVERAGE(50.1535, 49.9053, 50.5671, 50.2625, 47.0609)</f>
        <v>49.589860000000002</v>
      </c>
      <c r="AF12" s="23">
        <f>AVERAGE(48.3055, 50.1181, 50.9058, 48.2243, 52.5871)</f>
        <v>50.02816</v>
      </c>
    </row>
    <row r="13" spans="6:46">
      <c r="F13">
        <v>5</v>
      </c>
      <c r="G13" s="23">
        <f>AVERAGE( 36.7081, 37.428, 37.1244, 36.6683, 35.1524)</f>
        <v>36.616240000000005</v>
      </c>
      <c r="I13" s="23">
        <f>AVERAGE(30.7867, 31.1235, 29.9504, 30.1389, 29.814)</f>
        <v>30.3627</v>
      </c>
      <c r="J13" s="23">
        <f>AVERAGE(49.2703, 49.0045, 51.7948, 49.0155, 47.6966)</f>
        <v>49.356340000000003</v>
      </c>
      <c r="K13" s="28">
        <f>AVERAGE(74.4368, 77.4731, 76.9034, 73.913, 74.7002)</f>
        <v>75.485299999999995</v>
      </c>
      <c r="L13" s="27"/>
      <c r="M13" s="23">
        <f>AVERAGE(187.788, 193.991, 176.797, 198.008, 178.672)</f>
        <v>187.05120000000002</v>
      </c>
      <c r="N13" s="23">
        <f>AVERAGE(214.368, 215.819, 223.757, 224.052, 210.388)</f>
        <v>217.67680000000001</v>
      </c>
      <c r="O13" s="23">
        <f>AVERAGE(68.3003, 67.8745, 67.5458, 68.7938, 67.1056)</f>
        <v>67.924000000000007</v>
      </c>
      <c r="Q13" s="23">
        <f>AVERAGE(64.4004, 67.1313, 66.0742, 68.5767, 67.4068)</f>
        <v>66.717880000000008</v>
      </c>
      <c r="R13" s="23">
        <f>AVERAGE(86.1275, 86.7391, 83.3187, 89.7593, 84.3559)</f>
        <v>86.060100000000006</v>
      </c>
      <c r="S13" s="23">
        <f>AVERAGE(120.454, 107.658, 101.604, 117.367, 95.485)</f>
        <v>108.5136</v>
      </c>
      <c r="T13" s="23">
        <f>AVERAGE(141.548, 130.045, 132.195, 151.577, 142.82)</f>
        <v>139.637</v>
      </c>
      <c r="U13" s="23">
        <f>AVERAGE(67.5167, 69.3136, 66.9805,70.1637, 67.2382)</f>
        <v>68.242540000000005</v>
      </c>
      <c r="V13">
        <v>5</v>
      </c>
      <c r="W13" s="23">
        <f>AVERAGE(88.6151, 90.4954, 91.0809, 91.0809, 91.3574)</f>
        <v>90.525939999999991</v>
      </c>
      <c r="X13" s="23">
        <f>AVERAGE(67.2436, 64.951, 66.7133, 68.1617, 70.3113)</f>
        <v>67.476179999999999</v>
      </c>
      <c r="Y13">
        <f>AVERAGE(69.4463, 67.3926, 69.7308, 69.7064, 67.3728)</f>
        <v>68.729780000000005</v>
      </c>
      <c r="Z13">
        <f>AVERAGE(72.9111, 69.7486, 68.0137, 64.0388, 68.006)</f>
        <v>68.543640000000011</v>
      </c>
      <c r="AB13" s="23">
        <f>AVERAGE(66.5333, 68.5267, 67.8168, 67.54, 68.3391)</f>
        <v>67.751180000000005</v>
      </c>
      <c r="AC13" s="23">
        <f>AVERAGE(72.9805, 68.0173, 71.5983, 68.5909, 69.7706)</f>
        <v>70.191519999999997</v>
      </c>
      <c r="AD13" s="23">
        <f>AVERAGE( 65.7218, 67.0668, 69.1563, 66.8704, 65.3142)</f>
        <v>66.825900000000004</v>
      </c>
      <c r="AE13" s="23">
        <f>AVERAGE(68.9972, 66.8009, 68.1205, 66.9579, 67.4335)</f>
        <v>67.662000000000006</v>
      </c>
      <c r="AF13" s="23">
        <f>AVERAGE(65.9728, 68.0724, 70.9104, 69.8554, 69.1831)</f>
        <v>68.798820000000006</v>
      </c>
    </row>
    <row r="14" spans="6:46">
      <c r="F14">
        <v>6</v>
      </c>
      <c r="G14" s="23">
        <f>AVERAGE(38.1581, 38.6939, 37.3726, 38.7544, 39.2757)</f>
        <v>38.450940000000003</v>
      </c>
      <c r="I14" s="23">
        <f>AVERAGE(29.7413, 29.2857, 30.3178, 30.5892, 29.8897)</f>
        <v>29.964739999999999</v>
      </c>
      <c r="J14" s="23">
        <f>AVERAGE(48.4472, 46.0575, 49.2164, 46.511, 47.6341)</f>
        <v>47.573239999999998</v>
      </c>
      <c r="K14" s="28">
        <f>AVERAGE(120.43, 117.054, 121.164, 121.045, 122.911)</f>
        <v>120.52080000000001</v>
      </c>
      <c r="L14" s="27"/>
      <c r="M14" s="23">
        <f>AVERAGE(554.496, 618.91, 570.524, 520.915, 559.363)</f>
        <v>564.84159999999997</v>
      </c>
      <c r="N14" s="23">
        <f>AVERAGE(572.778, 583.455, 603.037, 630.734, 521.613)</f>
        <v>582.32339999999999</v>
      </c>
      <c r="O14" s="23">
        <f>AVERAGE(103.607, 99.8519, 101.838, 97.9061, 106.217)</f>
        <v>101.88399999999999</v>
      </c>
      <c r="Q14" s="23">
        <f>AVERAGE(98.0032, 99.3132, 100.708, 100.182, 97.9073)</f>
        <v>99.222740000000016</v>
      </c>
      <c r="R14" s="23">
        <f>AVERAGE(126.17, 124.695, 121.303, 121.506, 123.814)</f>
        <v>123.49759999999999</v>
      </c>
      <c r="S14" s="23">
        <f>AVERAGE(298.365, 273.605, 206.552, 232.137, 219.992)</f>
        <v>246.1302</v>
      </c>
      <c r="T14" s="23">
        <f>AVERAGE(280.404, 296.823, 301.304, 288.783,  282.198)</f>
        <v>289.90239999999994</v>
      </c>
      <c r="U14" s="23">
        <f>AVERAGE(102.481, 106.709, 97.3859, 95.2386, 99.1545)</f>
        <v>100.1938</v>
      </c>
      <c r="V14">
        <v>6</v>
      </c>
      <c r="W14" s="23">
        <f>AVERAGE(122.754, 131.867, 139.013, 135.124, 138.334)</f>
        <v>133.41840000000002</v>
      </c>
      <c r="X14" s="23">
        <f>AVERAGE(97.3956, 105.236, 103.759, 107.536, 105.255)</f>
        <v>103.83632</v>
      </c>
      <c r="Y14">
        <f>AVERAGE(97.9211, 99.1863, 110.224, 100.415, 102.186)</f>
        <v>101.98648</v>
      </c>
      <c r="Z14">
        <f>AVERAGE(100.701, 106.806, 104.176, 94.5828,98.7455)</f>
        <v>101.00226000000001</v>
      </c>
      <c r="AB14" s="23">
        <f>AVERAGE(102.946, 100.535, 107.181, 101.6, 101.851)</f>
        <v>102.82259999999999</v>
      </c>
      <c r="AC14" s="23">
        <f>AVERAGE(110.164, 107.273, 95.537, 98.543, 105.915)</f>
        <v>103.4864</v>
      </c>
      <c r="AD14" s="23">
        <f>AVERAGE(102.38, 105.963, 105.145, 103.979, 103.054)</f>
        <v>104.10419999999999</v>
      </c>
      <c r="AE14" s="23">
        <f>AVERAGE(106.348, 93.5762, 109.471, 100.069, 95.033)</f>
        <v>100.89944</v>
      </c>
      <c r="AF14" s="23">
        <f>AVERAGE(103.625, 98.7344, 103.471, 106.75, 106.471)</f>
        <v>103.81028000000001</v>
      </c>
    </row>
    <row r="15" spans="6:46">
      <c r="F15">
        <v>7</v>
      </c>
      <c r="G15" s="23">
        <f>AVERAGE(39.9082, 39.4287, 39.2895, 39.5035, 38.2382)</f>
        <v>39.273620000000001</v>
      </c>
      <c r="I15" s="23">
        <f>AVERAGE(31.3959, 30.1763, 30.3852, 30.3744, 30.3297)</f>
        <v>30.532300000000003</v>
      </c>
      <c r="J15" s="23">
        <f>AVERAGE(49.4224, 49.6139, 48.8497, 43.5695, 49.9096)</f>
        <v>48.27302000000001</v>
      </c>
      <c r="K15" s="28">
        <f>AVERAGE(198.965, 202.506, 205.588, 204.787, 210.464)</f>
        <v>204.46199999999999</v>
      </c>
      <c r="L15" s="27"/>
      <c r="M15" s="23">
        <f>AVERAGE(1738.36, 1778.14, 1871.71, 1833.9, 1952.99)</f>
        <v>1835.02</v>
      </c>
      <c r="N15" s="23">
        <f>AVERAGE(1472.09, 1263.87, 1235.98, 1229.77, 1176)</f>
        <v>1275.5419999999999</v>
      </c>
      <c r="O15">
        <f>AVERAGE(173.3, 171.633, 164.672, 161.583, 178.262)</f>
        <v>169.89000000000001</v>
      </c>
      <c r="Q15" s="23">
        <f>AVERAGE(163.106, 140.972, 155.086, 169.582, 165.541)</f>
        <v>158.85740000000001</v>
      </c>
      <c r="R15" s="23">
        <f>AVERAGE(194.26, 199.322, 190.853, 182.972,190.012)</f>
        <v>191.48379999999997</v>
      </c>
      <c r="S15" s="23">
        <f>AVERAGE(714.319, 697.778, 809.523, 556.542, 705.126)</f>
        <v>696.65759999999989</v>
      </c>
      <c r="T15" s="23">
        <f>AVERAGE(435.598, 616.559, 536.883, 548.835, 624.516)</f>
        <v>552.47820000000002</v>
      </c>
      <c r="U15" s="23">
        <f>AVERAGE(174.553, 172.338, 171.332, 168.907, 170.86)</f>
        <v>171.59800000000001</v>
      </c>
      <c r="V15">
        <v>7</v>
      </c>
      <c r="W15" s="23">
        <f>AVERAGE(201.48, 215.169, 197.434, 206.513, 212.863)</f>
        <v>206.6918</v>
      </c>
      <c r="X15" s="23">
        <f>AVERAGE(184.672, 167.122, 170.388, 183.052, 171.718)</f>
        <v>175.3904</v>
      </c>
      <c r="Y15">
        <f>AVERAGE(158.319, 180.58,169.432, 162.872, 164.902)</f>
        <v>167.221</v>
      </c>
      <c r="AB15" s="23">
        <f>AVERAGE(170.581, 156, 178.992, 164.25, 169.622)</f>
        <v>167.88899999999998</v>
      </c>
      <c r="AC15" s="23">
        <f>AVERAGE(172.898, 173.591, 149.395, 168.727, 169.799)</f>
        <v>166.88200000000001</v>
      </c>
      <c r="AD15" s="23">
        <f>AVERAGE(171.628, 168.567, 165.767, 162.496, 159.278)</f>
        <v>165.5472</v>
      </c>
      <c r="AE15" s="23">
        <f>AVERAGE(167.224, 158.997, 173.171, 178.531, 162.561)</f>
        <v>168.0968</v>
      </c>
      <c r="AF15" s="23">
        <f>AVERAGE(166.299, 178.261, 170.071, 173.069, 150.81)</f>
        <v>167.702</v>
      </c>
    </row>
    <row r="16" spans="6:46">
      <c r="F16">
        <v>8</v>
      </c>
      <c r="G16" s="23">
        <f>AVERAGE(44.3706, 42.3441, 41.1531, 44.2283, 42.3363)</f>
        <v>42.886479999999992</v>
      </c>
      <c r="I16" s="23">
        <f>AVERAGE(30.1698, 30.2739, 30.8566, 30.992, 29.7696)</f>
        <v>30.412380000000002</v>
      </c>
      <c r="J16" s="23">
        <f>AVERAGE(44.5183, 49.0292, 47.2971, 50.4806, 49.1534)</f>
        <v>48.095720000000007</v>
      </c>
      <c r="K16" s="28">
        <f>AVERAGE(373.275, 386.774, 367.57, 370.903, 370.099)</f>
        <v>373.7242</v>
      </c>
      <c r="L16" s="27"/>
      <c r="M16" s="23">
        <f>AVERAGE(7038.1, 8608.35, 7850.25, 7016.03, 7983.76)</f>
        <v>7699.2979999999998</v>
      </c>
      <c r="N16" s="23">
        <f>AVERAGE(3906.53, 8869.26, 3631.02, 3925.56, 3654.32)</f>
        <v>4797.3380000000006</v>
      </c>
      <c r="O16" s="23">
        <f>AVERAGE(262.27, 259.038, 305.538, 297.739, 262.597)</f>
        <v>277.43639999999999</v>
      </c>
      <c r="Q16" s="23">
        <f>AVERAGE(272.253, 287.209, 229.999, 274.419, 266.629)</f>
        <v>266.10180000000003</v>
      </c>
      <c r="R16" s="23">
        <f>AVERAGE(317.571, 344.183, 295.951, 331.29, 309.795)</f>
        <v>319.75800000000004</v>
      </c>
      <c r="S16" s="23">
        <f>AVERAGE(1368.99, 2063.35, 2308.13, 1921.38, 1579.32)</f>
        <v>1848.2339999999999</v>
      </c>
      <c r="T16" s="23">
        <f>AVERAGE(1266.89, 906.891, 1508.6, 936.966, 1320.63)</f>
        <v>1187.9954</v>
      </c>
      <c r="U16" s="23">
        <f>AVERAGE(294.434, 273.447, 284.974, 284.974, 287.518)</f>
        <v>285.06939999999997</v>
      </c>
      <c r="V16">
        <v>8</v>
      </c>
      <c r="W16" s="23">
        <f>AVERAGE(332.279, 343.106, 322.09, 337.993, 355.903)</f>
        <v>338.27419999999995</v>
      </c>
      <c r="X16" s="23">
        <f>AVERAGE(298.658, 269.269, 243.303, 282.777, 301.473)</f>
        <v>279.096</v>
      </c>
      <c r="Y16">
        <f>AVERAGE(296.674, 290.846, 305.549, 303.422, 305.481)</f>
        <v>300.39440000000002</v>
      </c>
      <c r="AB16" s="23">
        <f>AVERAGE(288.489, 303.441, 315.997, 299.815)</f>
        <v>301.93549999999999</v>
      </c>
      <c r="AC16" s="23">
        <f>AVERAGE(293.353, 292.378, 321.326, 303.057, 309.526)</f>
        <v>303.928</v>
      </c>
      <c r="AD16" s="23">
        <f>AVERAGE(282.751, 280.095, 290.629, 278.8, 290.099)</f>
        <v>284.47480000000002</v>
      </c>
      <c r="AE16" s="23">
        <f>AVERAGE(282.314, 313.029, 286.537, 304.274, 263.651)</f>
        <v>289.96100000000001</v>
      </c>
      <c r="AF16" s="23">
        <f>AVERAGE(298.22, 289.937, 307.787,301.304, 278.395)</f>
        <v>295.12860000000001</v>
      </c>
    </row>
    <row r="17" spans="6:32">
      <c r="F17">
        <v>9</v>
      </c>
      <c r="G17" s="23">
        <f>AVERAGE(43.3314, 42.937, 43.6744, 43.5675, 43.7881)</f>
        <v>43.459680000000006</v>
      </c>
      <c r="I17" s="23">
        <f>AVERAGE(29.5076, 30.5303, 30.9564, 30.0291, 30.3688)</f>
        <v>30.27844</v>
      </c>
      <c r="J17" s="23">
        <f>AVERAGE(51.9539, 47.074, 51.1665, 50.5019, 49.3182)</f>
        <v>50.002899999999997</v>
      </c>
      <c r="K17" s="28">
        <f>AVERAGE(692.32, 634.02, 702.058, 658.267, 698.848)</f>
        <v>677.10259999999994</v>
      </c>
      <c r="L17" s="27"/>
      <c r="M17" s="23">
        <f>AVERAGE(28023.1, 25907.9, 24291.7,  28182.1, 25078.7)</f>
        <v>26296.7</v>
      </c>
      <c r="N17" s="23">
        <f>AVERAGE(14849.2, 14162.2, 11142.8, 14497.1, 18796)</f>
        <v>14689.459999999997</v>
      </c>
      <c r="O17" s="23">
        <f>AVERAGE(545.382, 500.703, 550.104, 490.605, 496.53)</f>
        <v>516.6647999999999</v>
      </c>
      <c r="Q17" s="23">
        <f>AVERAGE(516.14, 467.922, 530.365, 513.07, 465.868)</f>
        <v>498.67300000000006</v>
      </c>
      <c r="R17" s="23">
        <f>AVERAGE(566.867, 530.827, 594.542, 602.465, 561.164)</f>
        <v>571.173</v>
      </c>
      <c r="S17" s="23">
        <f>AVERAGE(8561.89, 4317.24, 8098.28, 4945.32, 3327.28)</f>
        <v>5850.0019999999995</v>
      </c>
      <c r="T17" s="23">
        <f>AVERAGE(2336.97, 2665.33, 2891.19, 3497.61, 3401.32)</f>
        <v>2958.4839999999999</v>
      </c>
      <c r="U17" s="23">
        <f>AVERAGE(554.319, 487.764, 529.936, 544.541, 537.418)</f>
        <v>530.79560000000015</v>
      </c>
      <c r="V17">
        <v>9</v>
      </c>
      <c r="W17" s="23">
        <f>AVERAGE(522.63, 556.47, 555.209, 563.046, 597.088)</f>
        <v>558.88859999999988</v>
      </c>
      <c r="X17" s="23">
        <f>AVERAGE(586.008, 500.45, 483.847, 519.436, 515.633)</f>
        <v>521.07479999999998</v>
      </c>
      <c r="Y17">
        <f>AVERAGE(501.985, 520.149, 546.786, 530.158, 482.028)</f>
        <v>516.22119999999995</v>
      </c>
      <c r="AB17" s="23">
        <f>AVERAGE(485.814, 514.617, 542.881, 579.874)</f>
        <v>530.79649999999992</v>
      </c>
      <c r="AC17" s="23">
        <f>AVERAGE(539.351, 530.075, 480.27, 531.593, 634.112)</f>
        <v>543.08019999999999</v>
      </c>
      <c r="AD17" s="23">
        <f>AVERAGE(523.544, 482.776, 520.418, 515.962, 496.213)</f>
        <v>507.7826</v>
      </c>
      <c r="AE17" s="23">
        <f>AVERAGE(551.086, 524.948,490.588,450.483,549.788)</f>
        <v>513.37860000000001</v>
      </c>
      <c r="AF17" s="23">
        <f>AVERAGE(523.169, 524.459, 469.274,522.898, 514.703)</f>
        <v>510.90060000000005</v>
      </c>
    </row>
    <row r="18" spans="6:32">
      <c r="F18">
        <v>10</v>
      </c>
      <c r="G18" s="23">
        <f>AVERAGE(44.7299,  45.6662, 46.1342, 46.4101, 45.4828)</f>
        <v>45.684640000000002</v>
      </c>
      <c r="I18" s="23">
        <f>AVERAGE(30.6146, 30.7106, 30.6581, 30.8273, 31.8231)</f>
        <v>30.926740000000002</v>
      </c>
      <c r="J18" s="23">
        <f>AVERAGE(47.8479, 48.7168, 46.8631, 46.3984, 48.5258)</f>
        <v>47.670400000000001</v>
      </c>
      <c r="K18" s="28">
        <f>AVERAGE(1407.32, 1274.56, 1273.78, 1334.78, 1334.39)</f>
        <v>1324.9659999999999</v>
      </c>
      <c r="L18" s="27"/>
      <c r="M18" s="23">
        <f>AVERAGE(120211)</f>
        <v>120211</v>
      </c>
      <c r="N18" s="23"/>
      <c r="O18" s="23">
        <f>AVERAGE(917.467, 1099.66, 982.311, 849.19, 1120.07)</f>
        <v>993.73960000000011</v>
      </c>
      <c r="Q18" s="23">
        <f>AVERAGE(786.142, 861.958, 865.172, 1010.84, 979.433)</f>
        <v>900.70900000000006</v>
      </c>
      <c r="R18" s="23">
        <f>AVERAGE(875.287, 1046.72, 1086.73, 985.084, 1074.78)</f>
        <v>1013.7202</v>
      </c>
      <c r="S18" s="23">
        <f>AVERAGE(14499.2, 19729.4, 21032.2, 28495.9, 22840.3)</f>
        <v>21319.4</v>
      </c>
      <c r="T18" s="23">
        <f>AVERAGE(5980.58, 6328.76,  7867.6, 4056.42, 5588.98)</f>
        <v>5964.4679999999998</v>
      </c>
      <c r="U18" s="23">
        <f>AVERAGE(998.334, 978.083, 850.578, 972.824, 1017.66)</f>
        <v>963.49580000000003</v>
      </c>
      <c r="V18">
        <v>10</v>
      </c>
      <c r="W18" s="23">
        <f>AVERAGE(1050.89, 968.186, 985.924, 990.743, 1101.54)</f>
        <v>1019.4565999999999</v>
      </c>
      <c r="X18" s="23">
        <f>AVERAGE(986.484, 911.789, 1131.09, 1034.24, 863.791)</f>
        <v>985.47880000000009</v>
      </c>
      <c r="Y18">
        <f>AVERAGE(936.196, 1077.09, 977.827, 980.139, 845.401)</f>
        <v>963.3306</v>
      </c>
      <c r="AB18" s="23">
        <f>AVERAGE(961.987, 818.801, 927.796, 831.864, 1130.59)</f>
        <v>934.20759999999996</v>
      </c>
      <c r="AC18" s="23">
        <f>AVERAGE(1063.69, 990.594, 944.374, 887.803, 1031.47)</f>
        <v>983.58620000000008</v>
      </c>
      <c r="AD18" s="23">
        <f>AVERAGE(911.876, 964.292, 918.163, 862.423, 907.736)</f>
        <v>912.89799999999991</v>
      </c>
      <c r="AE18" s="23">
        <f>AVERAGE(902.722, 935.288, 926.213,924.826, 985.959)</f>
        <v>935.00159999999994</v>
      </c>
      <c r="AF18" s="23">
        <f>AVERAGE(1012.6, 1036.1, 958.601, 1005.63, 931.331)</f>
        <v>988.85239999999999</v>
      </c>
    </row>
    <row r="19" spans="6:32">
      <c r="F19">
        <v>11</v>
      </c>
      <c r="G19" s="23">
        <f>AVERAGE(46.8974, 45.8496, 46.4139, 47.2316, 45.5435)</f>
        <v>46.387199999999993</v>
      </c>
      <c r="I19" s="23">
        <f>AVERAGE(29.8837, 31.4485, 30.6248, 31.0598, 30.4262)</f>
        <v>30.688599999999997</v>
      </c>
      <c r="J19" s="23">
        <f>AVERAGE(50.8485, 47.6504, 48.1193, 47.7961, 45.8908)</f>
        <v>48.061019999999999</v>
      </c>
      <c r="K19" s="28">
        <f>AVERAGE(2540.5, 2486, 2639.09, 2415.95, 2675.55)</f>
        <v>2551.4180000000001</v>
      </c>
      <c r="L19" s="29"/>
      <c r="N19" s="23"/>
      <c r="O19" s="23">
        <f>AVERAGE(1711.07, 1790.24, 1908.55, 1809.32, 1729.7)</f>
        <v>1789.7759999999998</v>
      </c>
      <c r="Q19" s="23">
        <f>AVERAGE(1577.58, 1664.44, 1908.88, 1779.96, 1755.47)</f>
        <v>1737.2660000000001</v>
      </c>
      <c r="R19" s="23">
        <f>AVERAGE(1862.01, 1809.01, 1819.8, 1745.3, 1949.55 )</f>
        <v>1837.134</v>
      </c>
      <c r="S19" s="23">
        <f>AVERAGE(84195.4, 42528.6, 109868, 47490.3, 76020)</f>
        <v>72020.459999999992</v>
      </c>
      <c r="T19" s="23">
        <f>AVERAGE(30695.8, 27759.4, 20368.3, 20962.9,  15729.7)</f>
        <v>23103.219999999998</v>
      </c>
      <c r="U19" s="23">
        <f>AVERAGE(1727.39, 1027.93, 1920.52, 2007.58, 1970.34)</f>
        <v>1730.752</v>
      </c>
      <c r="V19">
        <v>11</v>
      </c>
      <c r="W19" s="23">
        <f>AVERAGE(1864.38, 1896.24, 1592.31, 1542.59, 1905.47)</f>
        <v>1760.1979999999999</v>
      </c>
      <c r="X19" s="23">
        <f>AVERAGE(1881.35, 1764.3, 1895.06, 1949.47, 1772)</f>
        <v>1852.4360000000001</v>
      </c>
      <c r="Y19">
        <f>AVERAGE(1942.27, 1769.69, 1930.48, 1885.15, 1633.6)</f>
        <v>1832.2380000000001</v>
      </c>
      <c r="AB19" s="23">
        <f>AVERAGE(1648.83, 1925.59, 2072.98, 1954.05, 1870.71)</f>
        <v>1894.432</v>
      </c>
      <c r="AC19" s="23">
        <f>AVERAGE(1850.08, 1880.12, 1621.36, 2034.58, 1884.6)</f>
        <v>1854.1479999999999</v>
      </c>
      <c r="AD19" s="23">
        <f>AVERAGE(1875.15, 1549.62, 1497.08, 1648.01, 1637.89)</f>
        <v>1641.55</v>
      </c>
      <c r="AE19" s="23">
        <f>AVERAGE(1564.28, 2096.2, 2065.72, 1729.87, 1851.58)</f>
        <v>1861.5299999999995</v>
      </c>
      <c r="AF19" s="23">
        <f>AVERAGE(1932.25, 1556.66, 2053.96, 1854.72, 1803.87)</f>
        <v>1840.2919999999999</v>
      </c>
    </row>
    <row r="20" spans="6:32">
      <c r="F20">
        <v>12</v>
      </c>
      <c r="G20" s="23">
        <f>AVERAGE(48.6259, 47.8993, 49.0802, 48.5559, 48.9076)</f>
        <v>48.613780000000006</v>
      </c>
      <c r="I20" s="23">
        <f>AVERAGE(31.5032, 30.963, 30.0797, 30.9291, 31.447)</f>
        <v>30.984400000000001</v>
      </c>
      <c r="J20" s="23">
        <f>AVERAGE(46.6829, 51.1037, 48.0016, 47.498, 50.4968)</f>
        <v>48.756599999999999</v>
      </c>
      <c r="K20" s="28">
        <f>AVERAGE(4775.7, 5015.67, 5248.95, 4612.62, 5171.2)</f>
        <v>4964.8279999999995</v>
      </c>
      <c r="L20" s="29"/>
      <c r="N20" s="23"/>
      <c r="O20" s="23">
        <f>AVERAGE(3752.81, 3484.35, 3640.35, 3580.24, 3501.21)</f>
        <v>3591.7919999999999</v>
      </c>
      <c r="Q20" s="23">
        <f>AVERAGE(3506.69, 3329.36, 3584.14, 3625.45, 3002.63)</f>
        <v>3409.654</v>
      </c>
      <c r="R20" s="23">
        <f>AVERAGE(2580.21, 3476.01, 3534.19, 3014.09, 3473.12)</f>
        <v>3215.5239999999999</v>
      </c>
      <c r="S20" s="23">
        <f>AVERAGE( 313214, 353633, 334338, 199480, 278140)</f>
        <v>295761</v>
      </c>
      <c r="T20" s="23"/>
      <c r="U20" s="23">
        <f>AVERAGE(3192.62, 3965.36, 3895.79,3013.07, 3762.1)</f>
        <v>3565.7879999999996</v>
      </c>
      <c r="V20">
        <v>12</v>
      </c>
      <c r="W20" s="23">
        <f>AVERAGE(3354.03, 4032.17, 3334.22, 3607.85, 3716.62)</f>
        <v>3608.9780000000001</v>
      </c>
      <c r="X20" s="23">
        <f>AVERAGE(3797.66, 3678.57, 3332.41, 3443.72, 3944.61)</f>
        <v>3639.3939999999993</v>
      </c>
      <c r="Y20">
        <f>AVERAGE(3778.25, 3707.83, 3102.35, 3692.94, 3067.46)</f>
        <v>3469.7660000000005</v>
      </c>
      <c r="AB20" s="23">
        <f>AVERAGE(3428.01, 4162.86, 3589.41, 3527.25, 3528.19)</f>
        <v>3647.1439999999993</v>
      </c>
      <c r="AC20" s="23">
        <f>AVERAGE(3598.19, 3816.32, 3469.31, 3631.02, 3853.34)</f>
        <v>3673.636</v>
      </c>
      <c r="AD20" s="23">
        <f>AVERAGE(3590, 3322.35, 3564.26, 3395.1, 3240.44)</f>
        <v>3422.4300000000003</v>
      </c>
      <c r="AE20" s="23">
        <f>AVERAGE(4125.85, 3503.06, 3359.43, 4312.63, 3578.5)</f>
        <v>3775.8940000000002</v>
      </c>
      <c r="AF20" s="23">
        <f>AVERAGE(3919.64, 3417.53, 3550, 3396.39, 4065.48)</f>
        <v>3669.808</v>
      </c>
    </row>
    <row r="21" spans="6:32">
      <c r="F21">
        <v>13</v>
      </c>
      <c r="G21" s="23">
        <f>AVERAGE(49.2932, 51.9771, 52.0567, 48.4579, 50.1339)</f>
        <v>50.383759999999995</v>
      </c>
      <c r="I21" s="23">
        <f>AVERAGE(31.9134, 30.5519, 31.6042, 32.0951, 30.0383)</f>
        <v>31.240580000000001</v>
      </c>
      <c r="J21" s="23">
        <f>AVERAGE(50.8976, 51.5281, 48.5767, 52.3327, 45.5897)</f>
        <v>49.784959999999998</v>
      </c>
      <c r="K21" s="28">
        <f>AVERAGE(8913.36, 10089.2, 9400.44, 10276.1, 9840.28)</f>
        <v>9703.8760000000002</v>
      </c>
      <c r="L21" s="29"/>
      <c r="N21" s="23"/>
      <c r="O21" s="23">
        <f>AVERAGE(7886.52, 5676.11, 5898.29, 6044.62, 8089.14)</f>
        <v>6718.9359999999997</v>
      </c>
      <c r="Q21" s="23">
        <f>AVERAGE(5378.07, 4967.34, 7066.21, 6829.19, 6741.83)</f>
        <v>6196.5280000000002</v>
      </c>
      <c r="R21" s="23">
        <f>AVERAGE(4705.76, 4248.28, 4631.85, 4582.02, 4334.28)</f>
        <v>4500.4380000000001</v>
      </c>
      <c r="S21" s="23"/>
      <c r="T21" s="23"/>
      <c r="U21" s="23">
        <f>AVERAGE(5787.08, 6073.69, 4120.11, 6666.6, 8075.79)</f>
        <v>6144.6540000000005</v>
      </c>
      <c r="V21">
        <v>13</v>
      </c>
      <c r="W21" s="23">
        <f>AVERAGE(5263.59, 5342.9, 5010.65, 4863.42, 5135.06)</f>
        <v>5123.1239999999998</v>
      </c>
      <c r="X21" s="23">
        <f>AVERAGE(5402.87, 5722.6, 5662.48, 5009.46, 5958.16)</f>
        <v>5551.1139999999996</v>
      </c>
      <c r="Y21">
        <f>AVERAGE(5244.37, 6951.2, 6564.45, 7260.97, 6069.55)</f>
        <v>6418.1080000000002</v>
      </c>
      <c r="AB21" s="23">
        <f>AVERAGE(7149.43, 7029.21, 6591.95, 6899.47, 6571.81)</f>
        <v>6848.3740000000007</v>
      </c>
      <c r="AC21" s="23">
        <f>AVERAGE(7998.02, 7357.77, 7353.45, 8173.88, 8021.94)</f>
        <v>7781.0120000000006</v>
      </c>
      <c r="AD21" s="23">
        <f>AVERAGE(5272.15, 5412.19, 7158.97, 6389.01, 6308.77)</f>
        <v>6108.2179999999998</v>
      </c>
      <c r="AE21" s="23">
        <f>AVERAGE(7311.91, 6974.34, 8177,6292.42, 5018.06)</f>
        <v>6754.7459999999992</v>
      </c>
      <c r="AF21" s="23">
        <f>AVERAGE(5889.42, 6733.93, 7323.04, 7979.55, 6419.08)</f>
        <v>6869.003999999999</v>
      </c>
    </row>
    <row r="22" spans="6:32">
      <c r="F22">
        <v>14</v>
      </c>
      <c r="G22" s="23">
        <f>AVERAGE(51.6885, 52.1835, 51.2097, 51.2005, 53.4425)</f>
        <v>51.94494000000001</v>
      </c>
      <c r="I22" s="23">
        <f>AVERAGE(29.762, 31.6446, 31.1495, 30.772, 31.4729)</f>
        <v>30.960200000000004</v>
      </c>
      <c r="J22" s="23">
        <f>AVERAGE(47.4311, 48.6531, 52.7871, 48.2532, 50.162)</f>
        <v>49.457300000000004</v>
      </c>
      <c r="K22" s="28">
        <f>AVERAGE(18731.7, 19567.6, 20475, 17732.2, 20983.7)</f>
        <v>19498.04</v>
      </c>
      <c r="L22" s="29"/>
      <c r="N22" s="23"/>
      <c r="O22" s="23">
        <f>AVERAGE(16087.3, 11199.8, 10465.6, 16440.2, 14612.8)</f>
        <v>13761.14</v>
      </c>
      <c r="Q22" s="23">
        <f>AVERAGE(12645.3, 11631.9, 12335.8, 15978.4, 9859.07)</f>
        <v>12490.094000000001</v>
      </c>
      <c r="R22" s="23">
        <f>AVERAGE(7532.9, 7774.67, 7813.36, 7367.24, 7977.48)</f>
        <v>7693.1299999999992</v>
      </c>
      <c r="S22" s="23"/>
      <c r="T22" s="23"/>
      <c r="U22" s="23">
        <f>AVERAGE(14879.8, 18730.6, 15389.1, 13768.7, 10775)</f>
        <v>14708.64</v>
      </c>
      <c r="V22">
        <v>14</v>
      </c>
      <c r="W22" s="23">
        <f>AVERAGE(9551.49, 7808.3, 8880.14, 6585.56, 8706.95)</f>
        <v>8306.4880000000012</v>
      </c>
      <c r="X22" s="23">
        <f>AVERAGE(11617.4, 8960.77, 11919, 11211.2, 12001.1)</f>
        <v>11141.893999999998</v>
      </c>
      <c r="Y22">
        <f>AVERAGE(13467.3, 15341.5, 15946.2, 13365, 12947.8)</f>
        <v>14213.560000000001</v>
      </c>
      <c r="AB22" s="23">
        <f>AVERAGE(14519.5, 14492.3, 15262.8, 12514, 15354.6)</f>
        <v>14428.64</v>
      </c>
      <c r="AC22" s="23">
        <f>AVERAGE(11254.1, 16729.5, 12948.5, 13532.6, 12704.3)</f>
        <v>13433.8</v>
      </c>
      <c r="AD22" s="23">
        <f>AVERAGE(13906.8, 13457.5, 13638.1, 12529.9, 11277.3)</f>
        <v>12961.920000000002</v>
      </c>
      <c r="AE22" s="23">
        <f>AVERAGE(15392.4, 11566.5, 18871.3, 16852.4, 13317.9)</f>
        <v>15200.1</v>
      </c>
      <c r="AF22" s="23">
        <f>AVERAGE(11989.3, 13462.6, 13928.5, 14326.8, 16150.1)</f>
        <v>13971.460000000001</v>
      </c>
    </row>
    <row r="23" spans="6:32">
      <c r="F23">
        <v>15</v>
      </c>
      <c r="G23" s="23">
        <f>AVERAGE(52.2706, 52.1033, 54.3101, 52.9445, 51.3055)</f>
        <v>52.586800000000004</v>
      </c>
      <c r="I23" s="23">
        <f>AVERAGE(30.4501, 30.9794, 31.2893, 31.6911, 31.1669)</f>
        <v>31.115359999999999</v>
      </c>
      <c r="J23" s="23">
        <f>AVERAGE(49.7197, 49.8982, 49.2145, 48.6287, 49.276)</f>
        <v>49.347420000000007</v>
      </c>
      <c r="K23" s="28">
        <f>AVERAGE(41447.4, 43988.5, 41128.8, 40158.4, 44239.2)</f>
        <v>42192.46</v>
      </c>
      <c r="L23" s="29"/>
      <c r="N23" s="23"/>
      <c r="O23" s="23">
        <f>AVERAGE(37221.2, 30014.3, 32361, 26579.2, 30884.3)</f>
        <v>31412</v>
      </c>
      <c r="Q23" s="23">
        <f>AVERAGE(30435.4, 24004.2, 27906.6, 23018.3, 26048.2)</f>
        <v>26282.54</v>
      </c>
      <c r="R23" s="23">
        <f>AVERAGE(18721.1, 18900.3, 12353.7, 16161.1, 14019.7)</f>
        <v>16031.179999999998</v>
      </c>
      <c r="S23" s="23"/>
      <c r="T23" s="23"/>
      <c r="U23" s="23">
        <f>AVERAGE(23427.3, 25648.9, 23712.6, 30023, 37811.5)</f>
        <v>28124.659999999996</v>
      </c>
      <c r="V23">
        <v>15</v>
      </c>
      <c r="W23" s="23">
        <f>AVERAGE(13956.2, 18624.5, 17500.9, 20087.6, 15833.2)</f>
        <v>17200.480000000003</v>
      </c>
      <c r="X23" s="23">
        <f>AVERAGE(23332.3, 26000.7, 23295.2, 21461.4, 25672.6)</f>
        <v>23952.440000000002</v>
      </c>
      <c r="Y23">
        <f>AVERAGE(24287.4, 24024, 29740.1, 23074.8, 26162.4)</f>
        <v>25457.74</v>
      </c>
      <c r="AB23" s="23">
        <f>AVERAGE(29882.6, 29872.1, 32629.5, 33630.7, 28626.4)</f>
        <v>30928.26</v>
      </c>
      <c r="AC23" s="23">
        <f>AVERAGE(38613.9, 34312, 24956.5, 23860.5, 32283.6)</f>
        <v>30805.3</v>
      </c>
      <c r="AD23" s="23">
        <f>AVERAGE(26507.2, 30212.1, 22506.6, 28378.5, 27553.4)</f>
        <v>27031.559999999998</v>
      </c>
      <c r="AE23" s="23">
        <f>AVERAGE(26065.5, 30154.2, 25226.7, 24186.8, 32618.9)</f>
        <v>27650.420000000002</v>
      </c>
      <c r="AF23" s="23">
        <f>AVERAGE(20348.9, 38144.7, 24831.2, 25371.5, 39960.5)</f>
        <v>29731.359999999997</v>
      </c>
    </row>
    <row r="24" spans="6:32">
      <c r="F24">
        <v>16</v>
      </c>
      <c r="G24" s="23">
        <f>AVERAGE(56.7791, 55.2905, 55.4975, 55.9323, 56.8524)</f>
        <v>56.070360000000008</v>
      </c>
      <c r="H24" s="23"/>
      <c r="I24" s="23"/>
      <c r="J24" s="23"/>
      <c r="K24" s="28">
        <f>AVERAGE(140917, 83258.7, 97855.3, 114007, 84992.8)</f>
        <v>104206.16</v>
      </c>
      <c r="L24" s="29"/>
      <c r="N24" s="23"/>
      <c r="O24" s="23">
        <f>AVERAGE(58288.3, 45319.4, 64321.4, 69176.7, 90052.8)</f>
        <v>65431.719999999994</v>
      </c>
      <c r="Q24" s="23">
        <f>AVERAGE(57136.3, 53015.1, 57277.4, 51994, 65682.6)</f>
        <v>57021.08</v>
      </c>
      <c r="R24" s="23">
        <f>AVERAGE(36683.9, 30025.2, 30371, 33578.3, 29531.3)</f>
        <v>32037.940000000002</v>
      </c>
      <c r="S24" s="23"/>
      <c r="T24" s="23"/>
      <c r="U24" s="23"/>
      <c r="V24">
        <v>16</v>
      </c>
      <c r="W24" s="23">
        <f>AVERAGE(37165.7, 32467.8, 35510.5, 30957.3, 31169)</f>
        <v>33454.06</v>
      </c>
      <c r="X24" s="23">
        <f>AVERAGE(24963.5, 46227.4, 47660.9, 47796.6, 42029)</f>
        <v>41735.479999999996</v>
      </c>
      <c r="AB24" s="23"/>
      <c r="AC24" s="23"/>
      <c r="AD24" s="23"/>
      <c r="AE24" s="23"/>
      <c r="AF24" s="23"/>
    </row>
    <row r="25" spans="6:32">
      <c r="F25">
        <v>17</v>
      </c>
      <c r="G25" s="23">
        <f>AVERAGE(58.5202, 58.1155, 57.9768, 55.8216, 58.9872)</f>
        <v>57.884259999999998</v>
      </c>
      <c r="H25" s="23"/>
      <c r="I25" s="23"/>
      <c r="J25" s="23"/>
      <c r="K25" s="28">
        <f>AVERAGE(276913, 172963)</f>
        <v>224938</v>
      </c>
      <c r="L25" s="29"/>
      <c r="N25" s="23"/>
      <c r="O25" s="23">
        <f>AVERAGE(121731, 197358, 150400, 122788, 162034)</f>
        <v>150862.20000000001</v>
      </c>
      <c r="Q25" s="23">
        <f>AVERAGE(118258, 115165, 130310, 93424, 98847.1)</f>
        <v>111200.81999999999</v>
      </c>
      <c r="R25" s="23">
        <f>AVERAGE(43670.3, 43713.6, 59289.4, 86731.3,62474.2, 78313.4)</f>
        <v>62365.366666666661</v>
      </c>
      <c r="S25" s="23"/>
      <c r="T25" s="23"/>
      <c r="U25" s="23"/>
      <c r="V25">
        <v>17</v>
      </c>
      <c r="W25" s="23">
        <f>AVERAGE(94367.3, 77925.5, 61344.7, 57435, 75858.5)</f>
        <v>73386.2</v>
      </c>
      <c r="X25" s="23">
        <f>AVERAGE(107585, 115621, 76517.1, 101839, 102292)</f>
        <v>100770.81999999999</v>
      </c>
      <c r="AB25" s="23"/>
      <c r="AC25" s="23"/>
      <c r="AD25" s="23"/>
      <c r="AE25" s="23"/>
      <c r="AF25" s="23"/>
    </row>
    <row r="26" spans="6:32">
      <c r="F26">
        <v>18</v>
      </c>
      <c r="G26" s="23">
        <f>AVERAGE(58.557, 58.6482, 57.9507, 61.1638, 58.2993)</f>
        <v>58.923800000000007</v>
      </c>
      <c r="H26" s="23"/>
      <c r="I26" s="23"/>
      <c r="J26" s="23"/>
      <c r="K26" s="28"/>
      <c r="L26" s="27"/>
      <c r="N26" s="23"/>
      <c r="O26" s="23"/>
      <c r="P26" s="23"/>
      <c r="Q26" s="23"/>
      <c r="U26" s="23"/>
      <c r="V26">
        <v>18</v>
      </c>
      <c r="W26" s="23">
        <f>AVERAGE(147042, 188722, 143853, 124425, 158180)</f>
        <v>152444.4</v>
      </c>
      <c r="X26" s="23">
        <f>AVERAGE(263530, 339370, 306682, 255395, 237871)</f>
        <v>280569.59999999998</v>
      </c>
      <c r="AB26" s="23"/>
      <c r="AC26" s="23"/>
      <c r="AD26" s="23"/>
      <c r="AE26" s="23"/>
      <c r="AF26" s="23"/>
    </row>
    <row r="27" spans="6:32">
      <c r="F27">
        <v>19</v>
      </c>
      <c r="G27" s="23">
        <f>AVERAGE(59.5569, 62.2508, 60.907, 60.8009, 56.9841)</f>
        <v>60.099940000000004</v>
      </c>
      <c r="H27" s="23"/>
      <c r="I27" s="23"/>
      <c r="J27" s="23"/>
      <c r="K27" s="28"/>
      <c r="L27" s="27"/>
      <c r="N27" s="23"/>
      <c r="O27" s="23"/>
      <c r="P27" s="23"/>
      <c r="Q27" s="23"/>
      <c r="U27" s="23"/>
      <c r="V27">
        <v>19</v>
      </c>
      <c r="W27" s="23"/>
      <c r="X27" s="23"/>
      <c r="AB27" s="23"/>
      <c r="AC27" s="23"/>
      <c r="AD27" s="23"/>
      <c r="AE27" s="23"/>
      <c r="AF27" s="23"/>
    </row>
    <row r="28" spans="6:32">
      <c r="F28">
        <v>20</v>
      </c>
      <c r="G28" s="23">
        <f>AVERAGE(61.8693, 66.5654, 64.9043, 62.3259, 64.5053)</f>
        <v>64.034040000000005</v>
      </c>
      <c r="H28" s="23"/>
      <c r="I28" s="23"/>
      <c r="J28" s="23"/>
      <c r="K28" s="28"/>
      <c r="L28" s="27"/>
      <c r="N28" s="23"/>
      <c r="O28" s="23"/>
      <c r="P28" s="23"/>
      <c r="U28" s="23"/>
      <c r="V28">
        <v>20</v>
      </c>
      <c r="W28" s="23"/>
      <c r="X28" s="23"/>
      <c r="AB28" s="23"/>
      <c r="AC28" s="23"/>
      <c r="AD28" s="23"/>
      <c r="AE28" s="23"/>
      <c r="AF28" s="23"/>
    </row>
    <row r="29" spans="6:32">
      <c r="F29">
        <v>21</v>
      </c>
      <c r="G29" s="23">
        <f>AVERAGE(66.0514, 65.0641, 63.4008, 65.8043, 63.2549)</f>
        <v>64.715100000000007</v>
      </c>
      <c r="H29" s="23"/>
      <c r="I29" s="23"/>
      <c r="J29" s="23"/>
      <c r="K29" s="28"/>
      <c r="L29" s="27"/>
      <c r="N29" s="23"/>
      <c r="O29" s="23"/>
      <c r="P29" s="23"/>
      <c r="V29">
        <v>21</v>
      </c>
      <c r="W29" s="23"/>
      <c r="X29" s="23"/>
      <c r="AC29" s="23"/>
      <c r="AD29" s="23"/>
      <c r="AE29" s="23"/>
      <c r="AF29" s="23"/>
    </row>
    <row r="30" spans="6:32">
      <c r="F30">
        <v>22</v>
      </c>
      <c r="G30" s="23">
        <f>AVERAGE(67.5743, 65.5693, 67.2018, 66.5036, 66.5754)</f>
        <v>66.684879999999993</v>
      </c>
      <c r="H30" s="23"/>
      <c r="I30" s="23"/>
      <c r="J30" s="23"/>
      <c r="K30" s="28"/>
      <c r="L30" s="27"/>
      <c r="N30" s="23"/>
      <c r="O30" s="23"/>
      <c r="P30" s="23"/>
      <c r="V30">
        <v>22</v>
      </c>
      <c r="W30" s="23"/>
      <c r="X30" s="23"/>
    </row>
    <row r="31" spans="6:32">
      <c r="J31" s="23"/>
      <c r="K31" s="26"/>
      <c r="L31" s="27"/>
      <c r="N31" s="23"/>
      <c r="V31">
        <v>23</v>
      </c>
      <c r="X31" s="23"/>
    </row>
    <row r="32" spans="6:32">
      <c r="J32" s="23"/>
      <c r="K32" s="26"/>
      <c r="L32" s="27"/>
      <c r="N32" s="23"/>
      <c r="V32">
        <v>24</v>
      </c>
      <c r="X32" s="23"/>
    </row>
    <row r="33" spans="10:14">
      <c r="J33" s="23"/>
      <c r="N33" s="23"/>
    </row>
    <row r="34" spans="10:14">
      <c r="J34" s="23"/>
    </row>
  </sheetData>
  <mergeCells count="3">
    <mergeCell ref="K8:L8"/>
    <mergeCell ref="O8:Q8"/>
    <mergeCell ref="G8:J8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zoomScale="75" zoomScaleNormal="40" workbookViewId="0">
      <selection activeCell="N37" sqref="N37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6" width="14.42578125" bestFit="1" customWidth="1"/>
    <col min="17" max="17" width="13.42578125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22" t="s">
        <v>34</v>
      </c>
      <c r="E2" s="22"/>
      <c r="F2" s="22" t="s">
        <v>33</v>
      </c>
      <c r="G2" s="22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 t="s">
        <v>39</v>
      </c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>
        <v>57.747999999999998</v>
      </c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>
        <v>58.690399999999997</v>
      </c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>
        <v>56.002699999999997</v>
      </c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>
        <v>55.289200000000001</v>
      </c>
      <c r="I7" s="6"/>
      <c r="J7" s="6"/>
      <c r="K7" s="6"/>
      <c r="L7" s="6"/>
      <c r="M7" s="6"/>
      <c r="N7" s="6"/>
      <c r="O7" s="6"/>
      <c r="P7" s="22" t="s">
        <v>32</v>
      </c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>
        <v>56.033299999999997</v>
      </c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 t="s">
        <v>39</v>
      </c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22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>
        <v>56.110500000000002</v>
      </c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11">
        <f>AVERAGE(H4:H13)</f>
        <v>56.580090000000006</v>
      </c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22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>
        <v>57.4529</v>
      </c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11">
        <f>AVERAGE(H15:H24)</f>
        <v>67.584090000000003</v>
      </c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22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>
        <v>55.634500000000003</v>
      </c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11" t="e">
        <f>AVERAGE(H26:H35)</f>
        <v>#DIV/0!</v>
      </c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22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>
        <v>56.550199999999997</v>
      </c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11">
        <f>AVERAGE(H37:H46)</f>
        <v>90.661159999999995</v>
      </c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22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>
        <v>56.289200000000001</v>
      </c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11" t="e">
        <f>AVERAGE(H48:H57)</f>
        <v>#DIV/0!</v>
      </c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11">
        <f>AVERAGE(H59:H68)</f>
        <v>130.47820000000002</v>
      </c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22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>
        <v>67.847499999999997</v>
      </c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11" t="e">
        <f>AVERAGE(H70:H79)</f>
        <v>#DIV/0!</v>
      </c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22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>
        <v>66.918499999999995</v>
      </c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12">
        <f>AVERAGE(H81:H90)</f>
        <v>244.21220000000002</v>
      </c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22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>
        <v>69.0535</v>
      </c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12" t="e">
        <f>AVERAGE(H92:H101)</f>
        <v>#DIV/0!</v>
      </c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22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>
        <v>67.098299999999995</v>
      </c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12">
        <f>AVERAGE(H103:H112)</f>
        <v>658.09770000000003</v>
      </c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22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>
        <v>67.534000000000006</v>
      </c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12" t="e">
        <f>AVERAGE(H114:H123)</f>
        <v>#DIV/0!</v>
      </c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22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>
        <v>65.857600000000005</v>
      </c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12">
        <f>AVERAGE(H125:H134)</f>
        <v>2173.4490000000005</v>
      </c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22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>
        <v>67.323300000000003</v>
      </c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12" t="e">
        <f>AVERAGE(H136:H145)</f>
        <v>#DIV/0!</v>
      </c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22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>
        <v>66.541899999999998</v>
      </c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12">
        <f>AVERAGE(H147:H156)</f>
        <v>7801.5590000000011</v>
      </c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22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>
        <v>67.468199999999996</v>
      </c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12" t="e">
        <f>AVERAGE(H158:H167)</f>
        <v>#DIV/0!</v>
      </c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22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>
        <v>70.198099999999997</v>
      </c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12">
        <f>AVERAGE(H169:H178)</f>
        <v>26487.57</v>
      </c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12" t="e">
        <f>AVERAGE(H180:H189)</f>
        <v>#DIV/0!</v>
      </c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22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12">
        <f>AVERAGE(H191:H200)</f>
        <v>103057.36</v>
      </c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22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12" t="e">
        <f>AVERAGE(H202:H211)</f>
        <v>#DIV/0!</v>
      </c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22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12" t="e">
        <f>AVERAGE(H213:H222)</f>
        <v>#DIV/0!</v>
      </c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22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12" t="e">
        <f>AVERAGE(H224:H233)</f>
        <v>#DIV/0!</v>
      </c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22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22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22" t="s">
        <v>35</v>
      </c>
      <c r="O31" s="22"/>
      <c r="P31" s="22"/>
      <c r="Q31" s="22"/>
      <c r="S31" s="6"/>
      <c r="T31" s="6"/>
      <c r="U31" s="6"/>
      <c r="V31" s="6"/>
      <c r="W31" s="6"/>
      <c r="X31" s="6"/>
    </row>
    <row r="32" spans="1:24">
      <c r="A32" s="22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22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22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>
        <v>89.817300000000003</v>
      </c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>
        <v>90.143699999999995</v>
      </c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>
        <v>90.561499999999995</v>
      </c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>
        <v>91.9285</v>
      </c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>
        <v>92.021100000000004</v>
      </c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>
        <v>89.813699999999997</v>
      </c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>
        <v>90.129599999999996</v>
      </c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>
        <v>90.865099999999998</v>
      </c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>
        <v>92.328999999999994</v>
      </c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>
        <v>89.002099999999999</v>
      </c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>
        <v>128.904</v>
      </c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>
        <v>129.66999999999999</v>
      </c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>
        <v>135.71600000000001</v>
      </c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>
        <v>133.60900000000001</v>
      </c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>
        <v>129.666</v>
      </c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>
        <v>130.387</v>
      </c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>
        <v>129.23599999999999</v>
      </c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>
        <v>131.52099999999999</v>
      </c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>
        <v>125.02500000000001</v>
      </c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>
        <v>131.048</v>
      </c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>
        <v>228.71899999999999</v>
      </c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>
        <v>253.48699999999999</v>
      </c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>
        <v>232.40899999999999</v>
      </c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>
        <v>240.18299999999999</v>
      </c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>
        <v>240.352</v>
      </c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>
        <v>244.73099999999999</v>
      </c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>
        <v>252.51499999999999</v>
      </c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>
        <v>241.11199999999999</v>
      </c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>
        <v>259.363</v>
      </c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>
        <v>249.251</v>
      </c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>
        <v>693.23699999999997</v>
      </c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>
        <v>718.23</v>
      </c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>
        <v>636.73400000000004</v>
      </c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>
        <v>665.47799999999995</v>
      </c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>
        <v>630.96799999999996</v>
      </c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>
        <v>591.33100000000002</v>
      </c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>
        <v>575.93799999999999</v>
      </c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>
        <v>681.24199999999996</v>
      </c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>
        <v>698.279</v>
      </c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>
        <v>689.54</v>
      </c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>
        <v>2117.33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>
        <v>2200.54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>
        <v>2198.67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>
        <v>2119.31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>
        <v>2335.4499999999998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>
        <v>2266.9499999999998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>
        <v>1956.33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>
        <v>2074.23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>
        <v>2340.67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>
        <v>2125.0100000000002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>
        <v>6084.11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>
        <v>8694.4500000000007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>
        <v>7477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>
        <v>9257.2000000000007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>
        <v>7734.89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>
        <v>8199.7800000000007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>
        <v>7649.35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>
        <v>7179.36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>
        <v>7985.49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>
        <v>7753.96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  <c r="H169" s="6">
        <v>23872.799999999999</v>
      </c>
    </row>
    <row r="170" spans="1:24">
      <c r="A170" s="18"/>
      <c r="C170" s="6">
        <v>59202</v>
      </c>
      <c r="D170" s="6">
        <v>50919.5</v>
      </c>
      <c r="E170" s="6">
        <v>47414.9</v>
      </c>
      <c r="F170" s="6">
        <v>40019.599999999999</v>
      </c>
      <c r="H170" s="6">
        <v>30663.599999999999</v>
      </c>
    </row>
    <row r="171" spans="1:24">
      <c r="A171" s="18"/>
      <c r="C171" s="6">
        <v>57394.5</v>
      </c>
      <c r="D171" s="6">
        <v>53283</v>
      </c>
      <c r="E171" s="6">
        <v>53761.8</v>
      </c>
      <c r="F171" s="6">
        <v>49774.7</v>
      </c>
      <c r="H171" s="6">
        <v>26621</v>
      </c>
    </row>
    <row r="172" spans="1:24">
      <c r="A172" s="18"/>
      <c r="C172" s="6">
        <v>66744.600000000006</v>
      </c>
      <c r="D172" s="6">
        <v>39380.199999999997</v>
      </c>
      <c r="E172" s="6">
        <v>43064.9</v>
      </c>
      <c r="F172" s="6">
        <v>45340.3</v>
      </c>
      <c r="H172" s="6">
        <v>25437.4</v>
      </c>
    </row>
    <row r="173" spans="1:24">
      <c r="A173" s="18"/>
      <c r="C173" s="6">
        <v>64571.199999999997</v>
      </c>
      <c r="D173" s="6">
        <v>62404.2</v>
      </c>
      <c r="E173" s="6">
        <v>40294</v>
      </c>
      <c r="F173" s="6">
        <v>50169.9</v>
      </c>
      <c r="H173" s="6">
        <v>29892.1</v>
      </c>
    </row>
    <row r="174" spans="1:24">
      <c r="A174" s="18"/>
      <c r="C174" s="6">
        <v>51181.8</v>
      </c>
      <c r="D174" s="6">
        <v>55128.1</v>
      </c>
      <c r="E174" s="6">
        <v>44301.1</v>
      </c>
      <c r="F174" s="6">
        <v>49658.5</v>
      </c>
      <c r="H174" s="6">
        <v>22268.2</v>
      </c>
    </row>
    <row r="175" spans="1:24">
      <c r="A175" s="18"/>
      <c r="C175" s="6">
        <v>62181.7</v>
      </c>
      <c r="D175" s="6">
        <v>58235.5</v>
      </c>
      <c r="E175" s="6">
        <v>48399.4</v>
      </c>
      <c r="F175" s="6">
        <v>34501.5</v>
      </c>
      <c r="H175" s="6">
        <v>24257.4</v>
      </c>
    </row>
    <row r="176" spans="1:24">
      <c r="A176" s="18"/>
      <c r="C176" s="6">
        <v>58742</v>
      </c>
      <c r="D176" s="6">
        <v>60657.3</v>
      </c>
      <c r="E176" s="6">
        <v>33711.800000000003</v>
      </c>
      <c r="F176" s="6">
        <v>39263</v>
      </c>
      <c r="H176" s="6">
        <v>32087.599999999999</v>
      </c>
    </row>
    <row r="177" spans="1:8">
      <c r="A177" s="18"/>
      <c r="C177" s="6">
        <v>76782.100000000006</v>
      </c>
      <c r="D177" s="6">
        <v>48713.5</v>
      </c>
      <c r="E177" s="6">
        <v>45751.6</v>
      </c>
      <c r="F177" s="6">
        <v>49505.2</v>
      </c>
      <c r="H177" s="6">
        <v>20890.400000000001</v>
      </c>
    </row>
    <row r="178" spans="1:8">
      <c r="A178" s="18"/>
      <c r="C178" s="6">
        <v>56906.9</v>
      </c>
      <c r="D178" s="6">
        <v>56456</v>
      </c>
      <c r="E178" s="6">
        <v>30853.599999999999</v>
      </c>
      <c r="F178" s="6">
        <v>43131.8</v>
      </c>
      <c r="H178" s="6">
        <v>28885.200000000001</v>
      </c>
    </row>
    <row r="180" spans="1:8">
      <c r="A180" s="18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8">
      <c r="A181" s="18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8">
      <c r="A182" s="18"/>
      <c r="C182" s="6">
        <v>114837</v>
      </c>
      <c r="D182" s="6">
        <v>111879</v>
      </c>
      <c r="E182" s="6">
        <v>97865.3</v>
      </c>
      <c r="F182" s="6">
        <v>85627.5</v>
      </c>
    </row>
    <row r="183" spans="1:8">
      <c r="A183" s="18"/>
      <c r="C183" s="6">
        <v>125251</v>
      </c>
      <c r="D183" s="6">
        <v>100330</v>
      </c>
      <c r="E183" s="6">
        <v>87590.6</v>
      </c>
      <c r="F183" s="6">
        <v>101963</v>
      </c>
    </row>
    <row r="184" spans="1:8">
      <c r="A184" s="18"/>
      <c r="C184" s="6">
        <v>147740</v>
      </c>
      <c r="D184" s="6">
        <v>122488</v>
      </c>
      <c r="E184" s="6">
        <v>79780.5</v>
      </c>
      <c r="F184" s="6">
        <v>91831.4</v>
      </c>
    </row>
    <row r="185" spans="1:8">
      <c r="A185" s="18"/>
      <c r="C185" s="6">
        <v>158747</v>
      </c>
      <c r="D185" s="6">
        <v>118386</v>
      </c>
      <c r="E185" s="6">
        <v>101059</v>
      </c>
      <c r="F185" s="6">
        <v>95410.3</v>
      </c>
    </row>
    <row r="186" spans="1:8">
      <c r="A186" s="18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8">
      <c r="A187" s="18"/>
      <c r="C187" s="6">
        <v>120883</v>
      </c>
      <c r="D187" s="6">
        <v>101322</v>
      </c>
      <c r="E187" s="6">
        <v>51427.9</v>
      </c>
      <c r="F187" s="6">
        <v>86627.5</v>
      </c>
    </row>
    <row r="188" spans="1:8">
      <c r="A188" s="18"/>
      <c r="C188" s="6">
        <v>132044</v>
      </c>
      <c r="D188" s="6">
        <v>100771</v>
      </c>
      <c r="E188" s="6">
        <v>109399</v>
      </c>
      <c r="F188" s="6">
        <v>76028.7</v>
      </c>
    </row>
    <row r="189" spans="1:8">
      <c r="A189" s="18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8">
      <c r="A191" s="18">
        <v>18</v>
      </c>
      <c r="C191" s="6">
        <v>349574</v>
      </c>
      <c r="D191">
        <v>241222</v>
      </c>
      <c r="E191" s="6">
        <v>168976</v>
      </c>
      <c r="F191" s="6">
        <v>189938</v>
      </c>
      <c r="H191" s="6">
        <v>92473.1</v>
      </c>
    </row>
    <row r="192" spans="1:8">
      <c r="A192" s="18"/>
      <c r="C192" s="6">
        <v>278634</v>
      </c>
      <c r="D192" s="6">
        <v>304549</v>
      </c>
      <c r="E192" s="6">
        <v>124619</v>
      </c>
      <c r="F192" s="6">
        <v>193041</v>
      </c>
      <c r="H192" s="6">
        <v>87391.4</v>
      </c>
    </row>
    <row r="193" spans="1:8">
      <c r="A193" s="18"/>
      <c r="C193" s="6">
        <v>321905</v>
      </c>
      <c r="D193" s="6">
        <v>241836</v>
      </c>
      <c r="E193" s="6">
        <v>160321</v>
      </c>
      <c r="F193" s="6">
        <v>153691</v>
      </c>
      <c r="H193" s="6">
        <v>135699</v>
      </c>
    </row>
    <row r="194" spans="1:8">
      <c r="A194" s="18"/>
      <c r="C194" s="6">
        <v>227555</v>
      </c>
      <c r="D194" s="6">
        <v>271727</v>
      </c>
      <c r="E194" s="6">
        <v>207651</v>
      </c>
      <c r="F194" s="6">
        <v>132514</v>
      </c>
      <c r="H194" s="6">
        <v>119422</v>
      </c>
    </row>
    <row r="195" spans="1:8">
      <c r="A195" s="18"/>
      <c r="C195" s="6">
        <v>270881</v>
      </c>
      <c r="D195" s="6">
        <v>213601</v>
      </c>
      <c r="E195" s="6">
        <v>201678</v>
      </c>
      <c r="F195" s="6">
        <v>192273</v>
      </c>
      <c r="H195" s="6">
        <v>72722.100000000006</v>
      </c>
    </row>
    <row r="196" spans="1:8">
      <c r="A196" s="18"/>
      <c r="C196" s="6">
        <v>214413</v>
      </c>
      <c r="D196" s="6">
        <v>142407</v>
      </c>
      <c r="E196" s="6">
        <v>115552</v>
      </c>
      <c r="F196" s="6">
        <v>173730</v>
      </c>
      <c r="H196" s="6">
        <v>102155</v>
      </c>
    </row>
    <row r="197" spans="1:8">
      <c r="A197" s="18"/>
      <c r="C197" s="6">
        <v>283964</v>
      </c>
      <c r="D197" s="6">
        <v>196588</v>
      </c>
      <c r="E197" s="6">
        <v>129107</v>
      </c>
      <c r="F197" s="6">
        <v>120023</v>
      </c>
      <c r="H197" s="6">
        <v>123723</v>
      </c>
    </row>
    <row r="198" spans="1:8">
      <c r="A198" s="18"/>
      <c r="C198" s="6">
        <v>303192</v>
      </c>
      <c r="D198" s="6">
        <v>191327</v>
      </c>
      <c r="E198" s="6">
        <v>211751</v>
      </c>
      <c r="F198" s="6">
        <v>183952</v>
      </c>
      <c r="H198" s="6">
        <v>108103</v>
      </c>
    </row>
    <row r="199" spans="1:8">
      <c r="A199" s="18"/>
      <c r="C199" s="6">
        <v>337504</v>
      </c>
      <c r="D199" s="6">
        <v>210541</v>
      </c>
      <c r="E199" s="6">
        <v>166155</v>
      </c>
      <c r="F199" s="6">
        <v>217847</v>
      </c>
      <c r="H199" s="6">
        <v>114872</v>
      </c>
    </row>
    <row r="200" spans="1:8">
      <c r="A200" s="18"/>
      <c r="C200" s="6">
        <v>340574</v>
      </c>
      <c r="D200" s="6">
        <v>162371</v>
      </c>
      <c r="E200" s="6">
        <v>190480</v>
      </c>
      <c r="F200" s="6">
        <v>199524</v>
      </c>
      <c r="H200" s="6">
        <v>74013</v>
      </c>
    </row>
    <row r="202" spans="1:8">
      <c r="A202" s="18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8">
      <c r="A203" s="18"/>
      <c r="C203" s="6">
        <v>793699</v>
      </c>
      <c r="D203" s="6">
        <v>449187</v>
      </c>
      <c r="E203" s="6">
        <v>379676</v>
      </c>
      <c r="F203" s="6">
        <v>546299</v>
      </c>
    </row>
    <row r="204" spans="1:8">
      <c r="A204" s="18"/>
      <c r="C204" s="6">
        <v>492288</v>
      </c>
      <c r="D204" s="6">
        <v>394090</v>
      </c>
      <c r="E204" s="6">
        <v>367752</v>
      </c>
      <c r="F204" s="6">
        <v>405892</v>
      </c>
    </row>
    <row r="205" spans="1:8">
      <c r="A205" s="18"/>
      <c r="C205" s="6">
        <v>642056</v>
      </c>
      <c r="D205" s="6">
        <v>584579</v>
      </c>
      <c r="E205" s="6">
        <v>369621</v>
      </c>
      <c r="F205" s="6">
        <v>492540</v>
      </c>
    </row>
    <row r="206" spans="1:8">
      <c r="A206" s="18"/>
      <c r="C206" s="6">
        <v>529051</v>
      </c>
      <c r="D206" s="6">
        <v>378290</v>
      </c>
      <c r="E206" s="6">
        <v>451235</v>
      </c>
      <c r="F206" s="6">
        <v>404551</v>
      </c>
    </row>
    <row r="207" spans="1:8">
      <c r="A207" s="18"/>
      <c r="C207" s="6">
        <v>831996</v>
      </c>
      <c r="D207" s="6">
        <v>377252</v>
      </c>
      <c r="E207" s="6">
        <v>396761</v>
      </c>
      <c r="F207" s="6">
        <v>479552</v>
      </c>
    </row>
    <row r="208" spans="1:8">
      <c r="A208" s="18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8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8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8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8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8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8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8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8"/>
      <c r="C217">
        <v>843941</v>
      </c>
      <c r="D217" s="6">
        <v>838196</v>
      </c>
      <c r="E217" s="6">
        <v>903262</v>
      </c>
    </row>
    <row r="218" spans="1:6">
      <c r="A218" s="18"/>
      <c r="C218">
        <v>1278740</v>
      </c>
      <c r="D218" s="6">
        <v>611509</v>
      </c>
      <c r="E218" s="6">
        <v>684758</v>
      </c>
    </row>
    <row r="219" spans="1:6">
      <c r="A219" s="18"/>
      <c r="C219">
        <v>1928820</v>
      </c>
      <c r="D219">
        <v>1176440</v>
      </c>
      <c r="E219" s="6">
        <v>332190</v>
      </c>
    </row>
    <row r="220" spans="1:6">
      <c r="A220" s="18"/>
      <c r="C220">
        <v>1220010</v>
      </c>
      <c r="D220">
        <v>1013930</v>
      </c>
    </row>
    <row r="221" spans="1:6">
      <c r="A221" s="18"/>
      <c r="C221">
        <v>1554340</v>
      </c>
      <c r="D221" s="6">
        <v>779696</v>
      </c>
    </row>
    <row r="222" spans="1:6">
      <c r="A222" s="18"/>
      <c r="C222">
        <v>1241610</v>
      </c>
      <c r="D222">
        <v>1127680</v>
      </c>
    </row>
    <row r="224" spans="1:6">
      <c r="A224" s="18">
        <v>21</v>
      </c>
      <c r="C224">
        <v>1738180</v>
      </c>
      <c r="D224">
        <v>1926610</v>
      </c>
    </row>
    <row r="225" spans="1:4">
      <c r="A225" s="18"/>
      <c r="C225">
        <v>5072940</v>
      </c>
      <c r="D225">
        <v>3042540</v>
      </c>
    </row>
    <row r="226" spans="1:4">
      <c r="A226" s="18"/>
      <c r="C226">
        <v>1737490</v>
      </c>
    </row>
    <row r="227" spans="1:4">
      <c r="A227" s="18"/>
    </row>
    <row r="228" spans="1:4">
      <c r="A228" s="18"/>
    </row>
    <row r="229" spans="1:4">
      <c r="A229" s="18"/>
    </row>
    <row r="230" spans="1:4">
      <c r="A230" s="18"/>
    </row>
    <row r="231" spans="1:4">
      <c r="A231" s="18"/>
    </row>
    <row r="232" spans="1:4">
      <c r="A232" s="18"/>
    </row>
    <row r="233" spans="1:4">
      <c r="A233" s="18"/>
    </row>
  </sheetData>
  <mergeCells count="26">
    <mergeCell ref="N31:Q31"/>
    <mergeCell ref="A224:A233"/>
    <mergeCell ref="A213:A222"/>
    <mergeCell ref="A158:A167"/>
    <mergeCell ref="A169:A178"/>
    <mergeCell ref="A180:A189"/>
    <mergeCell ref="A191:A200"/>
    <mergeCell ref="A202:A211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D2:E2"/>
    <mergeCell ref="F2:G2"/>
    <mergeCell ref="P7:Q7"/>
    <mergeCell ref="A4:A13"/>
    <mergeCell ref="S7:U7"/>
  </mergeCells>
  <phoneticPr fontId="1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zoomScale="94" zoomScaleNormal="125" workbookViewId="0">
      <selection activeCell="P18" sqref="P18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22" t="s">
        <v>36</v>
      </c>
      <c r="H2" s="22"/>
      <c r="I2" s="22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22" t="s">
        <v>38</v>
      </c>
      <c r="P7" s="22"/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22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22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22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22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22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22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22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22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22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22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22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22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22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22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22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22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22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22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22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22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22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22" t="s">
        <v>35</v>
      </c>
      <c r="O31" s="22"/>
      <c r="P31" s="22"/>
      <c r="Q31" s="22"/>
      <c r="S31" s="11"/>
      <c r="T31" s="11"/>
      <c r="U31" s="11"/>
      <c r="V31" s="6"/>
      <c r="W31" s="6"/>
      <c r="X31" s="6"/>
    </row>
    <row r="32" spans="1:24">
      <c r="A32" s="22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22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22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18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18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18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18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18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18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18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18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18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18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18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18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18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18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18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18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18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18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18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18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18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18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18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18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18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18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18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18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18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18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18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18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18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18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18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18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18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18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18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18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18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18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18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18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18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18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18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18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18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18">
        <v>21</v>
      </c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</sheetData>
  <mergeCells count="25"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9" t="s">
        <v>9</v>
      </c>
      <c r="J8" s="19"/>
      <c r="K8" s="19"/>
      <c r="L8" s="19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9" t="s">
        <v>9</v>
      </c>
      <c r="J8" s="19"/>
      <c r="K8" s="19"/>
      <c r="L8" s="19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9" t="s">
        <v>9</v>
      </c>
      <c r="J8" s="19"/>
      <c r="K8" s="19"/>
      <c r="L8" s="19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9" t="s">
        <v>9</v>
      </c>
      <c r="J8" s="19"/>
      <c r="K8" s="19"/>
      <c r="L8" s="19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8" t="s">
        <v>4</v>
      </c>
      <c r="G2" s="18"/>
      <c r="H2" s="18"/>
      <c r="I2" s="18"/>
      <c r="J2" s="18" t="s">
        <v>5</v>
      </c>
      <c r="K2" s="18"/>
      <c r="L2" s="18"/>
      <c r="M2" s="18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7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8" t="s">
        <v>4</v>
      </c>
      <c r="E2" s="18"/>
      <c r="F2" s="18"/>
      <c r="G2" s="18"/>
      <c r="H2" s="18" t="s">
        <v>5</v>
      </c>
      <c r="I2" s="18"/>
      <c r="J2" s="18"/>
      <c r="K2" s="18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8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8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8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8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8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8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8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8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8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8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8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8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8" t="s">
        <v>4</v>
      </c>
      <c r="T16" s="18"/>
      <c r="U16" s="18"/>
      <c r="V16" s="18"/>
      <c r="W16" s="18" t="s">
        <v>5</v>
      </c>
      <c r="X16" s="18"/>
      <c r="Y16" s="18"/>
      <c r="Z16" s="18"/>
    </row>
    <row r="17" spans="1:27">
      <c r="A17" s="18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8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8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8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8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8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8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8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22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22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22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22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22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22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22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22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22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22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22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22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22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22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22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22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22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22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22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22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22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22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22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22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22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22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22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22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22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22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22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22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22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22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22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22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22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22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22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22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22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22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22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22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22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22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22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22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22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22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22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22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22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22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22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22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22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22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22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22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22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22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22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22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22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22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22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22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22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22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22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22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22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22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22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22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22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22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22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22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22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22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22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22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22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22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22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22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22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22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22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22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22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22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22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22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22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22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22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22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22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22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22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22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22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22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22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22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22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22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22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22"/>
      <c r="C148" s="5"/>
    </row>
    <row r="149" spans="1:13">
      <c r="A149" s="22"/>
      <c r="C149" s="5"/>
    </row>
    <row r="150" spans="1:13">
      <c r="A150" s="22"/>
    </row>
    <row r="151" spans="1:13">
      <c r="A151" s="22"/>
    </row>
    <row r="152" spans="1:13">
      <c r="A152" s="22"/>
    </row>
    <row r="153" spans="1:13">
      <c r="A153" s="22"/>
    </row>
    <row r="154" spans="1:13">
      <c r="A154" s="22"/>
    </row>
    <row r="155" spans="1:13">
      <c r="A155" s="22"/>
    </row>
    <row r="156" spans="1:13">
      <c r="A156" s="22"/>
    </row>
    <row r="158" spans="1:13">
      <c r="A158" s="22">
        <v>15</v>
      </c>
    </row>
    <row r="159" spans="1:13">
      <c r="A159" s="22"/>
    </row>
    <row r="160" spans="1:13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</sheetData>
  <mergeCells count="19"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  <mergeCell ref="W16:Z16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Sheet1</vt:lpstr>
      <vt:lpstr>wire or Not24</vt:lpstr>
      <vt:lpstr>Random circuit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2025-06-10T18:38:00Z</dcterms:modified>
</cp:coreProperties>
</file>