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1CA316B7-127A-2F4A-A2C1-C5180B9A79CD}" xr6:coauthVersionLast="47" xr6:coauthVersionMax="47" xr10:uidLastSave="{00000000-0000-0000-0000-000000000000}"/>
  <bookViews>
    <workbookView xWindow="0" yWindow="740" windowWidth="29400" windowHeight="18380" firstSheet="7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Sheet1" sheetId="14" r:id="rId11"/>
    <sheet name="wire or Not24" sheetId="15" r:id="rId12"/>
    <sheet name="Random circuit" sheetId="12" r:id="rId13"/>
    <sheet name="Random circuit on sota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15" l="1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Q20" i="15"/>
  <c r="Q19" i="15"/>
  <c r="Q18" i="15"/>
  <c r="Q17" i="15"/>
  <c r="Q16" i="15"/>
  <c r="Q15" i="15"/>
  <c r="Q14" i="15"/>
  <c r="Q13" i="15"/>
  <c r="Q12" i="15"/>
  <c r="Q11" i="15"/>
  <c r="Q10" i="15"/>
  <c r="K18" i="15"/>
  <c r="K17" i="15"/>
  <c r="K16" i="15"/>
  <c r="K15" i="15"/>
  <c r="K14" i="15"/>
  <c r="K13" i="15"/>
  <c r="K12" i="15"/>
  <c r="K11" i="15"/>
  <c r="K10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R27" i="12"/>
  <c r="R26" i="12"/>
  <c r="R25" i="12"/>
  <c r="R24" i="12"/>
  <c r="R23" i="12"/>
  <c r="R22" i="12"/>
  <c r="R21" i="12"/>
  <c r="R20" i="12"/>
  <c r="R19" i="12"/>
  <c r="R18" i="12"/>
  <c r="R17" i="12"/>
  <c r="R16" i="12"/>
  <c r="R15" i="12"/>
  <c r="R14" i="12"/>
  <c r="R13" i="12"/>
  <c r="R28" i="12"/>
  <c r="R29" i="12"/>
  <c r="R12" i="12"/>
  <c r="R11" i="12"/>
  <c r="R10" i="12"/>
  <c r="R9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<sst xmlns="http://schemas.openxmlformats.org/spreadsheetml/2006/main" count="174" uniqueCount="50">
  <si>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</si>
  <si>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</si>
  <si>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</si>
  <si>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</si>
  <si>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</si>
  <si>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</si>
  <si>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</si>
  <si>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</si>
  <si>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</si>
  <si>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</si>
  <si>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</si>
  <si>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</si>
  <si>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</si>
  <si>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</si>
  <si>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</si>
  <si>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</si>
  <si>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</si>
  <si>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</si>
  <si>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</si>
  <si>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</si>
  <si>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</si>
  <si>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</si>
  <si>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</si>
  <si>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</si>
  <si>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</si>
  <si>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</si>
  <si>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</si>
  <si>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</si>
  <si>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</si>
  <si>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</si>
  <si>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</si>
  <si>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</si>
  <si>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</si>
  <si>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</si>
  <si>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</si>
  <si>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</si>
  <si>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</si>
  <si>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</si>
  <si>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</si>
  <si>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new</t>
    <phoneticPr fontId="1"/>
  </si>
  <si>
    <t>qubits</t>
    <phoneticPr fontId="1"/>
  </si>
  <si>
    <t>or single</t>
    <phoneticPr fontId="1"/>
  </si>
  <si>
    <t>parallel layer ( bottom up)</t>
    <phoneticPr fontId="1"/>
  </si>
  <si>
    <t>random2</t>
    <phoneticPr fontId="1"/>
  </si>
  <si>
    <t>main</t>
    <phoneticPr fontId="1"/>
  </si>
  <si>
    <t>wire</t>
    <phoneticPr fontId="1"/>
  </si>
  <si>
    <t>random4</t>
    <phoneticPr fontId="1"/>
  </si>
  <si>
    <t>randomRotate</t>
    <phoneticPr fontId="1"/>
  </si>
  <si>
    <t>full wire</t>
    <phoneticPr fontId="1"/>
  </si>
  <si>
    <t>0edge optimize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</si>
</sst>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176" fontId="0" fillId="0" borderId="0" xfId="2" applyNumberFormat="1" applyFont="1">
      <alignment vertical="center"/>
    </xf>
    <xf numFmtId="38" fontId="0" fillId="0" borderId="3" xfId="2" applyFont="1" applyBorder="1">
      <alignment vertical="center"/>
    </xf>
    <xf numFmtId="38" fontId="0" fillId="0" borderId="4" xfId="2" applyFont="1" applyBorder="1">
      <alignment vertical="center"/>
    </xf>
    <xf numFmtId="38" fontId="0" fillId="0" borderId="2" xfId="2" applyFont="1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2" fontId="0" fillId="0" borderId="0" xfId="0" applyNumberFormat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8" t="s">
        <v>7</v>
      </c>
      <c r="G2" s="18"/>
      <c r="H2" s="18"/>
      <c r="I2" s="18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86A-A421-C941-9E3F-CF045775AB89}">
  <dimension ref="A1:AD26"/>
  <sheetViews>
    <sheetView zoomScaleNormal="100" workbookViewId="0">
      <selection activeCell="C17" sqref="C17"/>
    </sheetView>
  </sheetViews>
  <sheetFormatPr baseColWidth="10" defaultRowHeight="20"/>
  <cols>
    <col min="1" max="1" width="10.7109375" style="14"/>
    <col min="2" max="2" width="22.28515625" style="17" bestFit="1" customWidth="1"/>
    <col min="3" max="3" width="12" style="14" bestFit="1" customWidth="1"/>
    <col min="4" max="16384" width="10.7109375" style="14"/>
  </cols>
  <sheetData>
    <row r="1" spans="1:30">
      <c r="B1" s="17" t="s">
        <v>42</v>
      </c>
    </row>
    <row r="2" spans="1:30">
      <c r="B2" s="17" t="s">
        <v>41</v>
      </c>
    </row>
    <row r="3" spans="1:30" s="15" customFormat="1">
      <c r="A3" s="15" t="s">
        <v>40</v>
      </c>
      <c r="B3" s="16"/>
      <c r="C3" s="15">
        <v>0</v>
      </c>
      <c r="D3" s="15">
        <v>1</v>
      </c>
      <c r="E3" s="15">
        <v>2</v>
      </c>
      <c r="F3" s="15">
        <v>3</v>
      </c>
      <c r="G3" s="15">
        <v>4</v>
      </c>
      <c r="H3" s="15">
        <v>5</v>
      </c>
      <c r="I3" s="15">
        <v>6</v>
      </c>
      <c r="J3" s="15">
        <v>7</v>
      </c>
      <c r="K3" s="15">
        <v>8</v>
      </c>
      <c r="L3" s="15">
        <v>9</v>
      </c>
      <c r="M3" s="15">
        <v>10</v>
      </c>
      <c r="N3" s="15">
        <v>11</v>
      </c>
      <c r="O3" s="15">
        <v>12</v>
      </c>
      <c r="P3" s="15">
        <v>13</v>
      </c>
      <c r="Q3" s="15">
        <v>14</v>
      </c>
      <c r="R3" s="15">
        <v>15</v>
      </c>
      <c r="S3" s="15">
        <v>16</v>
      </c>
      <c r="T3" s="15">
        <v>17</v>
      </c>
      <c r="U3" s="15">
        <v>18</v>
      </c>
      <c r="V3" s="15">
        <v>19</v>
      </c>
      <c r="W3" s="15">
        <v>20</v>
      </c>
      <c r="X3" s="15">
        <v>21</v>
      </c>
      <c r="Y3" s="15">
        <v>22</v>
      </c>
      <c r="Z3" s="15">
        <v>23</v>
      </c>
      <c r="AA3" s="15">
        <v>24</v>
      </c>
      <c r="AB3" s="15">
        <v>25</v>
      </c>
      <c r="AC3" s="15">
        <v>26</v>
      </c>
      <c r="AD3" s="15">
        <v>27</v>
      </c>
    </row>
    <row r="4" spans="1:30">
      <c r="B4" s="17">
        <v>1</v>
      </c>
      <c r="C4" s="14">
        <f>AVERAGE(94.8011,95.4352,96.8644,96.4634,95.7454)</f>
        <v>95.861900000000006</v>
      </c>
    </row>
    <row r="5" spans="1:30">
      <c r="B5" s="17">
        <v>2</v>
      </c>
      <c r="C5" s="14">
        <f>AVERAGE(96.6272,97.0965,97.3749,97.1821,96.8055)</f>
        <v>97.017240000000001</v>
      </c>
    </row>
    <row r="6" spans="1:30">
      <c r="B6" s="17">
        <v>3</v>
      </c>
      <c r="C6" s="14">
        <f>AVERAGE(103.597,100.022,101.816,103.154,101.992)</f>
        <v>102.11620000000001</v>
      </c>
    </row>
    <row r="7" spans="1:30">
      <c r="B7" s="17">
        <v>4</v>
      </c>
      <c r="C7" s="14">
        <f>AVERAGE(110.744,109.625,111.394,111.633,112.021)</f>
        <v>111.08340000000001</v>
      </c>
    </row>
    <row r="8" spans="1:30">
      <c r="B8" s="17">
        <v>5</v>
      </c>
      <c r="C8" s="14">
        <f>AVERAGE(124.432,124.536,126.529,126.023,124.593)</f>
        <v>125.22259999999999</v>
      </c>
    </row>
    <row r="9" spans="1:30">
      <c r="B9" s="17">
        <v>6</v>
      </c>
      <c r="C9" s="14">
        <f>AVERAGE(196.128,189.646,185.284,186.701,187.546)</f>
        <v>189.06100000000001</v>
      </c>
    </row>
    <row r="10" spans="1:30">
      <c r="B10" s="17">
        <v>7</v>
      </c>
      <c r="C10" s="14">
        <f>AVERAGE(354.771,345.987,367.2,319.582,369.853)</f>
        <v>351.47860000000003</v>
      </c>
    </row>
    <row r="11" spans="1:30">
      <c r="B11" s="17">
        <v>8</v>
      </c>
      <c r="C11" s="14">
        <f>AVERAGE(844.623,824.134890938,846.782,883.757,841.958)</f>
        <v>848.25097818760003</v>
      </c>
    </row>
    <row r="12" spans="1:30">
      <c r="B12" s="17">
        <v>9</v>
      </c>
      <c r="C12" s="14">
        <f>AVERAGE(2424.82,2483.44,2501.68,2536.87)</f>
        <v>2486.7025000000003</v>
      </c>
    </row>
    <row r="13" spans="1:30">
      <c r="B13" s="17">
        <v>10</v>
      </c>
      <c r="C13" s="14">
        <f>AVERAGE(8037.91,7854.77,8291.66,8065.23,8118.73)</f>
        <v>8073.6600000000008</v>
      </c>
    </row>
    <row r="14" spans="1:30">
      <c r="B14" s="17">
        <v>11</v>
      </c>
      <c r="C14" s="14">
        <f>AVERAGE(37685.5,38249.5,39260.2,38610.8,37995.1)</f>
        <v>38360.22</v>
      </c>
    </row>
    <row r="15" spans="1:30">
      <c r="B15" s="17">
        <v>12</v>
      </c>
      <c r="C15" s="14">
        <f>AVERAGE(188920,191994,189476,197762,201768)</f>
        <v>193984</v>
      </c>
    </row>
    <row r="16" spans="1:30">
      <c r="B16" s="17">
        <v>13</v>
      </c>
      <c r="C16" s="14">
        <f>AVERAGE(7372320)</f>
        <v>7372320</v>
      </c>
    </row>
    <row r="17" spans="2:2">
      <c r="B17" s="17">
        <v>14</v>
      </c>
    </row>
    <row r="18" spans="2:2">
      <c r="B18" s="17">
        <v>15</v>
      </c>
    </row>
    <row r="19" spans="2:2">
      <c r="B19" s="17">
        <v>16</v>
      </c>
    </row>
    <row r="20" spans="2:2">
      <c r="B20" s="17">
        <v>17</v>
      </c>
    </row>
    <row r="21" spans="2:2">
      <c r="B21" s="17">
        <v>18</v>
      </c>
    </row>
    <row r="22" spans="2:2">
      <c r="B22" s="17">
        <v>19</v>
      </c>
    </row>
    <row r="23" spans="2:2">
      <c r="B23" s="17">
        <v>20</v>
      </c>
    </row>
    <row r="24" spans="2:2">
      <c r="B24" s="17">
        <v>21</v>
      </c>
    </row>
    <row r="25" spans="2:2">
      <c r="B25" s="17">
        <v>22</v>
      </c>
    </row>
    <row r="26" spans="2:2">
      <c r="B26" s="17">
        <v>23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D2FE-1783-1C43-BEC1-A1CD991D81CC}">
  <dimension ref="F8:Q30"/>
  <sheetViews>
    <sheetView tabSelected="1" topLeftCell="J6" zoomScale="150" workbookViewId="0">
      <selection activeCell="R20" sqref="R20"/>
    </sheetView>
  </sheetViews>
  <sheetFormatPr baseColWidth="10" defaultRowHeight="20"/>
  <cols>
    <col min="16" max="16" width="14" bestFit="1" customWidth="1"/>
  </cols>
  <sheetData>
    <row r="8" spans="6:17">
      <c r="G8" s="18" t="s">
        <v>43</v>
      </c>
      <c r="H8" s="18"/>
      <c r="J8" s="18" t="s">
        <v>46</v>
      </c>
      <c r="K8" s="18"/>
      <c r="O8" s="18" t="s">
        <v>47</v>
      </c>
      <c r="P8" s="18"/>
      <c r="Q8" s="18"/>
    </row>
    <row r="9" spans="6:17">
      <c r="G9" t="s">
        <v>44</v>
      </c>
      <c r="H9" t="s">
        <v>45</v>
      </c>
      <c r="J9" t="s">
        <v>44</v>
      </c>
      <c r="K9" t="s">
        <v>45</v>
      </c>
      <c r="O9" t="s">
        <v>44</v>
      </c>
      <c r="P9" t="s">
        <v>49</v>
      </c>
      <c r="Q9" t="s">
        <v>48</v>
      </c>
    </row>
    <row r="10" spans="6:17">
      <c r="F10">
        <v>2</v>
      </c>
      <c r="G10" s="23">
        <f>AVERAGE(30.4371,30.7419, 30.599,32.2867,30.4039)</f>
        <v>30.893720000000002</v>
      </c>
      <c r="H10" s="23">
        <f>AVERAGE(30.21, 30.0486, 29.7054, 29.9983, 30.4106)</f>
        <v>30.074579999999997</v>
      </c>
      <c r="I10" s="23"/>
      <c r="J10" s="23">
        <f>AVERAGE(33.1282, 33.5901, 33.359, 34.5387, 33.4823)</f>
        <v>33.619660000000003</v>
      </c>
      <c r="K10" s="23">
        <f>AVERAGE(34.0071, 34.0012, 33.8874, 33.4796, 33.0286)</f>
        <v>33.680779999999992</v>
      </c>
      <c r="N10">
        <v>2</v>
      </c>
      <c r="O10" s="23">
        <f>AVERAGE(34.1637, 32.2673, 32.7236, 33.504, 33.4666)</f>
        <v>33.225039999999993</v>
      </c>
      <c r="P10" s="23">
        <f>AVERAGE(34.0429, 33.7438, 34.0278, 33.5255, 33.6129)</f>
        <v>33.790579999999999</v>
      </c>
      <c r="Q10" s="23">
        <f>AVERAGE(32.6347, 32.6913, 33.4424, 32.5906, 33.5494)</f>
        <v>32.981679999999997</v>
      </c>
    </row>
    <row r="11" spans="6:17">
      <c r="F11">
        <v>3</v>
      </c>
      <c r="G11" s="23">
        <f>AVERAGE(32.4899, 32.6455, 32.5941, 32.4478,31.962)</f>
        <v>32.427859999999995</v>
      </c>
      <c r="H11" s="23">
        <f>AVERAGE(30.2969, 30.557, 30.0877, 30.5792, 30.5289)</f>
        <v>30.409939999999999</v>
      </c>
      <c r="I11" s="23"/>
      <c r="J11" s="23">
        <f>AVERAGE(40.472, 40.2379, 41.084, 40.6164, 40.8477)</f>
        <v>40.651600000000002</v>
      </c>
      <c r="K11" s="23">
        <f>AVERAGE(45.3439, 45.0259, 45.0335, 44.3652, 44.0755)</f>
        <v>44.768800000000006</v>
      </c>
      <c r="N11">
        <v>3</v>
      </c>
      <c r="O11" s="23">
        <f>AVERAGE(38.1762, 39.4314, 39.2782, 38.8014, 41.3187)</f>
        <v>39.401179999999997</v>
      </c>
      <c r="P11" s="23">
        <f>AVERAGE(39.7695, 38.7944, 39.3964, 39.1195, 39.4946)</f>
        <v>39.314880000000002</v>
      </c>
      <c r="Q11" s="23">
        <f>AVERAGE(40.3342, 39.0578, 40.0329, 40.6143, 40.3188)</f>
        <v>40.071600000000004</v>
      </c>
    </row>
    <row r="12" spans="6:17">
      <c r="F12">
        <v>4</v>
      </c>
      <c r="G12" s="23">
        <f>AVERAGE(33.9835, 34.4651, 34.4085, 34.2331, 34.6994)</f>
        <v>34.35792</v>
      </c>
      <c r="H12" s="23">
        <f>AVERAGE(29.5622, 29.4853, 30.9691, 30.2415, 30.2341)</f>
        <v>30.09844</v>
      </c>
      <c r="I12" s="23"/>
      <c r="J12" s="23">
        <f>AVERAGE(53.3832, 53.3973, 53.1006, 52.267, 53.0044)</f>
        <v>53.030499999999996</v>
      </c>
      <c r="K12" s="23">
        <f>AVERAGE(82.8706, 82.3914, 80.476, 82.3184, 81.6488)</f>
        <v>81.941040000000001</v>
      </c>
      <c r="N12">
        <v>4</v>
      </c>
      <c r="O12" s="23">
        <f>AVERAGE(50.2432, 50.2874, 49.4059, 50.6884, 47.2385)</f>
        <v>49.572680000000005</v>
      </c>
      <c r="P12" s="23">
        <f>AVERAGE(48.2694, 49.5463, 51.3109, 48.7988, 52.0928)</f>
        <v>50.003639999999997</v>
      </c>
      <c r="Q12" s="23">
        <f>AVERAGE(62.5954, 56.555, 58.7089, 58.0618, 56.3008)</f>
        <v>58.444380000000002</v>
      </c>
    </row>
    <row r="13" spans="6:17">
      <c r="F13">
        <v>5</v>
      </c>
      <c r="G13" s="23">
        <f>AVERAGE( 36.7081, 37.428, 37.1244, 36.6683, 35.1524)</f>
        <v>36.616240000000005</v>
      </c>
      <c r="H13" s="23">
        <f>AVERAGE(30.7867, 31.1235, 29.9504, 30.1389, 29.814)</f>
        <v>30.3627</v>
      </c>
      <c r="I13" s="23"/>
      <c r="J13" s="23">
        <f>AVERAGE(74.4368, 77.4731, 76.9034, 73.913, 74.7002)</f>
        <v>75.485299999999995</v>
      </c>
      <c r="K13" s="23">
        <f>AVERAGE(187.788, 193.991, 176.797, 198.008, 178.672)</f>
        <v>187.05120000000002</v>
      </c>
      <c r="N13">
        <v>5</v>
      </c>
      <c r="O13" s="23">
        <f>AVERAGE(68.3003, 67.8745, 67.5458, 68.7938, 67.1056)</f>
        <v>67.924000000000007</v>
      </c>
      <c r="P13" s="23">
        <f>AVERAGE(64.4004, 67.1313, 66.0742, 68.5767, 67.4068)</f>
        <v>66.717880000000008</v>
      </c>
      <c r="Q13" s="23">
        <f>AVERAGE(120.454, 107.658, 101.604, 117.367, 95.485)</f>
        <v>108.5136</v>
      </c>
    </row>
    <row r="14" spans="6:17">
      <c r="F14">
        <v>6</v>
      </c>
      <c r="G14" s="23">
        <f>AVERAGE(38.1581, 38.6939, 37.3726, 38.7544, 39.2757)</f>
        <v>38.450940000000003</v>
      </c>
      <c r="H14" s="23">
        <f>AVERAGE(29.7413, 29.2857, 30.3178, 30.5892, 29.8897)</f>
        <v>29.964739999999999</v>
      </c>
      <c r="I14" s="23"/>
      <c r="J14" s="23">
        <f>AVERAGE(120.43, 117.054, 121.164, 121.045, 122.911)</f>
        <v>120.52080000000001</v>
      </c>
      <c r="K14" s="23">
        <f>AVERAGE(554.496, 618.91, 570.524, 520.915, 559.363)</f>
        <v>564.84159999999997</v>
      </c>
      <c r="N14">
        <v>6</v>
      </c>
      <c r="O14" s="23">
        <f>AVERAGE(103.607, 99.8519, 101.838, 97.9061, 106.217)</f>
        <v>101.88399999999999</v>
      </c>
      <c r="P14" s="23">
        <f>AVERAGE(98.0032, 99.3132, 100.708, 100.182, 97.9073)</f>
        <v>99.222740000000016</v>
      </c>
      <c r="Q14" s="23">
        <f>AVERAGE(298.365, 273.605, 206.552, 232.137, 219.992)</f>
        <v>246.1302</v>
      </c>
    </row>
    <row r="15" spans="6:17">
      <c r="F15">
        <v>7</v>
      </c>
      <c r="G15" s="23">
        <f>AVERAGE(39.9082, 39.4287, 39.2895, 39.5035, 38.2382)</f>
        <v>39.273620000000001</v>
      </c>
      <c r="H15" s="23">
        <f>AVERAGE(31.3959, 30.1763, 30.3852, 30.3744, 30.3297)</f>
        <v>30.532300000000003</v>
      </c>
      <c r="I15" s="23"/>
      <c r="J15" s="23">
        <f>AVERAGE(198.965, 202.506, 205.588, 204.787, 210.464)</f>
        <v>204.46199999999999</v>
      </c>
      <c r="K15" s="23">
        <f>AVERAGE(1738.36, 1778.14, 1871.71, 1833.9, 1952.99)</f>
        <v>1835.02</v>
      </c>
      <c r="N15">
        <v>7</v>
      </c>
      <c r="O15">
        <f>AVERAGE(173.3, 171.633, 164.672, 161.583, 178.262)</f>
        <v>169.89000000000001</v>
      </c>
      <c r="P15" s="23">
        <f>AVERAGE(163.106, 140.972, 155.086, 169.582, 165.541)</f>
        <v>158.85740000000001</v>
      </c>
      <c r="Q15" s="23">
        <f>AVERAGE(714.319, 697.778, 809.523, 556.542, 705.126)</f>
        <v>696.65759999999989</v>
      </c>
    </row>
    <row r="16" spans="6:17">
      <c r="F16">
        <v>8</v>
      </c>
      <c r="G16" s="23">
        <f>AVERAGE(44.3706, 42.3441, 41.1531, 44.2283, 42.3363)</f>
        <v>42.886479999999992</v>
      </c>
      <c r="H16" s="23">
        <f>AVERAGE(30.1698, 30.2739, 30.8566, 30.992, 29.7696)</f>
        <v>30.412380000000002</v>
      </c>
      <c r="I16" s="23"/>
      <c r="J16" s="23">
        <f>AVERAGE(373.275, 386.774, 367.57, 370.903, 370.099)</f>
        <v>373.7242</v>
      </c>
      <c r="K16" s="23">
        <f>AVERAGE(7038.1, 8608.35, 7850.25, 7016.03, 7983.76)</f>
        <v>7699.2979999999998</v>
      </c>
      <c r="N16">
        <v>8</v>
      </c>
      <c r="O16" s="23">
        <f>AVERAGE(262.27, 259.038, 305.538, 297.739, 262.597)</f>
        <v>277.43639999999999</v>
      </c>
      <c r="P16" s="23">
        <f>AVERAGE(272.253, 287.209, 229.999, 274.419, 266.629)</f>
        <v>266.10180000000003</v>
      </c>
      <c r="Q16" s="23">
        <f>AVERAGE(1368.99, 2063.35, 2308.13, 1921.38, 1579.32)</f>
        <v>1848.2339999999999</v>
      </c>
    </row>
    <row r="17" spans="6:17">
      <c r="F17">
        <v>9</v>
      </c>
      <c r="G17" s="23">
        <f>AVERAGE(43.3314, 42.937, 43.6744, 43.5675, 43.7881)</f>
        <v>43.459680000000006</v>
      </c>
      <c r="H17" s="23">
        <f>AVERAGE(29.5076, 30.5303, 30.9564, 30.0291, 30.3688)</f>
        <v>30.27844</v>
      </c>
      <c r="I17" s="23"/>
      <c r="J17" s="23">
        <f>AVERAGE(692.32, 634.02, 702.058, 658.267, 698.848)</f>
        <v>677.10259999999994</v>
      </c>
      <c r="K17" s="23">
        <f>AVERAGE(28023.1, 25907.9, 24291.7,  28182.1, 25078.7)</f>
        <v>26296.7</v>
      </c>
      <c r="N17">
        <v>9</v>
      </c>
      <c r="O17" s="23">
        <f>AVERAGE(545.382, 500.703, 550.104, 490.605, 496.53)</f>
        <v>516.6647999999999</v>
      </c>
      <c r="P17" s="23">
        <f>AVERAGE(516.14, 467.922, 530.365, 513.07, 465.868)</f>
        <v>498.67300000000006</v>
      </c>
      <c r="Q17" s="23">
        <f>AVERAGE(8561.89, 4317.24, 8098.28, 4945.32, 3327.28)</f>
        <v>5850.0019999999995</v>
      </c>
    </row>
    <row r="18" spans="6:17">
      <c r="F18">
        <v>10</v>
      </c>
      <c r="G18" s="23">
        <f>AVERAGE(44.7299,  45.6662, 46.1342, 46.4101, 45.4828)</f>
        <v>45.684640000000002</v>
      </c>
      <c r="H18" s="23">
        <f>AVERAGE(30.6146, 30.7106, 30.6581, 30.8273, 31.8231)</f>
        <v>30.926740000000002</v>
      </c>
      <c r="I18" s="23"/>
      <c r="J18" s="23">
        <f>AVERAGE(1407.32, 1274.56, 1273.78, 1334.78, 1334.39)</f>
        <v>1324.9659999999999</v>
      </c>
      <c r="K18" s="23">
        <f>AVERAGE(120211)</f>
        <v>120211</v>
      </c>
      <c r="N18">
        <v>10</v>
      </c>
      <c r="O18" s="23">
        <f>AVERAGE(917.467, 1099.66, 982.311, 849.19, 1120.07)</f>
        <v>993.73960000000011</v>
      </c>
      <c r="P18" s="23">
        <f>AVERAGE(786.142, 861.958, 865.172, 1010.84, 979.433)</f>
        <v>900.70900000000006</v>
      </c>
      <c r="Q18" s="23">
        <f>AVERAGE(14499.2, 19729.4, 21032.2, 28495.9, 22840.3)</f>
        <v>21319.4</v>
      </c>
    </row>
    <row r="19" spans="6:17">
      <c r="F19">
        <v>11</v>
      </c>
      <c r="G19" s="23">
        <f>AVERAGE(46.8974, 45.8496, 46.4139, 47.2316, 45.5435)</f>
        <v>46.387199999999993</v>
      </c>
      <c r="H19" s="23">
        <f>AVERAGE(29.8837, 31.4485, 30.6248, 31.0598, 30.4262)</f>
        <v>30.688599999999997</v>
      </c>
      <c r="I19" s="23"/>
      <c r="J19" s="23">
        <f>AVERAGE(2540.5, 2486, 2639.09, 2415.95, 2675.55)</f>
        <v>2551.4180000000001</v>
      </c>
      <c r="K19" s="23"/>
      <c r="N19">
        <v>11</v>
      </c>
      <c r="O19" s="23">
        <f>AVERAGE(1711.07, 1790.24, 1908.55, 1809.32, 1729.7)</f>
        <v>1789.7759999999998</v>
      </c>
      <c r="P19" s="23">
        <f>AVERAGE(1577.58, 1664.44, 1908.88, 1779.96, 1755.47)</f>
        <v>1737.2660000000001</v>
      </c>
      <c r="Q19" s="23">
        <f>AVERAGE(84195.4, 42528.6, 109868, 47490.3, 76020)</f>
        <v>72020.459999999992</v>
      </c>
    </row>
    <row r="20" spans="6:17">
      <c r="F20">
        <v>12</v>
      </c>
      <c r="G20" s="23">
        <f>AVERAGE(48.6259, 47.8993, 49.0802, 48.5559, 48.9076)</f>
        <v>48.613780000000006</v>
      </c>
      <c r="H20" s="23">
        <f>AVERAGE(31.5032, 30.963, 30.0797, 30.9291, 31.447)</f>
        <v>30.984400000000001</v>
      </c>
      <c r="I20" s="23"/>
      <c r="J20" s="23">
        <f>AVERAGE(4775.7, 5015.67, 5248.95, 4612.62, 5171.2)</f>
        <v>4964.8279999999995</v>
      </c>
      <c r="K20" s="23"/>
      <c r="N20">
        <v>12</v>
      </c>
      <c r="O20" s="23">
        <f>AVERAGE(3752.81, 3484.35, 3640.35, 3580.24, 3501.21)</f>
        <v>3591.7919999999999</v>
      </c>
      <c r="P20" s="23">
        <f>AVERAGE(3506.69, 3329.36, 3584.14, 3625.45, 3002.63)</f>
        <v>3409.654</v>
      </c>
      <c r="Q20" s="23">
        <f>AVERAGE( 313214, 353633, 334338, 199480, 278140)</f>
        <v>295761</v>
      </c>
    </row>
    <row r="21" spans="6:17">
      <c r="F21">
        <v>13</v>
      </c>
      <c r="G21" s="23">
        <f>AVERAGE(49.2932, 51.9771, 52.0567, 48.4579, 50.1339)</f>
        <v>50.383759999999995</v>
      </c>
      <c r="H21" s="23">
        <f>AVERAGE(31.9134, 30.5519, 31.6042, 32.0951, 30.0383)</f>
        <v>31.240580000000001</v>
      </c>
      <c r="I21" s="23"/>
      <c r="J21" s="23">
        <f>AVERAGE(8913.36, 10089.2, 9400.44, 10276.1, 9840.28)</f>
        <v>9703.8760000000002</v>
      </c>
      <c r="K21" s="23"/>
      <c r="N21">
        <v>13</v>
      </c>
      <c r="O21" s="23">
        <f>AVERAGE(7886.52, 5676.11, 5898.29, 6044.62, 8089.14)</f>
        <v>6718.9359999999997</v>
      </c>
      <c r="P21" s="23">
        <f>AVERAGE(5378.07, 4967.34, 7066.21, 6829.19, 6741.83)</f>
        <v>6196.5280000000002</v>
      </c>
      <c r="Q21" s="23"/>
    </row>
    <row r="22" spans="6:17">
      <c r="F22">
        <v>14</v>
      </c>
      <c r="G22" s="23">
        <f>AVERAGE(51.6885, 52.1835, 51.2097, 51.2005, 53.4425)</f>
        <v>51.94494000000001</v>
      </c>
      <c r="H22" s="23">
        <f>AVERAGE(29.762, 31.6446, 31.1495, 30.772, 31.4729)</f>
        <v>30.960200000000004</v>
      </c>
      <c r="I22" s="23"/>
      <c r="J22" s="23">
        <f>AVERAGE(18731.7, 19567.6, 20475, 17732.2, 20983.7)</f>
        <v>19498.04</v>
      </c>
      <c r="K22" s="23"/>
      <c r="N22">
        <v>14</v>
      </c>
      <c r="O22" s="23">
        <f>AVERAGE(16087.3, 11199.8, 10465.6, 16440.2, 14612.8)</f>
        <v>13761.14</v>
      </c>
      <c r="P22" s="23">
        <f>AVERAGE(12645.3, 11631.9, 12335.8, 15978.4, 9859.07)</f>
        <v>12490.094000000001</v>
      </c>
      <c r="Q22" s="23"/>
    </row>
    <row r="23" spans="6:17">
      <c r="F23">
        <v>15</v>
      </c>
      <c r="G23" s="23">
        <f>AVERAGE(52.2706, 52.1033, 54.3101, 52.9445, 51.3055)</f>
        <v>52.586800000000004</v>
      </c>
      <c r="H23" s="23">
        <f>AVERAGE(30.4501, 30.9794, 31.2893, 31.6911, 31.1669)</f>
        <v>31.115359999999999</v>
      </c>
      <c r="I23" s="23"/>
      <c r="J23" s="23">
        <f>AVERAGE(41447.4, 43988.5, 41128.8, 40158.4, 44239.2)</f>
        <v>42192.46</v>
      </c>
      <c r="K23" s="23"/>
      <c r="N23">
        <v>15</v>
      </c>
      <c r="O23" s="23">
        <f>AVERAGE(37221.2, 30014.3, 32361, 26579.2, 30884.3)</f>
        <v>31412</v>
      </c>
      <c r="P23" s="23">
        <f>AVERAGE(30435.4, 24004.2, 27906.6, 23018.3, 26048.2)</f>
        <v>26282.54</v>
      </c>
      <c r="Q23" s="23"/>
    </row>
    <row r="24" spans="6:17">
      <c r="F24">
        <v>16</v>
      </c>
      <c r="G24" s="23">
        <f>AVERAGE(56.7791, 55.2905, 55.4975, 55.9323, 56.8524)</f>
        <v>56.070360000000008</v>
      </c>
      <c r="H24" s="23"/>
      <c r="I24" s="23"/>
      <c r="J24" s="23">
        <f>AVERAGE(140917, 83258.7, 97855.3, 114007, 84992.8)</f>
        <v>104206.16</v>
      </c>
      <c r="K24" s="23"/>
      <c r="N24">
        <v>16</v>
      </c>
      <c r="O24" s="23">
        <f>AVERAGE(58288.3, 45319.4, 64321.4, 69176.7, 90052.8)</f>
        <v>65431.719999999994</v>
      </c>
      <c r="P24" s="23">
        <f>AVERAGE(57136.3, 53015.1, 57277.4, 51994, 65682.6)</f>
        <v>57021.08</v>
      </c>
      <c r="Q24" s="23"/>
    </row>
    <row r="25" spans="6:17">
      <c r="F25">
        <v>17</v>
      </c>
      <c r="G25" s="23">
        <f>AVERAGE(58.5202, 58.1155, 57.9768, 55.8216, 58.9872)</f>
        <v>57.884259999999998</v>
      </c>
      <c r="H25" s="23"/>
      <c r="I25" s="23"/>
      <c r="J25" s="23">
        <f>AVERAGE(276913, 172963)</f>
        <v>224938</v>
      </c>
      <c r="K25" s="23"/>
      <c r="N25">
        <v>17</v>
      </c>
      <c r="O25" s="23">
        <f>AVERAGE(121731, 197358, 150400, 122788, 162034)</f>
        <v>150862.20000000001</v>
      </c>
      <c r="P25" s="23">
        <f>AVERAGE(118258, 115165, 130310, 93424, 98847.1)</f>
        <v>111200.81999999999</v>
      </c>
      <c r="Q25" s="23"/>
    </row>
    <row r="26" spans="6:17">
      <c r="F26">
        <v>18</v>
      </c>
      <c r="G26" s="23">
        <f>AVERAGE(58.557, 58.6482, 57.9507, 61.1638, 58.2993)</f>
        <v>58.923800000000007</v>
      </c>
      <c r="H26" s="23"/>
      <c r="I26" s="23"/>
      <c r="J26" s="23"/>
      <c r="K26" s="23"/>
      <c r="N26">
        <v>18</v>
      </c>
      <c r="O26" s="23"/>
      <c r="P26" s="23"/>
      <c r="Q26" s="23"/>
    </row>
    <row r="27" spans="6:17">
      <c r="F27">
        <v>19</v>
      </c>
      <c r="G27" s="23">
        <f>AVERAGE(59.5569, 62.2508, 60.907, 60.8009, 56.9841)</f>
        <v>60.099940000000004</v>
      </c>
      <c r="H27" s="23"/>
      <c r="I27" s="23"/>
      <c r="J27" s="23"/>
      <c r="K27" s="23"/>
      <c r="N27">
        <v>19</v>
      </c>
      <c r="O27" s="23"/>
      <c r="P27" s="23"/>
      <c r="Q27" s="23"/>
    </row>
    <row r="28" spans="6:17">
      <c r="F28">
        <v>20</v>
      </c>
      <c r="G28" s="23">
        <f>AVERAGE(61.8693, 66.5654, 64.9043, 62.3259, 64.5053)</f>
        <v>64.034040000000005</v>
      </c>
      <c r="H28" s="23"/>
      <c r="I28" s="23"/>
      <c r="J28" s="23"/>
      <c r="K28" s="23"/>
      <c r="N28">
        <v>20</v>
      </c>
      <c r="O28" s="23"/>
      <c r="P28" s="23"/>
    </row>
    <row r="29" spans="6:17">
      <c r="F29">
        <v>21</v>
      </c>
      <c r="G29" s="23">
        <f>AVERAGE(66.0514, 65.0641, 63.4008, 65.8043, 63.2549)</f>
        <v>64.715100000000007</v>
      </c>
      <c r="H29" s="23"/>
      <c r="I29" s="23"/>
      <c r="J29" s="23"/>
      <c r="K29" s="23"/>
      <c r="N29">
        <v>21</v>
      </c>
      <c r="O29" s="23"/>
      <c r="P29" s="23"/>
    </row>
    <row r="30" spans="6:17">
      <c r="F30">
        <v>22</v>
      </c>
      <c r="G30" s="23">
        <f>AVERAGE(67.5743, 65.5693, 67.2018, 66.5036, 66.5754)</f>
        <v>66.684879999999993</v>
      </c>
      <c r="H30" s="23"/>
      <c r="I30" s="23"/>
      <c r="J30" s="23"/>
      <c r="K30" s="23"/>
      <c r="O30" s="23"/>
      <c r="P30" s="23"/>
    </row>
  </sheetData>
  <mergeCells count="3">
    <mergeCell ref="G8:H8"/>
    <mergeCell ref="J8:K8"/>
    <mergeCell ref="O8:Q8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75" zoomScaleNormal="40" workbookViewId="0">
      <selection activeCell="N37" sqref="N37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22" t="s">
        <v>34</v>
      </c>
      <c r="E2" s="22"/>
      <c r="F2" s="22" t="s">
        <v>33</v>
      </c>
      <c r="G2" s="22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 t="s">
        <v>39</v>
      </c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>
        <v>57.747999999999998</v>
      </c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>
        <v>58.690399999999997</v>
      </c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>
        <v>56.002699999999997</v>
      </c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>
        <v>55.289200000000001</v>
      </c>
      <c r="I7" s="6"/>
      <c r="J7" s="6"/>
      <c r="K7" s="6"/>
      <c r="L7" s="6"/>
      <c r="M7" s="6"/>
      <c r="N7" s="6"/>
      <c r="O7" s="6"/>
      <c r="P7" s="22" t="s">
        <v>32</v>
      </c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>
        <v>56.033299999999997</v>
      </c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39</v>
      </c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22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>
        <v>56.110500000000002</v>
      </c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11">
        <f>AVERAGE(H4:H13)</f>
        <v>56.580090000000006</v>
      </c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22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>
        <v>57.4529</v>
      </c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11">
        <f>AVERAGE(H15:H24)</f>
        <v>67.584090000000003</v>
      </c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22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>
        <v>55.634500000000003</v>
      </c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11" t="e">
        <f>AVERAGE(H26:H35)</f>
        <v>#DIV/0!</v>
      </c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22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>
        <v>56.550199999999997</v>
      </c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11">
        <f>AVERAGE(H37:H46)</f>
        <v>90.661159999999995</v>
      </c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22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>
        <v>56.289200000000001</v>
      </c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11" t="e">
        <f>AVERAGE(H48:H57)</f>
        <v>#DIV/0!</v>
      </c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11">
        <f>AVERAGE(H59:H68)</f>
        <v>130.47820000000002</v>
      </c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22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>
        <v>67.847499999999997</v>
      </c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11" t="e">
        <f>AVERAGE(H70:H79)</f>
        <v>#DIV/0!</v>
      </c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22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>
        <v>66.918499999999995</v>
      </c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12">
        <f>AVERAGE(H81:H90)</f>
        <v>244.21220000000002</v>
      </c>
      <c r="S16" s="12">
        <f>STDEV(C81:C90)</f>
        <v>9.5220619172296654</v>
      </c>
      <c r="T16" s="12">
        <f t="shared" ref="T16:U16" si="15">STDEV(D81:D90)</f>
        <v>10.28762983231155</v>
      </c>
      <c r="U16" s="12">
        <f t="shared" si="15"/>
        <v>5.0328222212900693</v>
      </c>
      <c r="V16" s="6"/>
      <c r="W16" s="6"/>
      <c r="X16" s="6"/>
    </row>
    <row r="17" spans="1:24">
      <c r="A17" s="22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>
        <v>69.0535</v>
      </c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12" t="e">
        <f>AVERAGE(H92:H101)</f>
        <v>#DIV/0!</v>
      </c>
      <c r="S17" s="12">
        <f>STDEV(C92:C101)</f>
        <v>22.277799194115506</v>
      </c>
      <c r="T17" s="12">
        <f t="shared" ref="T17:U17" si="17">STDEV(D92:D101)</f>
        <v>41.734209780599784</v>
      </c>
      <c r="U17" s="12">
        <f t="shared" si="17"/>
        <v>29.154403636310057</v>
      </c>
      <c r="V17" s="6"/>
      <c r="W17" s="6"/>
      <c r="X17" s="6"/>
    </row>
    <row r="18" spans="1:24">
      <c r="A18" s="22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>
        <v>67.098299999999995</v>
      </c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12">
        <f>AVERAGE(H103:H112)</f>
        <v>658.09770000000003</v>
      </c>
      <c r="S18" s="12">
        <f>STDEV(C103:C112)</f>
        <v>63.794884857991896</v>
      </c>
      <c r="T18" s="12">
        <f t="shared" ref="T18:U18" si="19">STDEV(D103:D112)</f>
        <v>49.029782037270181</v>
      </c>
      <c r="U18" s="12">
        <f t="shared" si="19"/>
        <v>70.456731821025528</v>
      </c>
      <c r="V18" s="6"/>
      <c r="W18" s="6"/>
      <c r="X18" s="6"/>
    </row>
    <row r="19" spans="1:24">
      <c r="A19" s="22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>
        <v>67.534000000000006</v>
      </c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12" t="e">
        <f>AVERAGE(H114:H123)</f>
        <v>#DIV/0!</v>
      </c>
      <c r="S19" s="12">
        <f>STDEV(C114:C123)</f>
        <v>178.71686760223832</v>
      </c>
      <c r="T19" s="12">
        <f t="shared" ref="T19:U19" si="21">STDEV(D114:D123)</f>
        <v>74.202277024061431</v>
      </c>
      <c r="U19" s="12">
        <f t="shared" si="21"/>
        <v>75.175501838475711</v>
      </c>
      <c r="V19" s="6"/>
      <c r="W19" s="6"/>
      <c r="X19" s="6"/>
    </row>
    <row r="20" spans="1:24">
      <c r="A20" s="22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>
        <v>65.857600000000005</v>
      </c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12">
        <f>AVERAGE(H125:H134)</f>
        <v>2173.4490000000005</v>
      </c>
      <c r="S20" s="12">
        <f>STDEV(C125:C134)</f>
        <v>269.19019534728807</v>
      </c>
      <c r="T20" s="12">
        <f t="shared" ref="T20:U20" si="23">STDEV(D125:D134)</f>
        <v>285.8040187805467</v>
      </c>
      <c r="U20" s="12">
        <f t="shared" si="23"/>
        <v>228.13647663916728</v>
      </c>
      <c r="V20" s="6"/>
      <c r="W20" s="6"/>
      <c r="X20" s="6"/>
    </row>
    <row r="21" spans="1:24">
      <c r="A21" s="22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>
        <v>67.323300000000003</v>
      </c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12" t="e">
        <f>AVERAGE(H136:H145)</f>
        <v>#DIV/0!</v>
      </c>
      <c r="S21" s="12">
        <f>STDEV(C136:C145)</f>
        <v>499.25884090541894</v>
      </c>
      <c r="T21" s="12">
        <f t="shared" ref="T21:U21" si="25">STDEV(D136:D145)</f>
        <v>692.38701663239704</v>
      </c>
      <c r="U21" s="12">
        <f t="shared" si="25"/>
        <v>600.69855245465146</v>
      </c>
      <c r="V21" s="6"/>
      <c r="W21" s="6"/>
      <c r="X21" s="6"/>
    </row>
    <row r="22" spans="1:24">
      <c r="A22" s="22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>
        <v>66.541899999999998</v>
      </c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12">
        <f>AVERAGE(H147:H156)</f>
        <v>7801.5590000000011</v>
      </c>
      <c r="S22" s="12">
        <f>STDEV(C147:C156)</f>
        <v>1009.692580497208</v>
      </c>
      <c r="T22" s="12">
        <f t="shared" ref="T22:U22" si="27">STDEV(D147:D156)</f>
        <v>1576.31202072011</v>
      </c>
      <c r="U22" s="12">
        <f t="shared" si="27"/>
        <v>819.44800352703533</v>
      </c>
      <c r="V22" s="6"/>
      <c r="W22" s="6"/>
      <c r="X22" s="6"/>
    </row>
    <row r="23" spans="1:24">
      <c r="A23" s="22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>
        <v>67.468199999999996</v>
      </c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12" t="e">
        <f>AVERAGE(H158:H167)</f>
        <v>#DIV/0!</v>
      </c>
      <c r="S23" s="12">
        <f>STDEV(C158:C167)</f>
        <v>5713.9643919183936</v>
      </c>
      <c r="T23" s="12">
        <f t="shared" ref="T23:U23" si="29">STDEV(D158:D167)</f>
        <v>2666.224349254112</v>
      </c>
      <c r="U23" s="12">
        <f t="shared" si="29"/>
        <v>4349.8426285837431</v>
      </c>
      <c r="V23" s="6"/>
      <c r="W23" s="6"/>
      <c r="X23" s="6"/>
    </row>
    <row r="24" spans="1:24">
      <c r="A24" s="22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>
        <v>70.198099999999997</v>
      </c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12">
        <f>AVERAGE(H169:H178)</f>
        <v>26487.57</v>
      </c>
      <c r="S24" s="12">
        <f>STDEV(C169:C178)</f>
        <v>7669.1079426851202</v>
      </c>
      <c r="T24" s="12">
        <f t="shared" ref="T24:U24" si="31">STDEV(D169:D178)</f>
        <v>9952.483202815969</v>
      </c>
      <c r="U24" s="12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12" t="e">
        <f>AVERAGE(H180:H189)</f>
        <v>#DIV/0!</v>
      </c>
      <c r="S25" s="12">
        <f>STDEV(C180:C189)</f>
        <v>15885.929978722981</v>
      </c>
      <c r="T25" s="12">
        <f t="shared" ref="T25:U25" si="33">STDEV(D180:D189)</f>
        <v>12289.111646765496</v>
      </c>
      <c r="U25" s="12">
        <f t="shared" si="33"/>
        <v>18063.94508681737</v>
      </c>
      <c r="V25" s="6"/>
      <c r="W25" s="6"/>
      <c r="X25" s="6"/>
    </row>
    <row r="26" spans="1:24">
      <c r="A26" s="22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12">
        <f>AVERAGE(H191:H200)</f>
        <v>103057.36</v>
      </c>
      <c r="S26" s="12">
        <f>STDEV(C191:C200)</f>
        <v>46690.238597234318</v>
      </c>
      <c r="T26" s="12">
        <f t="shared" ref="T26:U26" si="35">STDEV(D191:D200)</f>
        <v>48918.374528845976</v>
      </c>
      <c r="U26" s="12">
        <f t="shared" si="35"/>
        <v>35485.875800567941</v>
      </c>
      <c r="V26" s="6"/>
      <c r="W26" s="6"/>
      <c r="X26" s="6"/>
    </row>
    <row r="27" spans="1:24">
      <c r="A27" s="22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12" t="e">
        <f>AVERAGE(H202:H211)</f>
        <v>#DIV/0!</v>
      </c>
      <c r="S27" s="12">
        <f>STDEV(C202:C211)</f>
        <v>149251.34922453618</v>
      </c>
      <c r="T27" s="12">
        <f t="shared" ref="T27:U27" si="37">STDEV(D202:D211)</f>
        <v>66420.838626058467</v>
      </c>
      <c r="U27" s="12">
        <f t="shared" si="37"/>
        <v>51830.944993743309</v>
      </c>
      <c r="V27" s="6"/>
      <c r="W27" s="6"/>
      <c r="X27" s="6"/>
    </row>
    <row r="28" spans="1:24">
      <c r="A28" s="22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12" t="e">
        <f>AVERAGE(H213:H222)</f>
        <v>#DIV/0!</v>
      </c>
      <c r="S28" s="12">
        <f>STDEV(C213:C222)</f>
        <v>364135.47073614417</v>
      </c>
      <c r="T28" s="12">
        <f t="shared" ref="T28:U28" si="39">STDEV(D213:D222)</f>
        <v>184709.46945769835</v>
      </c>
      <c r="U28" s="12">
        <f t="shared" si="39"/>
        <v>169387.96590315821</v>
      </c>
      <c r="V28" s="6"/>
      <c r="W28" s="6"/>
      <c r="X28" s="6"/>
    </row>
    <row r="29" spans="1:24">
      <c r="A29" s="22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12" t="e">
        <f>AVERAGE(H224:H233)</f>
        <v>#DIV/0!</v>
      </c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22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22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22" t="s">
        <v>35</v>
      </c>
      <c r="O31" s="22"/>
      <c r="P31" s="22"/>
      <c r="Q31" s="22"/>
      <c r="S31" s="6"/>
      <c r="T31" s="6"/>
      <c r="U31" s="6"/>
      <c r="V31" s="6"/>
      <c r="W31" s="6"/>
      <c r="X31" s="6"/>
    </row>
    <row r="32" spans="1:24">
      <c r="A32" s="22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22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22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>
        <v>89.817300000000003</v>
      </c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>
        <v>90.143699999999995</v>
      </c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>
        <v>90.561499999999995</v>
      </c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>
        <v>91.9285</v>
      </c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>
        <v>92.021100000000004</v>
      </c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>
        <v>89.813699999999997</v>
      </c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>
        <v>90.129599999999996</v>
      </c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>
        <v>90.865099999999998</v>
      </c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>
        <v>92.328999999999994</v>
      </c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>
        <v>89.002099999999999</v>
      </c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>
        <v>128.904</v>
      </c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>
        <v>129.66999999999999</v>
      </c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>
        <v>135.71600000000001</v>
      </c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>
        <v>133.60900000000001</v>
      </c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>
        <v>129.666</v>
      </c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>
        <v>130.387</v>
      </c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>
        <v>129.23599999999999</v>
      </c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>
        <v>131.52099999999999</v>
      </c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>
        <v>125.02500000000001</v>
      </c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>
        <v>131.048</v>
      </c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>
        <v>228.71899999999999</v>
      </c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>
        <v>253.48699999999999</v>
      </c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>
        <v>232.40899999999999</v>
      </c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>
        <v>240.18299999999999</v>
      </c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>
        <v>240.352</v>
      </c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>
        <v>244.73099999999999</v>
      </c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>
        <v>252.51499999999999</v>
      </c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>
        <v>241.11199999999999</v>
      </c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>
        <v>259.363</v>
      </c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>
        <v>249.251</v>
      </c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>
        <v>693.23699999999997</v>
      </c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>
        <v>718.23</v>
      </c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>
        <v>636.73400000000004</v>
      </c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>
        <v>665.47799999999995</v>
      </c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>
        <v>630.96799999999996</v>
      </c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>
        <v>591.33100000000002</v>
      </c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>
        <v>575.93799999999999</v>
      </c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>
        <v>681.24199999999996</v>
      </c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>
        <v>698.279</v>
      </c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>
        <v>689.54</v>
      </c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>
        <v>2117.33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>
        <v>2200.54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>
        <v>2198.67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>
        <v>2119.31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>
        <v>2335.4499999999998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>
        <v>2266.9499999999998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>
        <v>1956.33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>
        <v>2074.23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>
        <v>2340.67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>
        <v>2125.0100000000002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>
        <v>6084.11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>
        <v>8694.4500000000007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>
        <v>7477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>
        <v>9257.2000000000007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>
        <v>7734.89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>
        <v>8199.7800000000007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>
        <v>7649.35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>
        <v>7179.36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>
        <v>7985.49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>
        <v>7753.96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  <c r="H169" s="6">
        <v>23872.799999999999</v>
      </c>
    </row>
    <row r="170" spans="1:24">
      <c r="A170" s="18"/>
      <c r="C170" s="6">
        <v>59202</v>
      </c>
      <c r="D170" s="6">
        <v>50919.5</v>
      </c>
      <c r="E170" s="6">
        <v>47414.9</v>
      </c>
      <c r="F170" s="6">
        <v>40019.599999999999</v>
      </c>
      <c r="H170" s="6">
        <v>30663.599999999999</v>
      </c>
    </row>
    <row r="171" spans="1:24">
      <c r="A171" s="18"/>
      <c r="C171" s="6">
        <v>57394.5</v>
      </c>
      <c r="D171" s="6">
        <v>53283</v>
      </c>
      <c r="E171" s="6">
        <v>53761.8</v>
      </c>
      <c r="F171" s="6">
        <v>49774.7</v>
      </c>
      <c r="H171" s="6">
        <v>26621</v>
      </c>
    </row>
    <row r="172" spans="1:24">
      <c r="A172" s="18"/>
      <c r="C172" s="6">
        <v>66744.600000000006</v>
      </c>
      <c r="D172" s="6">
        <v>39380.199999999997</v>
      </c>
      <c r="E172" s="6">
        <v>43064.9</v>
      </c>
      <c r="F172" s="6">
        <v>45340.3</v>
      </c>
      <c r="H172" s="6">
        <v>25437.4</v>
      </c>
    </row>
    <row r="173" spans="1:24">
      <c r="A173" s="18"/>
      <c r="C173" s="6">
        <v>64571.199999999997</v>
      </c>
      <c r="D173" s="6">
        <v>62404.2</v>
      </c>
      <c r="E173" s="6">
        <v>40294</v>
      </c>
      <c r="F173" s="6">
        <v>50169.9</v>
      </c>
      <c r="H173" s="6">
        <v>29892.1</v>
      </c>
    </row>
    <row r="174" spans="1:24">
      <c r="A174" s="18"/>
      <c r="C174" s="6">
        <v>51181.8</v>
      </c>
      <c r="D174" s="6">
        <v>55128.1</v>
      </c>
      <c r="E174" s="6">
        <v>44301.1</v>
      </c>
      <c r="F174" s="6">
        <v>49658.5</v>
      </c>
      <c r="H174" s="6">
        <v>22268.2</v>
      </c>
    </row>
    <row r="175" spans="1:24">
      <c r="A175" s="18"/>
      <c r="C175" s="6">
        <v>62181.7</v>
      </c>
      <c r="D175" s="6">
        <v>58235.5</v>
      </c>
      <c r="E175" s="6">
        <v>48399.4</v>
      </c>
      <c r="F175" s="6">
        <v>34501.5</v>
      </c>
      <c r="H175" s="6">
        <v>24257.4</v>
      </c>
    </row>
    <row r="176" spans="1:24">
      <c r="A176" s="18"/>
      <c r="C176" s="6">
        <v>58742</v>
      </c>
      <c r="D176" s="6">
        <v>60657.3</v>
      </c>
      <c r="E176" s="6">
        <v>33711.800000000003</v>
      </c>
      <c r="F176" s="6">
        <v>39263</v>
      </c>
      <c r="H176" s="6">
        <v>32087.599999999999</v>
      </c>
    </row>
    <row r="177" spans="1:8">
      <c r="A177" s="18"/>
      <c r="C177" s="6">
        <v>76782.100000000006</v>
      </c>
      <c r="D177" s="6">
        <v>48713.5</v>
      </c>
      <c r="E177" s="6">
        <v>45751.6</v>
      </c>
      <c r="F177" s="6">
        <v>49505.2</v>
      </c>
      <c r="H177" s="6">
        <v>20890.400000000001</v>
      </c>
    </row>
    <row r="178" spans="1:8">
      <c r="A178" s="18"/>
      <c r="C178" s="6">
        <v>56906.9</v>
      </c>
      <c r="D178" s="6">
        <v>56456</v>
      </c>
      <c r="E178" s="6">
        <v>30853.599999999999</v>
      </c>
      <c r="F178" s="6">
        <v>43131.8</v>
      </c>
      <c r="H178" s="6">
        <v>28885.200000000001</v>
      </c>
    </row>
    <row r="180" spans="1:8">
      <c r="A180" s="18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8">
      <c r="A181" s="18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8">
      <c r="A182" s="18"/>
      <c r="C182" s="6">
        <v>114837</v>
      </c>
      <c r="D182" s="6">
        <v>111879</v>
      </c>
      <c r="E182" s="6">
        <v>97865.3</v>
      </c>
      <c r="F182" s="6">
        <v>85627.5</v>
      </c>
    </row>
    <row r="183" spans="1:8">
      <c r="A183" s="18"/>
      <c r="C183" s="6">
        <v>125251</v>
      </c>
      <c r="D183" s="6">
        <v>100330</v>
      </c>
      <c r="E183" s="6">
        <v>87590.6</v>
      </c>
      <c r="F183" s="6">
        <v>101963</v>
      </c>
    </row>
    <row r="184" spans="1:8">
      <c r="A184" s="18"/>
      <c r="C184" s="6">
        <v>147740</v>
      </c>
      <c r="D184" s="6">
        <v>122488</v>
      </c>
      <c r="E184" s="6">
        <v>79780.5</v>
      </c>
      <c r="F184" s="6">
        <v>91831.4</v>
      </c>
    </row>
    <row r="185" spans="1:8">
      <c r="A185" s="18"/>
      <c r="C185" s="6">
        <v>158747</v>
      </c>
      <c r="D185" s="6">
        <v>118386</v>
      </c>
      <c r="E185" s="6">
        <v>101059</v>
      </c>
      <c r="F185" s="6">
        <v>95410.3</v>
      </c>
    </row>
    <row r="186" spans="1:8">
      <c r="A186" s="18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8">
      <c r="A187" s="18"/>
      <c r="C187" s="6">
        <v>120883</v>
      </c>
      <c r="D187" s="6">
        <v>101322</v>
      </c>
      <c r="E187" s="6">
        <v>51427.9</v>
      </c>
      <c r="F187" s="6">
        <v>86627.5</v>
      </c>
    </row>
    <row r="188" spans="1:8">
      <c r="A188" s="18"/>
      <c r="C188" s="6">
        <v>132044</v>
      </c>
      <c r="D188" s="6">
        <v>100771</v>
      </c>
      <c r="E188" s="6">
        <v>109399</v>
      </c>
      <c r="F188" s="6">
        <v>76028.7</v>
      </c>
    </row>
    <row r="189" spans="1:8">
      <c r="A189" s="18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8">
      <c r="A191" s="18">
        <v>18</v>
      </c>
      <c r="C191" s="6">
        <v>349574</v>
      </c>
      <c r="D191">
        <v>241222</v>
      </c>
      <c r="E191" s="6">
        <v>168976</v>
      </c>
      <c r="F191" s="6">
        <v>189938</v>
      </c>
      <c r="H191" s="6">
        <v>92473.1</v>
      </c>
    </row>
    <row r="192" spans="1:8">
      <c r="A192" s="18"/>
      <c r="C192" s="6">
        <v>278634</v>
      </c>
      <c r="D192" s="6">
        <v>304549</v>
      </c>
      <c r="E192" s="6">
        <v>124619</v>
      </c>
      <c r="F192" s="6">
        <v>193041</v>
      </c>
      <c r="H192" s="6">
        <v>87391.4</v>
      </c>
    </row>
    <row r="193" spans="1:8">
      <c r="A193" s="18"/>
      <c r="C193" s="6">
        <v>321905</v>
      </c>
      <c r="D193" s="6">
        <v>241836</v>
      </c>
      <c r="E193" s="6">
        <v>160321</v>
      </c>
      <c r="F193" s="6">
        <v>153691</v>
      </c>
      <c r="H193" s="6">
        <v>135699</v>
      </c>
    </row>
    <row r="194" spans="1:8">
      <c r="A194" s="18"/>
      <c r="C194" s="6">
        <v>227555</v>
      </c>
      <c r="D194" s="6">
        <v>271727</v>
      </c>
      <c r="E194" s="6">
        <v>207651</v>
      </c>
      <c r="F194" s="6">
        <v>132514</v>
      </c>
      <c r="H194" s="6">
        <v>119422</v>
      </c>
    </row>
    <row r="195" spans="1:8">
      <c r="A195" s="18"/>
      <c r="C195" s="6">
        <v>270881</v>
      </c>
      <c r="D195" s="6">
        <v>213601</v>
      </c>
      <c r="E195" s="6">
        <v>201678</v>
      </c>
      <c r="F195" s="6">
        <v>192273</v>
      </c>
      <c r="H195" s="6">
        <v>72722.100000000006</v>
      </c>
    </row>
    <row r="196" spans="1:8">
      <c r="A196" s="18"/>
      <c r="C196" s="6">
        <v>214413</v>
      </c>
      <c r="D196" s="6">
        <v>142407</v>
      </c>
      <c r="E196" s="6">
        <v>115552</v>
      </c>
      <c r="F196" s="6">
        <v>173730</v>
      </c>
      <c r="H196" s="6">
        <v>102155</v>
      </c>
    </row>
    <row r="197" spans="1:8">
      <c r="A197" s="18"/>
      <c r="C197" s="6">
        <v>283964</v>
      </c>
      <c r="D197" s="6">
        <v>196588</v>
      </c>
      <c r="E197" s="6">
        <v>129107</v>
      </c>
      <c r="F197" s="6">
        <v>120023</v>
      </c>
      <c r="H197" s="6">
        <v>123723</v>
      </c>
    </row>
    <row r="198" spans="1:8">
      <c r="A198" s="18"/>
      <c r="C198" s="6">
        <v>303192</v>
      </c>
      <c r="D198" s="6">
        <v>191327</v>
      </c>
      <c r="E198" s="6">
        <v>211751</v>
      </c>
      <c r="F198" s="6">
        <v>183952</v>
      </c>
      <c r="H198" s="6">
        <v>108103</v>
      </c>
    </row>
    <row r="199" spans="1:8">
      <c r="A199" s="18"/>
      <c r="C199" s="6">
        <v>337504</v>
      </c>
      <c r="D199" s="6">
        <v>210541</v>
      </c>
      <c r="E199" s="6">
        <v>166155</v>
      </c>
      <c r="F199" s="6">
        <v>217847</v>
      </c>
      <c r="H199" s="6">
        <v>114872</v>
      </c>
    </row>
    <row r="200" spans="1:8">
      <c r="A200" s="18"/>
      <c r="C200" s="6">
        <v>340574</v>
      </c>
      <c r="D200" s="6">
        <v>162371</v>
      </c>
      <c r="E200" s="6">
        <v>190480</v>
      </c>
      <c r="F200" s="6">
        <v>199524</v>
      </c>
      <c r="H200" s="6">
        <v>74013</v>
      </c>
    </row>
    <row r="202" spans="1:8">
      <c r="A202" s="18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8">
      <c r="A203" s="18"/>
      <c r="C203" s="6">
        <v>793699</v>
      </c>
      <c r="D203" s="6">
        <v>449187</v>
      </c>
      <c r="E203" s="6">
        <v>379676</v>
      </c>
      <c r="F203" s="6">
        <v>546299</v>
      </c>
    </row>
    <row r="204" spans="1:8">
      <c r="A204" s="18"/>
      <c r="C204" s="6">
        <v>492288</v>
      </c>
      <c r="D204" s="6">
        <v>394090</v>
      </c>
      <c r="E204" s="6">
        <v>367752</v>
      </c>
      <c r="F204" s="6">
        <v>405892</v>
      </c>
    </row>
    <row r="205" spans="1:8">
      <c r="A205" s="18"/>
      <c r="C205" s="6">
        <v>642056</v>
      </c>
      <c r="D205" s="6">
        <v>584579</v>
      </c>
      <c r="E205" s="6">
        <v>369621</v>
      </c>
      <c r="F205" s="6">
        <v>492540</v>
      </c>
    </row>
    <row r="206" spans="1:8">
      <c r="A206" s="18"/>
      <c r="C206" s="6">
        <v>529051</v>
      </c>
      <c r="D206" s="6">
        <v>378290</v>
      </c>
      <c r="E206" s="6">
        <v>451235</v>
      </c>
      <c r="F206" s="6">
        <v>404551</v>
      </c>
    </row>
    <row r="207" spans="1:8">
      <c r="A207" s="18"/>
      <c r="C207" s="6">
        <v>831996</v>
      </c>
      <c r="D207" s="6">
        <v>377252</v>
      </c>
      <c r="E207" s="6">
        <v>396761</v>
      </c>
      <c r="F207" s="6">
        <v>479552</v>
      </c>
    </row>
    <row r="208" spans="1:8">
      <c r="A208" s="18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8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8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8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8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8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8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8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8"/>
      <c r="C217">
        <v>843941</v>
      </c>
      <c r="D217" s="6">
        <v>838196</v>
      </c>
      <c r="E217" s="6">
        <v>903262</v>
      </c>
    </row>
    <row r="218" spans="1:6">
      <c r="A218" s="18"/>
      <c r="C218">
        <v>1278740</v>
      </c>
      <c r="D218" s="6">
        <v>611509</v>
      </c>
      <c r="E218" s="6">
        <v>684758</v>
      </c>
    </row>
    <row r="219" spans="1:6">
      <c r="A219" s="18"/>
      <c r="C219">
        <v>1928820</v>
      </c>
      <c r="D219">
        <v>1176440</v>
      </c>
      <c r="E219" s="6">
        <v>332190</v>
      </c>
    </row>
    <row r="220" spans="1:6">
      <c r="A220" s="18"/>
      <c r="C220">
        <v>1220010</v>
      </c>
      <c r="D220">
        <v>1013930</v>
      </c>
    </row>
    <row r="221" spans="1:6">
      <c r="A221" s="18"/>
      <c r="C221">
        <v>1554340</v>
      </c>
      <c r="D221" s="6">
        <v>779696</v>
      </c>
    </row>
    <row r="222" spans="1:6">
      <c r="A222" s="18"/>
      <c r="C222">
        <v>1241610</v>
      </c>
      <c r="D222">
        <v>1127680</v>
      </c>
    </row>
    <row r="224" spans="1:6">
      <c r="A224" s="18">
        <v>21</v>
      </c>
      <c r="C224">
        <v>1738180</v>
      </c>
      <c r="D224">
        <v>1926610</v>
      </c>
    </row>
    <row r="225" spans="1:4">
      <c r="A225" s="18"/>
      <c r="C225">
        <v>5072940</v>
      </c>
      <c r="D225">
        <v>3042540</v>
      </c>
    </row>
    <row r="226" spans="1:4">
      <c r="A226" s="18"/>
      <c r="C226">
        <v>1737490</v>
      </c>
    </row>
    <row r="227" spans="1:4">
      <c r="A227" s="18"/>
    </row>
    <row r="228" spans="1:4">
      <c r="A228" s="18"/>
    </row>
    <row r="229" spans="1:4">
      <c r="A229" s="18"/>
    </row>
    <row r="230" spans="1:4">
      <c r="A230" s="18"/>
    </row>
    <row r="231" spans="1:4">
      <c r="A231" s="18"/>
    </row>
    <row r="232" spans="1:4">
      <c r="A232" s="18"/>
    </row>
    <row r="233" spans="1:4">
      <c r="A233" s="18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zoomScale="94" zoomScaleNormal="125" workbookViewId="0">
      <selection activeCell="P18" sqref="P18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22" t="s">
        <v>36</v>
      </c>
      <c r="H2" s="22"/>
      <c r="I2" s="22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22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22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22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22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22" t="s">
        <v>38</v>
      </c>
      <c r="P7" s="22"/>
      <c r="Q7" s="22"/>
      <c r="R7" s="6"/>
      <c r="S7" s="22" t="s">
        <v>37</v>
      </c>
      <c r="T7" s="22"/>
      <c r="U7" s="22"/>
      <c r="V7" s="6"/>
      <c r="W7" s="6"/>
      <c r="X7" s="6"/>
    </row>
    <row r="8" spans="1:24">
      <c r="A8" s="22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22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22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22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22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22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22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22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2">
        <f>VAR(C81:C90)</f>
        <v>1307.3105824888887</v>
      </c>
      <c r="T16" s="12">
        <f>VAR(D81:D90)</f>
        <v>683.80184494444438</v>
      </c>
      <c r="U16" s="12">
        <f>VAR(E81:E90)</f>
        <v>638.53267365555644</v>
      </c>
      <c r="V16" s="6"/>
      <c r="W16" s="6"/>
      <c r="X16" s="6"/>
    </row>
    <row r="17" spans="1:24">
      <c r="A17" s="22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2">
        <f>VAR(C92:C101)</f>
        <v>1731.0998559555546</v>
      </c>
      <c r="T17" s="12">
        <f>VAR(D92:D101)</f>
        <v>3703.762273344445</v>
      </c>
      <c r="U17" s="12">
        <f>VAR(E92:E101)</f>
        <v>2185.0262828444434</v>
      </c>
      <c r="V17" s="6"/>
      <c r="W17" s="6"/>
      <c r="X17" s="6"/>
    </row>
    <row r="18" spans="1:24">
      <c r="A18" s="22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2">
        <f>VAR(C103:C112)</f>
        <v>21125.204632222216</v>
      </c>
      <c r="T18" s="12">
        <f>VAR(D103:D112)</f>
        <v>9726.2478488888883</v>
      </c>
      <c r="U18" s="12">
        <f>VAR(E103:E112)</f>
        <v>12676.555987777774</v>
      </c>
      <c r="V18" s="6"/>
      <c r="W18" s="6"/>
      <c r="X18" s="6"/>
    </row>
    <row r="19" spans="1:24">
      <c r="A19" s="22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2">
        <f>VAR(C114:C123)</f>
        <v>49728.302521111123</v>
      </c>
      <c r="T19" s="12">
        <f>VAR(D114:D123)</f>
        <v>70220.696490000002</v>
      </c>
      <c r="U19" s="12">
        <f>VAR(E114:E123)</f>
        <v>76267.768433333258</v>
      </c>
      <c r="V19" s="6"/>
      <c r="W19" s="6"/>
      <c r="X19" s="6"/>
    </row>
    <row r="20" spans="1:24">
      <c r="A20" s="22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2">
        <f>VAR(C125:C134)</f>
        <v>468543.99471222213</v>
      </c>
      <c r="T20" s="12">
        <f>VAR(D125:D134)</f>
        <v>112677.92200444447</v>
      </c>
      <c r="U20" s="12" t="e">
        <f>VAR(E125:E134)</f>
        <v>#DIV/0!</v>
      </c>
      <c r="V20" s="6"/>
      <c r="W20" s="6"/>
      <c r="X20" s="6"/>
    </row>
    <row r="21" spans="1:24">
      <c r="A21" s="22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2">
        <f>VAR(C136:C145)</f>
        <v>1605540.8712222225</v>
      </c>
      <c r="T21" s="12">
        <f>VAR(D136:D145)</f>
        <v>2999616.7952100169</v>
      </c>
      <c r="U21" s="12" t="e">
        <f>VAR(E136:E145)</f>
        <v>#DIV/0!</v>
      </c>
      <c r="V21" s="6"/>
      <c r="W21" s="6"/>
      <c r="X21" s="6"/>
    </row>
    <row r="22" spans="1:24">
      <c r="A22" s="22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2">
        <f>VAR(C147:C156)</f>
        <v>5846670.9467777805</v>
      </c>
      <c r="T22" s="12">
        <f>VAR(D147:D156)</f>
        <v>9042272.4195554517</v>
      </c>
      <c r="U22" s="12" t="e">
        <f>VAR(E147:E156)</f>
        <v>#DIV/0!</v>
      </c>
      <c r="V22" s="6"/>
      <c r="W22" s="6"/>
      <c r="X22" s="6"/>
    </row>
    <row r="23" spans="1:24">
      <c r="A23" s="22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2">
        <f>VAR(C158:C167)</f>
        <v>68533826.823222697</v>
      </c>
      <c r="T23" s="12">
        <f>VAR(D158:D167)</f>
        <v>38177377.051222906</v>
      </c>
      <c r="U23" s="12" t="e">
        <f>VAR(E158:E167)</f>
        <v>#DIV/0!</v>
      </c>
      <c r="V23" s="6"/>
      <c r="W23" s="6"/>
      <c r="X23" s="6"/>
    </row>
    <row r="24" spans="1:24">
      <c r="A24" s="22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2">
        <f>VAR(C169:C178)</f>
        <v>254685944.266666</v>
      </c>
      <c r="T24" s="12">
        <f>VAR(D169:D178)</f>
        <v>255072475.15066698</v>
      </c>
      <c r="U24" s="12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2">
        <f>VAR(C180:C189)</f>
        <v>1330491277.8333333</v>
      </c>
      <c r="T25" s="12">
        <f>VAR(D180:D189)</f>
        <v>964135698.71111381</v>
      </c>
      <c r="U25" s="12" t="e">
        <f>VAR(E180:E189)</f>
        <v>#DIV/0!</v>
      </c>
      <c r="V25" s="6"/>
      <c r="W25" s="6"/>
      <c r="X25" s="6"/>
    </row>
    <row r="26" spans="1:24">
      <c r="A26" s="22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2">
        <f>VAR(C191:C200)</f>
        <v>5991783826.3222113</v>
      </c>
      <c r="T26" s="12">
        <f>VAR(D191:D200)</f>
        <v>3301105567.5666776</v>
      </c>
      <c r="U26" s="12" t="e">
        <f>VAR(E191:E200)</f>
        <v>#DIV/0!</v>
      </c>
      <c r="V26" s="6"/>
      <c r="W26" s="6"/>
      <c r="X26" s="6"/>
    </row>
    <row r="27" spans="1:24">
      <c r="A27" s="22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2">
        <f>VAR(C202:C211)</f>
        <v>22792747582.222221</v>
      </c>
      <c r="T27" s="12">
        <f>VAR(D202:D211)</f>
        <v>42394101561.955513</v>
      </c>
      <c r="U27" s="12" t="e">
        <f>VAR(E202:E211)</f>
        <v>#DIV/0!</v>
      </c>
      <c r="V27" s="6"/>
      <c r="W27" s="6"/>
      <c r="X27" s="6"/>
    </row>
    <row r="28" spans="1:24">
      <c r="A28" s="22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2">
        <f>VAR(C213:C222)</f>
        <v>460978297693.33331</v>
      </c>
      <c r="T28" s="12">
        <f>VAR(D213:D222)</f>
        <v>139105816890</v>
      </c>
      <c r="U28" s="12" t="e">
        <f>VAR(E213:E222)</f>
        <v>#DIV/0!</v>
      </c>
      <c r="V28" s="6"/>
      <c r="W28" s="6"/>
      <c r="X28" s="6"/>
    </row>
    <row r="29" spans="1:24">
      <c r="A29" s="22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22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22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22" t="s">
        <v>35</v>
      </c>
      <c r="O31" s="22"/>
      <c r="P31" s="22"/>
      <c r="Q31" s="22"/>
      <c r="S31" s="11"/>
      <c r="T31" s="11"/>
      <c r="U31" s="11"/>
      <c r="V31" s="6"/>
      <c r="W31" s="6"/>
      <c r="X31" s="6"/>
    </row>
    <row r="32" spans="1:24">
      <c r="A32" s="22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22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22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22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22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22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22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22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22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22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22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22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22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22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22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22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22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22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22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22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22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22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22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22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22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22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22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22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22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22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22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22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22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22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22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22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22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22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22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22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22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22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22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22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22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22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22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22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22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22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22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22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22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22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22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22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22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22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22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22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22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22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22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22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22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22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22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22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22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22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22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22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22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22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22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22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22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22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22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22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22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22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22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22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22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22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22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22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22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22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22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22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22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22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22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22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22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22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22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22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22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22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22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22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22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22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22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22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22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22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22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22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22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22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22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22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22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22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22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22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22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22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22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22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8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8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8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8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8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8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8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8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8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8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8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8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8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8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8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8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8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8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8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8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8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8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8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8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8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8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8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8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8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8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8">
        <v>19</v>
      </c>
      <c r="C202" s="13">
        <v>1154710</v>
      </c>
      <c r="D202" s="13">
        <v>1102890</v>
      </c>
      <c r="F202" s="6"/>
      <c r="G202" s="6">
        <v>36833392785</v>
      </c>
      <c r="H202" s="6">
        <v>186677080022</v>
      </c>
    </row>
    <row r="203" spans="1:8">
      <c r="A203" s="18"/>
      <c r="C203" s="13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8"/>
      <c r="C204" s="13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8"/>
      <c r="C205" s="13">
        <v>1404240</v>
      </c>
      <c r="D205" s="13">
        <v>1060960</v>
      </c>
      <c r="E205" s="6"/>
      <c r="F205" s="6"/>
      <c r="G205" s="6">
        <v>44681223929</v>
      </c>
      <c r="H205" s="6">
        <v>171362467353</v>
      </c>
    </row>
    <row r="206" spans="1:8">
      <c r="A206" s="18"/>
      <c r="C206" s="13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8"/>
      <c r="C207" s="13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8"/>
      <c r="C208" s="13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8"/>
      <c r="C209" s="13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8"/>
      <c r="C210" s="13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8"/>
      <c r="C211" s="13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8">
        <v>20</v>
      </c>
      <c r="C213" s="6">
        <v>2276920</v>
      </c>
      <c r="D213">
        <v>1812500</v>
      </c>
      <c r="E213" s="6"/>
      <c r="G213" s="6">
        <v>69194692880</v>
      </c>
      <c r="H213" s="6">
        <v>258057933212</v>
      </c>
    </row>
    <row r="214" spans="1:9">
      <c r="A214" s="18"/>
      <c r="C214">
        <v>3087450</v>
      </c>
      <c r="D214" s="13">
        <v>1039620</v>
      </c>
      <c r="E214" s="6"/>
      <c r="F214" s="6"/>
      <c r="G214" s="6">
        <v>81365567410</v>
      </c>
      <c r="H214" s="6">
        <v>157515287951</v>
      </c>
    </row>
    <row r="215" spans="1:9">
      <c r="A215" s="18"/>
      <c r="C215" s="6">
        <v>1546560</v>
      </c>
      <c r="D215" s="6">
        <v>1042510</v>
      </c>
      <c r="E215" s="6"/>
      <c r="F215" s="6"/>
      <c r="G215" s="6">
        <v>48512566773</v>
      </c>
      <c r="H215" s="6">
        <v>173342843196</v>
      </c>
    </row>
    <row r="216" spans="1:9">
      <c r="A216" s="18"/>
      <c r="C216">
        <v>2036120</v>
      </c>
      <c r="D216" s="13">
        <v>1851360</v>
      </c>
      <c r="E216" s="6"/>
      <c r="F216" s="6"/>
      <c r="G216" s="6">
        <v>59944804517</v>
      </c>
      <c r="H216" s="6">
        <v>280491666676</v>
      </c>
    </row>
    <row r="217" spans="1:9">
      <c r="A217" s="18"/>
      <c r="C217">
        <v>3323050</v>
      </c>
      <c r="D217" s="6">
        <v>2037190</v>
      </c>
      <c r="E217" s="6"/>
      <c r="G217" s="6">
        <v>89993848895</v>
      </c>
      <c r="H217">
        <v>326438102145</v>
      </c>
    </row>
    <row r="218" spans="1:9">
      <c r="A218" s="18"/>
      <c r="C218">
        <v>3024640</v>
      </c>
      <c r="D218" s="13">
        <v>1752210</v>
      </c>
      <c r="E218" s="6"/>
      <c r="G218" s="6">
        <v>86739487409</v>
      </c>
      <c r="H218" s="6">
        <v>252886141574</v>
      </c>
    </row>
    <row r="219" spans="1:9">
      <c r="A219" s="18"/>
      <c r="C219">
        <v>1877060</v>
      </c>
      <c r="D219">
        <v>1895510</v>
      </c>
      <c r="E219" s="6"/>
      <c r="G219" s="6">
        <v>56185117695</v>
      </c>
      <c r="H219">
        <v>301105668286</v>
      </c>
    </row>
    <row r="220" spans="1:9">
      <c r="A220" s="18"/>
      <c r="C220">
        <v>1871460</v>
      </c>
      <c r="D220">
        <v>1280240</v>
      </c>
      <c r="G220" s="6">
        <v>59242549893</v>
      </c>
      <c r="H220">
        <v>203641168376</v>
      </c>
    </row>
    <row r="221" spans="1:9">
      <c r="A221" s="18"/>
      <c r="C221">
        <v>3113390</v>
      </c>
      <c r="D221" s="6">
        <v>1890360</v>
      </c>
      <c r="G221" s="6">
        <v>84445454849</v>
      </c>
      <c r="H221">
        <v>270661458463</v>
      </c>
    </row>
    <row r="222" spans="1:9">
      <c r="A222" s="18"/>
      <c r="C222">
        <v>1693890</v>
      </c>
      <c r="D222" s="5">
        <v>1819930</v>
      </c>
      <c r="E222" s="5">
        <v>1899340</v>
      </c>
      <c r="G222" s="6">
        <v>51474856689</v>
      </c>
      <c r="H222">
        <v>244965276494</v>
      </c>
      <c r="I222">
        <v>251349050273</v>
      </c>
    </row>
    <row r="224" spans="1:9">
      <c r="A224" s="18">
        <v>21</v>
      </c>
    </row>
    <row r="225" spans="1:1">
      <c r="A225" s="18"/>
    </row>
    <row r="226" spans="1:1">
      <c r="A226" s="18"/>
    </row>
    <row r="227" spans="1:1">
      <c r="A227" s="18"/>
    </row>
    <row r="228" spans="1:1">
      <c r="A228" s="18"/>
    </row>
    <row r="229" spans="1:1">
      <c r="A229" s="18"/>
    </row>
    <row r="230" spans="1:1">
      <c r="A230" s="18"/>
    </row>
    <row r="231" spans="1:1">
      <c r="A231" s="18"/>
    </row>
    <row r="232" spans="1:1">
      <c r="A232" s="18"/>
    </row>
    <row r="233" spans="1:1">
      <c r="A233" s="18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4:A13"/>
    <mergeCell ref="A15:A24"/>
    <mergeCell ref="A136:A145"/>
    <mergeCell ref="A26:A35"/>
    <mergeCell ref="N31:Q31"/>
    <mergeCell ref="A37:A46"/>
    <mergeCell ref="A48:A57"/>
    <mergeCell ref="A59:A68"/>
    <mergeCell ref="A70:A7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9" t="s">
        <v>9</v>
      </c>
      <c r="J8" s="19"/>
      <c r="K8" s="19"/>
      <c r="L8" s="19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9" t="s">
        <v>9</v>
      </c>
      <c r="J8" s="19"/>
      <c r="K8" s="19"/>
      <c r="L8" s="19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9" t="s">
        <v>9</v>
      </c>
      <c r="J8" s="19"/>
      <c r="K8" s="19"/>
      <c r="L8" s="19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9" t="s">
        <v>9</v>
      </c>
      <c r="J8" s="19"/>
      <c r="K8" s="19"/>
      <c r="L8" s="19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20" t="s">
        <v>10</v>
      </c>
      <c r="C1" s="21"/>
      <c r="D1" s="21"/>
      <c r="E1" s="21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9" t="s">
        <v>9</v>
      </c>
      <c r="J8" s="19"/>
      <c r="K8" s="19"/>
      <c r="L8" s="19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8" t="s">
        <v>4</v>
      </c>
      <c r="G2" s="18"/>
      <c r="H2" s="18"/>
      <c r="I2" s="18"/>
      <c r="J2" s="18" t="s">
        <v>5</v>
      </c>
      <c r="K2" s="18"/>
      <c r="L2" s="18"/>
      <c r="M2" s="18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7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8" t="s">
        <v>4</v>
      </c>
      <c r="E2" s="18"/>
      <c r="F2" s="18"/>
      <c r="G2" s="18"/>
      <c r="H2" s="18" t="s">
        <v>5</v>
      </c>
      <c r="I2" s="18"/>
      <c r="J2" s="18"/>
      <c r="K2" s="18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8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8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8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8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8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8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8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8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8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8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8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8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8" t="s">
        <v>4</v>
      </c>
      <c r="T16" s="18"/>
      <c r="U16" s="18"/>
      <c r="V16" s="18"/>
      <c r="W16" s="18" t="s">
        <v>5</v>
      </c>
      <c r="X16" s="18"/>
      <c r="Y16" s="18"/>
      <c r="Z16" s="18"/>
    </row>
    <row r="17" spans="1:27">
      <c r="A17" s="18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8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8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8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8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8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8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8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22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22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22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22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22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22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22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22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22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22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22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22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22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22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22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22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22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22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22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22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22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22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22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22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22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22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22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22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22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22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22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22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22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22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22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22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22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22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22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22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22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22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22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22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22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22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22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22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22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22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22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22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22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22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22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22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22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22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22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22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22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22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22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22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22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22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22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22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22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22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22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22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22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22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22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22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22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22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22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22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22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22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22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22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22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22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22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22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22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22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22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22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22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22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22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22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22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22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22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22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22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22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22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22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22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22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22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22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22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22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22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22"/>
      <c r="C148" s="5"/>
    </row>
    <row r="149" spans="1:13">
      <c r="A149" s="22"/>
      <c r="C149" s="5"/>
    </row>
    <row r="150" spans="1:13">
      <c r="A150" s="22"/>
    </row>
    <row r="151" spans="1:13">
      <c r="A151" s="22"/>
    </row>
    <row r="152" spans="1:13">
      <c r="A152" s="22"/>
    </row>
    <row r="153" spans="1:13">
      <c r="A153" s="22"/>
    </row>
    <row r="154" spans="1:13">
      <c r="A154" s="22"/>
    </row>
    <row r="155" spans="1:13">
      <c r="A155" s="22"/>
    </row>
    <row r="156" spans="1:13">
      <c r="A156" s="22"/>
    </row>
    <row r="158" spans="1:13">
      <c r="A158" s="22">
        <v>15</v>
      </c>
    </row>
    <row r="159" spans="1:13">
      <c r="A159" s="22"/>
    </row>
    <row r="160" spans="1:13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Sheet1</vt:lpstr>
      <vt:lpstr>wire or Not24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2025-06-08T04:13:40Z</dcterms:modified>
</cp:coreProperties>
</file>