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Schnelle Neutronen\"/>
    </mc:Choice>
  </mc:AlternateContent>
  <xr:revisionPtr revIDLastSave="0" documentId="13_ncr:1_{48EEC28C-2F9E-4F4E-8114-5F3108F7EDD4}" xr6:coauthVersionLast="32" xr6:coauthVersionMax="32" xr10:uidLastSave="{00000000-0000-0000-0000-000000000000}"/>
  <bookViews>
    <workbookView xWindow="0" yWindow="0" windowWidth="20490" windowHeight="7545" xr2:uid="{E509375F-4A18-4F14-A918-C56CF2A6E96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B17" i="1"/>
  <c r="E17" i="1"/>
  <c r="H22" i="1"/>
  <c r="E18" i="1" s="1"/>
  <c r="C20" i="1" s="1"/>
  <c r="H21" i="1"/>
  <c r="B18" i="1" s="1"/>
  <c r="A20" i="1" s="1"/>
  <c r="B23" i="1" s="1"/>
  <c r="C23" i="1" s="1"/>
  <c r="B24" i="1" s="1"/>
  <c r="K11" i="1" l="1"/>
  <c r="I4" i="1" l="1"/>
  <c r="K4" i="1"/>
  <c r="N4" i="1"/>
  <c r="I5" i="1"/>
  <c r="K5" i="1"/>
  <c r="N5" i="1"/>
  <c r="I6" i="1"/>
  <c r="K6" i="1"/>
  <c r="N6" i="1"/>
  <c r="I7" i="1"/>
  <c r="K7" i="1"/>
  <c r="N7" i="1"/>
  <c r="K3" i="1"/>
  <c r="I3" i="1"/>
  <c r="L7" i="1" l="1"/>
  <c r="M7" i="1" s="1"/>
  <c r="O7" i="1" s="1"/>
  <c r="P7" i="1" s="1"/>
  <c r="L6" i="1"/>
  <c r="M6" i="1" s="1"/>
  <c r="O6" i="1" s="1"/>
  <c r="P6" i="1" s="1"/>
  <c r="L5" i="1"/>
  <c r="M5" i="1" s="1"/>
  <c r="O5" i="1" s="1"/>
  <c r="P5" i="1" s="1"/>
  <c r="L4" i="1"/>
  <c r="M4" i="1" s="1"/>
  <c r="O4" i="1" s="1"/>
  <c r="P4" i="1" s="1"/>
  <c r="L3" i="1"/>
  <c r="M3" i="1" s="1"/>
  <c r="N3" i="1"/>
  <c r="B12" i="1"/>
  <c r="B10" i="1"/>
  <c r="A2" i="1"/>
  <c r="A3" i="1"/>
  <c r="O3" i="1" l="1"/>
  <c r="P3" i="1" s="1"/>
  <c r="A5" i="1"/>
  <c r="A6" i="1" s="1"/>
  <c r="B8" i="1" s="1"/>
  <c r="C3" i="1"/>
  <c r="C2" i="1"/>
</calcChain>
</file>

<file path=xl/sharedStrings.xml><?xml version="1.0" encoding="utf-8"?>
<sst xmlns="http://schemas.openxmlformats.org/spreadsheetml/2006/main" count="47" uniqueCount="42">
  <si>
    <t>Photon-Energie</t>
  </si>
  <si>
    <t>Kanal-Kante</t>
  </si>
  <si>
    <t>Elektron-Energie</t>
  </si>
  <si>
    <t xml:space="preserve">Steigung </t>
  </si>
  <si>
    <t>Achsenabschnitt</t>
  </si>
  <si>
    <t>Zählrate</t>
  </si>
  <si>
    <t>Ohne Absorber</t>
  </si>
  <si>
    <t>Maximale Energie bei 1024</t>
  </si>
  <si>
    <t>Anteil Energien über 3MeV</t>
  </si>
  <si>
    <t>Kanal ab 7MeV bei 128 Kanälen</t>
  </si>
  <si>
    <t>Cadmium</t>
  </si>
  <si>
    <t>Alu</t>
  </si>
  <si>
    <t>Blei</t>
  </si>
  <si>
    <t>Eisen</t>
  </si>
  <si>
    <t>Kupfer</t>
  </si>
  <si>
    <t>Abstand Quelle - Detektor</t>
  </si>
  <si>
    <t>50cm</t>
  </si>
  <si>
    <t>Abstand Mitte Absorber - Mitte Quelle</t>
  </si>
  <si>
    <t>15 cm</t>
  </si>
  <si>
    <t>Atommasse</t>
  </si>
  <si>
    <t>Dichte</t>
  </si>
  <si>
    <t>Teilchen/cm^3</t>
  </si>
  <si>
    <t>Dicke</t>
  </si>
  <si>
    <t>mu</t>
  </si>
  <si>
    <t>Sigma</t>
  </si>
  <si>
    <t>R</t>
  </si>
  <si>
    <t>A^(1/3)</t>
  </si>
  <si>
    <t>r0</t>
  </si>
  <si>
    <t>r0/fm</t>
  </si>
  <si>
    <t>ns</t>
  </si>
  <si>
    <t>t1-t2=</t>
  </si>
  <si>
    <t>x1</t>
  </si>
  <si>
    <t>x2</t>
  </si>
  <si>
    <t>c</t>
  </si>
  <si>
    <t>cm/ns</t>
  </si>
  <si>
    <t>cm</t>
  </si>
  <si>
    <t>t_Start 1</t>
  </si>
  <si>
    <t>t_Start 2</t>
  </si>
  <si>
    <t>Messung 1</t>
  </si>
  <si>
    <t>Messung 2</t>
  </si>
  <si>
    <t>Gesamt</t>
  </si>
  <si>
    <t>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</si>
</sst>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0F44-10F1-4358-90D7-22CC0D58E8C3}">
  <dimension ref="A1:P24"/>
  <sheetViews>
    <sheetView tabSelected="1" topLeftCell="A6" workbookViewId="0">
      <selection activeCell="G17" sqref="G17:I19"/>
    </sheetView>
  </sheetViews>
  <sheetFormatPr baseColWidth="10" defaultRowHeight="15" x14ac:dyDescent="0.25"/>
  <cols>
    <col min="1" max="1" width="17.85546875" customWidth="1"/>
    <col min="2" max="2" width="15.42578125" customWidth="1"/>
    <col min="3" max="3" width="17.42578125" customWidth="1"/>
    <col min="4" max="4" width="12" bestFit="1" customWidth="1"/>
    <col min="5" max="5" width="25" customWidth="1"/>
    <col min="9" max="9" width="16" customWidth="1"/>
    <col min="12" max="13" width="12" bestFit="1" customWidth="1"/>
    <col min="15" max="15" width="12" bestFit="1" customWidth="1"/>
  </cols>
  <sheetData>
    <row r="1" spans="1:16" x14ac:dyDescent="0.25">
      <c r="A1" t="s">
        <v>1</v>
      </c>
      <c r="B1" t="s">
        <v>0</v>
      </c>
      <c r="C1" t="s">
        <v>2</v>
      </c>
      <c r="F1" t="s">
        <v>5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25">
      <c r="A2">
        <f>(64+72)/2</f>
        <v>68</v>
      </c>
      <c r="B2">
        <v>511</v>
      </c>
      <c r="C2">
        <f>2*511/(3)</f>
        <v>340.66666666666669</v>
      </c>
      <c r="E2" t="s">
        <v>6</v>
      </c>
      <c r="F2">
        <v>23713</v>
      </c>
    </row>
    <row r="3" spans="1:16" x14ac:dyDescent="0.25">
      <c r="A3">
        <f>(235+170)/2</f>
        <v>202.5</v>
      </c>
      <c r="B3">
        <v>1275</v>
      </c>
      <c r="C3">
        <f>(2*(1275/511)*1275)/(1+2*(1275/511))</f>
        <v>1062.1528912120223</v>
      </c>
      <c r="E3" t="s">
        <v>10</v>
      </c>
      <c r="F3">
        <v>10785</v>
      </c>
      <c r="G3">
        <v>112.4</v>
      </c>
      <c r="H3">
        <v>8.65</v>
      </c>
      <c r="I3">
        <f>(H3/G3)*6.022*10^(23)</f>
        <v>4.6343683274021357E+22</v>
      </c>
      <c r="J3">
        <v>5</v>
      </c>
      <c r="K3">
        <f>-LN(F3/$F$2)/J3</f>
        <v>0.1575734282245706</v>
      </c>
      <c r="L3">
        <f>K3/I3</f>
        <v>3.4001058416714312E-24</v>
      </c>
      <c r="M3">
        <f>SQRT(L3/2/PI())</f>
        <v>7.3562466770605073E-13</v>
      </c>
      <c r="N3">
        <f>(112)^(1/3)</f>
        <v>4.8202845283504585</v>
      </c>
      <c r="O3">
        <f>M3/N3</f>
        <v>1.5261021696530176E-13</v>
      </c>
      <c r="P3">
        <f>O3*10^13</f>
        <v>1.5261021696530175</v>
      </c>
    </row>
    <row r="4" spans="1:16" x14ac:dyDescent="0.25">
      <c r="E4" t="s">
        <v>11</v>
      </c>
      <c r="F4">
        <v>13459</v>
      </c>
      <c r="G4">
        <v>27</v>
      </c>
      <c r="H4">
        <v>2.69</v>
      </c>
      <c r="I4">
        <f t="shared" ref="I4:I7" si="0">(H4/G4)*6.022*10^(23)</f>
        <v>5.999696296296296E+22</v>
      </c>
      <c r="J4">
        <v>5</v>
      </c>
      <c r="K4">
        <f t="shared" ref="K4:K7" si="1">-LN(F4/$F$2)/J4</f>
        <v>0.11327507874247882</v>
      </c>
      <c r="L4">
        <f t="shared" ref="L4:L7" si="2">K4/I4</f>
        <v>1.8880135451590315E-24</v>
      </c>
      <c r="M4">
        <f t="shared" ref="M4:M7" si="3">SQRT(L4/2/PI())</f>
        <v>5.4816666109543113E-13</v>
      </c>
      <c r="N4">
        <f t="shared" ref="N4:N7" si="4">(112)^(1/3)</f>
        <v>4.8202845283504585</v>
      </c>
      <c r="O4">
        <f t="shared" ref="O4:O7" si="5">M4/N4</f>
        <v>1.1372081002094254E-13</v>
      </c>
      <c r="P4">
        <f t="shared" ref="P4:P7" si="6">O4*10^13</f>
        <v>1.1372081002094254</v>
      </c>
    </row>
    <row r="5" spans="1:16" x14ac:dyDescent="0.25">
      <c r="A5">
        <f>(1062.2-340.7)/(A3-A2)</f>
        <v>5.3643122676579926</v>
      </c>
      <c r="B5" t="s">
        <v>3</v>
      </c>
      <c r="E5" t="s">
        <v>12</v>
      </c>
      <c r="F5">
        <v>10714</v>
      </c>
      <c r="G5">
        <v>207</v>
      </c>
      <c r="H5">
        <v>11.3</v>
      </c>
      <c r="I5">
        <f t="shared" si="0"/>
        <v>3.2873719806763284E+22</v>
      </c>
      <c r="J5">
        <v>5</v>
      </c>
      <c r="K5">
        <f t="shared" si="1"/>
        <v>0.15889442470104079</v>
      </c>
      <c r="L5">
        <f t="shared" si="2"/>
        <v>4.8334787068529612E-24</v>
      </c>
      <c r="M5">
        <f t="shared" si="3"/>
        <v>8.7708154040834251E-13</v>
      </c>
      <c r="N5">
        <f t="shared" si="4"/>
        <v>4.8202845283504585</v>
      </c>
      <c r="O5">
        <f t="shared" si="5"/>
        <v>1.8195638353914497E-13</v>
      </c>
      <c r="P5">
        <f t="shared" si="6"/>
        <v>1.8195638353914496</v>
      </c>
    </row>
    <row r="6" spans="1:16" x14ac:dyDescent="0.25">
      <c r="A6">
        <f>(340.7-A5*A2)</f>
        <v>-24.073234200743514</v>
      </c>
      <c r="B6" t="s">
        <v>4</v>
      </c>
      <c r="E6" t="s">
        <v>13</v>
      </c>
      <c r="F6">
        <v>7434</v>
      </c>
      <c r="G6">
        <v>55.8</v>
      </c>
      <c r="H6">
        <v>7.87</v>
      </c>
      <c r="I6">
        <f t="shared" si="0"/>
        <v>8.493394265232976E+22</v>
      </c>
      <c r="J6">
        <v>5</v>
      </c>
      <c r="K6">
        <f t="shared" si="1"/>
        <v>0.23199186981778244</v>
      </c>
      <c r="L6">
        <f t="shared" si="2"/>
        <v>2.7314388402693424E-24</v>
      </c>
      <c r="M6">
        <f t="shared" si="3"/>
        <v>6.5933450780469531E-13</v>
      </c>
      <c r="N6">
        <f t="shared" si="4"/>
        <v>4.8202845283504585</v>
      </c>
      <c r="O6">
        <f t="shared" si="5"/>
        <v>1.3678331723507722E-13</v>
      </c>
      <c r="P6">
        <f t="shared" si="6"/>
        <v>1.3678331723507722</v>
      </c>
    </row>
    <row r="7" spans="1:16" x14ac:dyDescent="0.25">
      <c r="E7" t="s">
        <v>14</v>
      </c>
      <c r="F7">
        <v>6990</v>
      </c>
      <c r="G7">
        <v>63.5</v>
      </c>
      <c r="H7">
        <v>8.92</v>
      </c>
      <c r="I7">
        <f t="shared" si="0"/>
        <v>8.459250393700787E+22</v>
      </c>
      <c r="J7">
        <v>5</v>
      </c>
      <c r="K7">
        <f t="shared" si="1"/>
        <v>0.24430857294365071</v>
      </c>
      <c r="L7">
        <f t="shared" si="2"/>
        <v>2.8880640904727919E-24</v>
      </c>
      <c r="M7">
        <f t="shared" si="3"/>
        <v>6.7797468681724669E-13</v>
      </c>
      <c r="N7">
        <f t="shared" si="4"/>
        <v>4.8202845283504585</v>
      </c>
      <c r="O7">
        <f t="shared" si="5"/>
        <v>1.4065034601790514E-13</v>
      </c>
      <c r="P7">
        <f t="shared" si="6"/>
        <v>1.4065034601790514</v>
      </c>
    </row>
    <row r="8" spans="1:16" x14ac:dyDescent="0.25">
      <c r="B8">
        <f>A6+1024*A5</f>
        <v>5468.9825278810413</v>
      </c>
      <c r="C8" t="s">
        <v>7</v>
      </c>
    </row>
    <row r="10" spans="1:16" x14ac:dyDescent="0.25">
      <c r="B10">
        <f>3000/B8</f>
        <v>0.54854810464394566</v>
      </c>
      <c r="C10" t="s">
        <v>8</v>
      </c>
      <c r="E10" t="s">
        <v>15</v>
      </c>
      <c r="F10" t="s">
        <v>16</v>
      </c>
    </row>
    <row r="11" spans="1:16" x14ac:dyDescent="0.25">
      <c r="E11" t="s">
        <v>17</v>
      </c>
      <c r="F11" t="s">
        <v>18</v>
      </c>
      <c r="K11">
        <f>3*10^8*100*10^(-9)</f>
        <v>30.000000000000004</v>
      </c>
    </row>
    <row r="12" spans="1:16" x14ac:dyDescent="0.25">
      <c r="B12">
        <f>128*B10</f>
        <v>70.214157394425044</v>
      </c>
      <c r="C12" t="s">
        <v>9</v>
      </c>
    </row>
    <row r="16" spans="1:16" x14ac:dyDescent="0.25">
      <c r="A16" t="s">
        <v>39</v>
      </c>
      <c r="D16" t="s">
        <v>38</v>
      </c>
    </row>
    <row r="17" spans="1:9" x14ac:dyDescent="0.25">
      <c r="A17" t="s">
        <v>30</v>
      </c>
      <c r="B17">
        <f>493*0.101</f>
        <v>49.793000000000006</v>
      </c>
      <c r="D17" t="s">
        <v>30</v>
      </c>
      <c r="E17">
        <f>465*0.101</f>
        <v>46.965000000000003</v>
      </c>
      <c r="F17" t="s">
        <v>29</v>
      </c>
      <c r="G17" t="s">
        <v>31</v>
      </c>
      <c r="H17">
        <v>3.15</v>
      </c>
      <c r="I17" t="s">
        <v>35</v>
      </c>
    </row>
    <row r="18" spans="1:9" x14ac:dyDescent="0.25">
      <c r="A18" t="s">
        <v>40</v>
      </c>
      <c r="B18">
        <f>B17+H21</f>
        <v>49.898000000000003</v>
      </c>
      <c r="D18" t="s">
        <v>40</v>
      </c>
      <c r="E18">
        <f>E17+H22</f>
        <v>48.631666666666668</v>
      </c>
      <c r="G18" t="s">
        <v>32</v>
      </c>
      <c r="H18">
        <v>50</v>
      </c>
      <c r="I18" t="s">
        <v>35</v>
      </c>
    </row>
    <row r="19" spans="1:9" x14ac:dyDescent="0.25">
      <c r="G19" t="s">
        <v>33</v>
      </c>
      <c r="H19">
        <v>30</v>
      </c>
      <c r="I19" t="s">
        <v>34</v>
      </c>
    </row>
    <row r="20" spans="1:9" x14ac:dyDescent="0.25">
      <c r="A20">
        <f>H18/B18</f>
        <v>1.0020441701070182</v>
      </c>
      <c r="B20" t="s">
        <v>34</v>
      </c>
      <c r="C20">
        <f>H17/E18</f>
        <v>6.4772610439014361E-2</v>
      </c>
      <c r="D20" t="s">
        <v>34</v>
      </c>
    </row>
    <row r="21" spans="1:9" x14ac:dyDescent="0.25">
      <c r="H21">
        <f>H17/H19</f>
        <v>0.105</v>
      </c>
      <c r="I21" t="s">
        <v>36</v>
      </c>
    </row>
    <row r="22" spans="1:9" x14ac:dyDescent="0.25">
      <c r="H22">
        <f>H18/H19</f>
        <v>1.6666666666666667</v>
      </c>
      <c r="I22" t="s">
        <v>37</v>
      </c>
    </row>
    <row r="23" spans="1:9" x14ac:dyDescent="0.25">
      <c r="B23">
        <f>A20*0.01*10^9</f>
        <v>10020441.701070182</v>
      </c>
      <c r="C23" s="1">
        <f>B23/D23</f>
        <v>3.346929258530041E-2</v>
      </c>
      <c r="D23" s="1">
        <f>1.97*10^(-7)/(6.58*10^(-16))</f>
        <v>299392097.26443762</v>
      </c>
    </row>
    <row r="24" spans="1:9" x14ac:dyDescent="0.25">
      <c r="B24" s="1">
        <f>0.5*C23^2*939</f>
        <v>0.52593086992232896</v>
      </c>
      <c r="C24" t="s">
        <v>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2018-05-07T10:09:00Z</dcterms:created>
  <dcterms:modified xsi:type="dcterms:W3CDTF">2018-05-15T14:07:48Z</dcterms:modified>
</cp:coreProperties>
</file>