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Smallman\DashboardsOnSite\"/>
    </mc:Choice>
  </mc:AlternateContent>
  <xr:revisionPtr revIDLastSave="0" documentId="13_ncr:1_{5797777F-DCAB-4E32-9FAB-6052ED72D35B}" xr6:coauthVersionLast="44" xr6:coauthVersionMax="44" xr10:uidLastSave="{00000000-0000-0000-0000-000000000000}"/>
  <bookViews>
    <workbookView xWindow="-120" yWindow="-120" windowWidth="29040" windowHeight="15840" activeTab="7" xr2:uid="{00000000-000D-0000-FFFF-FFFF00000000}"/>
  </bookViews>
  <sheets>
    <sheet name="Model" sheetId="7" r:id="rId1"/>
    <sheet name="Lists" sheetId="4" r:id="rId2"/>
    <sheet name="HR" sheetId="1" r:id="rId3"/>
    <sheet name="Staff" sheetId="2" r:id="rId4"/>
    <sheet name="Calcs" sheetId="3" r:id="rId5"/>
    <sheet name="Chart" sheetId="6" r:id="rId6"/>
    <sheet name="Check" sheetId="8" r:id="rId7"/>
    <sheet name="Summary" sheetId="5" r:id="rId8"/>
  </sheets>
  <definedNames>
    <definedName name="_xlnm._FilterDatabase" localSheetId="3" hidden="1">Staff!$A$1:$G$121</definedName>
    <definedName name="Dept">Lists!$D$2:$D$5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41595.5207060185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Nation">Lists!$A$3:$A$6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5" i="8" l="1"/>
  <c r="G45" i="8" s="1"/>
  <c r="B46" i="8"/>
  <c r="D46" i="8" s="1"/>
  <c r="B47" i="8"/>
  <c r="E47" i="8" s="1"/>
  <c r="B48" i="8"/>
  <c r="D48" i="8" s="1"/>
  <c r="B49" i="8"/>
  <c r="G49" i="8" s="1"/>
  <c r="B50" i="8"/>
  <c r="H50" i="8" s="1"/>
  <c r="B51" i="8"/>
  <c r="G51" i="8" s="1"/>
  <c r="B52" i="8"/>
  <c r="E52" i="8" s="1"/>
  <c r="B53" i="8"/>
  <c r="G53" i="8" s="1"/>
  <c r="B54" i="8"/>
  <c r="E54" i="8" s="1"/>
  <c r="B55" i="8"/>
  <c r="F55" i="8" s="1"/>
  <c r="C45" i="8"/>
  <c r="C46" i="8"/>
  <c r="C47" i="8"/>
  <c r="C48" i="8"/>
  <c r="C49" i="8"/>
  <c r="E49" i="8" s="1"/>
  <c r="C50" i="8"/>
  <c r="C51" i="8"/>
  <c r="E51" i="8" s="1"/>
  <c r="C52" i="8"/>
  <c r="C53" i="8"/>
  <c r="C54" i="8"/>
  <c r="C55" i="8"/>
  <c r="C44" i="8"/>
  <c r="B44" i="8"/>
  <c r="F44" i="8" s="1"/>
  <c r="E38" i="8"/>
  <c r="C38" i="8"/>
  <c r="F38" i="8" s="1"/>
  <c r="B38" i="8"/>
  <c r="D32" i="8"/>
  <c r="B32" i="8"/>
  <c r="D27" i="8"/>
  <c r="B27" i="8"/>
  <c r="D22" i="8"/>
  <c r="B22" i="8"/>
  <c r="D17" i="8"/>
  <c r="B17" i="8"/>
  <c r="D12" i="8"/>
  <c r="B12" i="8"/>
  <c r="B7" i="8"/>
  <c r="D7" i="8"/>
  <c r="D2" i="8"/>
  <c r="B17" i="5"/>
  <c r="B63" i="3"/>
  <c r="B64" i="3"/>
  <c r="B65" i="3"/>
  <c r="B66" i="3"/>
  <c r="B67" i="3"/>
  <c r="B68" i="3"/>
  <c r="B69" i="3"/>
  <c r="B70" i="3"/>
  <c r="B71" i="3"/>
  <c r="B72" i="3"/>
  <c r="B73" i="3"/>
  <c r="B74" i="3"/>
  <c r="B62" i="3"/>
  <c r="B28" i="3"/>
  <c r="B29" i="3"/>
  <c r="B30" i="3"/>
  <c r="B31" i="3"/>
  <c r="B32" i="3"/>
  <c r="B33" i="3"/>
  <c r="B34" i="3"/>
  <c r="B35" i="3"/>
  <c r="B36" i="3"/>
  <c r="B37" i="3"/>
  <c r="B38" i="3"/>
  <c r="H3" i="4"/>
  <c r="H4" i="4"/>
  <c r="H5" i="4"/>
  <c r="H6" i="4"/>
  <c r="H7" i="4"/>
  <c r="H8" i="4"/>
  <c r="H9" i="4"/>
  <c r="H10" i="4"/>
  <c r="H11" i="4"/>
  <c r="H12" i="4"/>
  <c r="H13" i="4"/>
  <c r="H2" i="4"/>
  <c r="B27" i="3" s="1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2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" i="2"/>
  <c r="F23" i="4"/>
  <c r="F24" i="4" s="1"/>
  <c r="F25" i="4" s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3" i="4"/>
  <c r="E6" i="7"/>
  <c r="E7" i="7"/>
  <c r="E8" i="7"/>
  <c r="E9" i="7"/>
  <c r="E5" i="7"/>
  <c r="E4" i="7"/>
  <c r="E3" i="7"/>
  <c r="E2" i="7"/>
  <c r="G48" i="8" l="1"/>
  <c r="F49" i="8"/>
  <c r="E48" i="8"/>
  <c r="F45" i="8"/>
  <c r="F53" i="8"/>
  <c r="E45" i="8"/>
  <c r="E53" i="8"/>
  <c r="H49" i="8"/>
  <c r="F51" i="8"/>
  <c r="H48" i="8"/>
  <c r="G50" i="8"/>
  <c r="D55" i="8"/>
  <c r="D53" i="8"/>
  <c r="D51" i="8"/>
  <c r="D49" i="8"/>
  <c r="D47" i="8"/>
  <c r="D45" i="8"/>
  <c r="H55" i="8"/>
  <c r="H47" i="8"/>
  <c r="D44" i="8"/>
  <c r="G54" i="8"/>
  <c r="G52" i="8"/>
  <c r="G46" i="8"/>
  <c r="H54" i="8"/>
  <c r="H46" i="8"/>
  <c r="G44" i="8"/>
  <c r="F54" i="8"/>
  <c r="F52" i="8"/>
  <c r="F50" i="8"/>
  <c r="F48" i="8"/>
  <c r="F46" i="8"/>
  <c r="H53" i="8"/>
  <c r="H45" i="8"/>
  <c r="E55" i="8"/>
  <c r="E46" i="8"/>
  <c r="H52" i="8"/>
  <c r="H44" i="8"/>
  <c r="E44" i="8"/>
  <c r="D54" i="8"/>
  <c r="D52" i="8"/>
  <c r="D50" i="8"/>
  <c r="H51" i="8"/>
  <c r="E50" i="8"/>
  <c r="G55" i="8"/>
  <c r="G47" i="8"/>
  <c r="F47" i="8"/>
  <c r="A89" i="3"/>
  <c r="B89" i="3" s="1"/>
  <c r="B4" i="6" s="1"/>
  <c r="D13" i="6" s="1"/>
  <c r="B46" i="6"/>
  <c r="C44" i="6"/>
  <c r="C46" i="6" s="1"/>
  <c r="B40" i="6"/>
  <c r="F57" i="8" l="1"/>
  <c r="E57" i="8"/>
  <c r="H57" i="8"/>
  <c r="D57" i="8"/>
  <c r="G57" i="8"/>
  <c r="D89" i="3"/>
  <c r="B36" i="6" s="1"/>
  <c r="C89" i="3"/>
  <c r="B20" i="6" s="1"/>
  <c r="D29" i="6" s="1"/>
  <c r="C45" i="6"/>
  <c r="D44" i="6"/>
  <c r="D46" i="6" s="1"/>
  <c r="B14" i="6"/>
  <c r="B24" i="6"/>
  <c r="C28" i="6"/>
  <c r="D28" i="6" s="1"/>
  <c r="D30" i="6" s="1"/>
  <c r="B30" i="6"/>
  <c r="D45" i="6" l="1"/>
  <c r="B45" i="6"/>
  <c r="C30" i="6"/>
  <c r="B8" i="6" l="1"/>
  <c r="B13" i="6"/>
  <c r="C13" i="6" l="1"/>
  <c r="C12" i="6"/>
  <c r="C14" i="6" s="1"/>
  <c r="C29" i="6"/>
  <c r="D12" i="6" l="1"/>
  <c r="D14" i="6" s="1"/>
  <c r="B29" i="6" l="1"/>
  <c r="A79" i="3" l="1"/>
  <c r="C79" i="3" s="1"/>
  <c r="A80" i="3"/>
  <c r="F80" i="3" s="1"/>
  <c r="A81" i="3"/>
  <c r="E81" i="3" s="1"/>
  <c r="A78" i="3"/>
  <c r="E78" i="3" s="1"/>
  <c r="D81" i="3" l="1"/>
  <c r="F79" i="3"/>
  <c r="G78" i="3"/>
  <c r="G81" i="3"/>
  <c r="C81" i="3"/>
  <c r="D80" i="3"/>
  <c r="E79" i="3"/>
  <c r="C78" i="3"/>
  <c r="D78" i="3"/>
  <c r="F78" i="3"/>
  <c r="F81" i="3"/>
  <c r="G80" i="3"/>
  <c r="C80" i="3"/>
  <c r="D79" i="3"/>
  <c r="E80" i="3"/>
  <c r="G79" i="3"/>
  <c r="C15" i="5" l="1"/>
  <c r="C13" i="5"/>
  <c r="C11" i="5"/>
  <c r="A47" i="3" l="1"/>
  <c r="C47" i="3" s="1"/>
  <c r="A48" i="3"/>
  <c r="C48" i="3" s="1"/>
  <c r="A49" i="3"/>
  <c r="C49" i="3" s="1"/>
  <c r="A46" i="3"/>
  <c r="C46" i="3" s="1"/>
  <c r="A55" i="3"/>
  <c r="D55" i="3" s="1"/>
  <c r="A56" i="3"/>
  <c r="A57" i="3"/>
  <c r="D57" i="3" s="1"/>
  <c r="A54" i="3"/>
  <c r="A63" i="3"/>
  <c r="D63" i="3" s="1"/>
  <c r="A64" i="3"/>
  <c r="C64" i="3" s="1"/>
  <c r="A65" i="3"/>
  <c r="D65" i="3" s="1"/>
  <c r="A66" i="3"/>
  <c r="C66" i="3" s="1"/>
  <c r="A67" i="3"/>
  <c r="D67" i="3" s="1"/>
  <c r="A68" i="3"/>
  <c r="D68" i="3" s="1"/>
  <c r="A69" i="3"/>
  <c r="D69" i="3" s="1"/>
  <c r="A70" i="3"/>
  <c r="D70" i="3" s="1"/>
  <c r="A71" i="3"/>
  <c r="D71" i="3" s="1"/>
  <c r="A72" i="3"/>
  <c r="D72" i="3" s="1"/>
  <c r="A73" i="3"/>
  <c r="D73" i="3" s="1"/>
  <c r="A62" i="3"/>
  <c r="C62" i="3" s="1"/>
  <c r="A27" i="3"/>
  <c r="A28" i="3"/>
  <c r="D28" i="3" s="1"/>
  <c r="A29" i="3"/>
  <c r="D29" i="3" s="1"/>
  <c r="A30" i="3"/>
  <c r="D30" i="3" s="1"/>
  <c r="A31" i="3"/>
  <c r="D31" i="3" s="1"/>
  <c r="A32" i="3"/>
  <c r="D32" i="3" s="1"/>
  <c r="A33" i="3"/>
  <c r="D33" i="3" s="1"/>
  <c r="A34" i="3"/>
  <c r="D34" i="3" s="1"/>
  <c r="A35" i="3"/>
  <c r="D35" i="3" s="1"/>
  <c r="A36" i="3"/>
  <c r="D36" i="3" s="1"/>
  <c r="A37" i="3"/>
  <c r="D37" i="3" s="1"/>
  <c r="A38" i="3"/>
  <c r="D38" i="3" s="1"/>
  <c r="A20" i="3"/>
  <c r="C20" i="3" s="1"/>
  <c r="A21" i="3"/>
  <c r="C21" i="3" s="1"/>
  <c r="A22" i="3"/>
  <c r="C22" i="3" s="1"/>
  <c r="A19" i="3"/>
  <c r="C19" i="3" s="1"/>
  <c r="A4" i="3"/>
  <c r="A5" i="3"/>
  <c r="A6" i="3"/>
  <c r="A7" i="3"/>
  <c r="A8" i="3"/>
  <c r="A12" i="3"/>
  <c r="A13" i="3"/>
  <c r="A14" i="3"/>
  <c r="A15" i="3"/>
  <c r="A3" i="3"/>
  <c r="B4" i="3"/>
  <c r="B5" i="3"/>
  <c r="B6" i="3"/>
  <c r="B7" i="3"/>
  <c r="B8" i="3"/>
  <c r="B3" i="3"/>
  <c r="G7" i="5"/>
  <c r="K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C23" i="3" l="1"/>
  <c r="E40" i="8" s="1"/>
  <c r="D64" i="3"/>
  <c r="C32" i="8"/>
  <c r="C17" i="8"/>
  <c r="C12" i="8"/>
  <c r="C22" i="8"/>
  <c r="C7" i="8"/>
  <c r="C27" i="8"/>
  <c r="C57" i="3"/>
  <c r="C2" i="8"/>
  <c r="D27" i="3"/>
  <c r="D40" i="3" s="1"/>
  <c r="E59" i="8" s="1"/>
  <c r="C27" i="3"/>
  <c r="C50" i="3"/>
  <c r="C72" i="3"/>
  <c r="C71" i="3"/>
  <c r="E48" i="3"/>
  <c r="E47" i="3"/>
  <c r="C63" i="3"/>
  <c r="D48" i="3"/>
  <c r="C68" i="3"/>
  <c r="C55" i="3"/>
  <c r="C67" i="3"/>
  <c r="C54" i="3"/>
  <c r="D54" i="3"/>
  <c r="C56" i="3"/>
  <c r="D56" i="3"/>
  <c r="D19" i="3"/>
  <c r="D22" i="3"/>
  <c r="D21" i="3"/>
  <c r="D20" i="3"/>
  <c r="D66" i="3"/>
  <c r="E49" i="3"/>
  <c r="C70" i="3"/>
  <c r="C73" i="3"/>
  <c r="C69" i="3"/>
  <c r="C65" i="3"/>
  <c r="D49" i="3"/>
  <c r="D47" i="3"/>
  <c r="D46" i="3"/>
  <c r="E46" i="3"/>
  <c r="D62" i="3"/>
  <c r="C35" i="3"/>
  <c r="C31" i="3"/>
  <c r="C33" i="3"/>
  <c r="D3" i="3"/>
  <c r="C37" i="3"/>
  <c r="C29" i="3"/>
  <c r="E38" i="3"/>
  <c r="E37" i="3"/>
  <c r="E36" i="3"/>
  <c r="E35" i="3"/>
  <c r="E34" i="3"/>
  <c r="E33" i="3"/>
  <c r="E32" i="3"/>
  <c r="E31" i="3"/>
  <c r="E30" i="3"/>
  <c r="E29" i="3"/>
  <c r="E28" i="3"/>
  <c r="E27" i="3"/>
  <c r="C38" i="3"/>
  <c r="C36" i="3"/>
  <c r="C34" i="3"/>
  <c r="C32" i="3"/>
  <c r="C30" i="3"/>
  <c r="C28" i="3"/>
  <c r="C9" i="5"/>
  <c r="E27" i="8" l="1"/>
  <c r="G27" i="8"/>
  <c r="F27" i="8"/>
  <c r="H27" i="8"/>
  <c r="H7" i="8"/>
  <c r="E7" i="8"/>
  <c r="F7" i="8"/>
  <c r="G7" i="8"/>
  <c r="H22" i="8"/>
  <c r="G22" i="8"/>
  <c r="F22" i="8"/>
  <c r="E22" i="8"/>
  <c r="G12" i="8"/>
  <c r="F12" i="8"/>
  <c r="E12" i="8"/>
  <c r="H12" i="8"/>
  <c r="E17" i="8"/>
  <c r="H17" i="8"/>
  <c r="G17" i="8"/>
  <c r="F17" i="8"/>
  <c r="G32" i="8"/>
  <c r="F32" i="8"/>
  <c r="H32" i="8"/>
  <c r="E32" i="8"/>
  <c r="G2" i="8"/>
  <c r="H2" i="8"/>
  <c r="F2" i="8"/>
  <c r="E2" i="8"/>
  <c r="E4" i="8" s="1"/>
  <c r="E40" i="3"/>
  <c r="F59" i="8" s="1"/>
  <c r="C74" i="3"/>
  <c r="G59" i="8" s="1"/>
  <c r="D74" i="3"/>
  <c r="H59" i="8" s="1"/>
  <c r="C40" i="3"/>
  <c r="D59" i="8" s="1"/>
  <c r="E50" i="3"/>
  <c r="D50" i="3"/>
  <c r="C58" i="3"/>
  <c r="D58" i="3"/>
  <c r="D23" i="3"/>
  <c r="F40" i="8" s="1"/>
  <c r="J40" i="8" s="1"/>
  <c r="P2" i="1"/>
  <c r="O14" i="1"/>
  <c r="P14" i="1"/>
  <c r="O15" i="1"/>
  <c r="P15" i="1"/>
  <c r="O16" i="1"/>
  <c r="P16" i="1"/>
  <c r="Q16" i="1"/>
  <c r="R17" i="1"/>
  <c r="O17" i="1"/>
  <c r="Q3" i="1"/>
  <c r="R3" i="1"/>
  <c r="O4" i="1"/>
  <c r="O5" i="1"/>
  <c r="O6" i="1"/>
  <c r="O7" i="1"/>
  <c r="O8" i="1"/>
  <c r="P8" i="1"/>
  <c r="Q8" i="1"/>
  <c r="O9" i="1"/>
  <c r="Q9" i="1"/>
  <c r="R9" i="1"/>
  <c r="O10" i="1"/>
  <c r="Q10" i="1"/>
  <c r="O11" i="1"/>
  <c r="Q11" i="1"/>
  <c r="R11" i="1"/>
  <c r="O12" i="1"/>
  <c r="P12" i="1"/>
  <c r="Q12" i="1"/>
  <c r="O13" i="1"/>
  <c r="P13" i="1"/>
  <c r="R13" i="1"/>
  <c r="Q2" i="1"/>
  <c r="R2" i="1"/>
  <c r="G4" i="3" s="1"/>
  <c r="J13" i="5" s="1"/>
  <c r="M14" i="1"/>
  <c r="Q14" i="1" s="1"/>
  <c r="N10" i="1"/>
  <c r="R10" i="1" s="1"/>
  <c r="L5" i="1"/>
  <c r="M5" i="1" s="1"/>
  <c r="N5" i="1" s="1"/>
  <c r="R5" i="1" s="1"/>
  <c r="L6" i="1"/>
  <c r="M6" i="1" s="1"/>
  <c r="L7" i="1"/>
  <c r="M7" i="1" s="1"/>
  <c r="N7" i="1" s="1"/>
  <c r="R7" i="1" s="1"/>
  <c r="N8" i="1"/>
  <c r="R8" i="1" s="1"/>
  <c r="L9" i="1"/>
  <c r="P9" i="1" s="1"/>
  <c r="L10" i="1"/>
  <c r="P10" i="1" s="1"/>
  <c r="L11" i="1"/>
  <c r="P11" i="1" s="1"/>
  <c r="N12" i="1"/>
  <c r="R12" i="1" s="1"/>
  <c r="M13" i="1"/>
  <c r="Q13" i="1" s="1"/>
  <c r="N16" i="1"/>
  <c r="R16" i="1" s="1"/>
  <c r="L17" i="1"/>
  <c r="M17" i="1" s="1"/>
  <c r="Q17" i="1" s="1"/>
  <c r="L4" i="1"/>
  <c r="M4" i="1" s="1"/>
  <c r="N4" i="1" s="1"/>
  <c r="R4" i="1" s="1"/>
  <c r="J59" i="8" l="1"/>
  <c r="H9" i="8"/>
  <c r="P7" i="1"/>
  <c r="D7" i="3"/>
  <c r="E24" i="8" s="1"/>
  <c r="E8" i="3"/>
  <c r="H25" i="5" s="1"/>
  <c r="G8" i="3"/>
  <c r="J25" i="5" s="1"/>
  <c r="F7" i="3"/>
  <c r="I22" i="5" s="1"/>
  <c r="D6" i="3"/>
  <c r="E19" i="8" s="1"/>
  <c r="F6" i="3"/>
  <c r="I19" i="5" s="1"/>
  <c r="D5" i="3"/>
  <c r="E14" i="8" s="1"/>
  <c r="F5" i="3"/>
  <c r="I16" i="5" s="1"/>
  <c r="D4" i="3"/>
  <c r="E9" i="8" s="1"/>
  <c r="F3" i="3"/>
  <c r="I10" i="5" s="1"/>
  <c r="G10" i="5"/>
  <c r="D8" i="3"/>
  <c r="E29" i="8" s="1"/>
  <c r="F8" i="3"/>
  <c r="I25" i="5" s="1"/>
  <c r="E7" i="3"/>
  <c r="H22" i="5" s="1"/>
  <c r="G7" i="3"/>
  <c r="J22" i="5" s="1"/>
  <c r="E6" i="3"/>
  <c r="H19" i="5" s="1"/>
  <c r="G6" i="3"/>
  <c r="J19" i="5" s="1"/>
  <c r="E5" i="3"/>
  <c r="H16" i="5" s="1"/>
  <c r="G5" i="3"/>
  <c r="J16" i="5" s="1"/>
  <c r="E3" i="3"/>
  <c r="F4" i="8" s="1"/>
  <c r="G3" i="3"/>
  <c r="J10" i="5" s="1"/>
  <c r="N6" i="1"/>
  <c r="R6" i="1" s="1"/>
  <c r="Q6" i="1"/>
  <c r="P6" i="1"/>
  <c r="P5" i="1"/>
  <c r="E4" i="3" s="1"/>
  <c r="H13" i="5" s="1"/>
  <c r="P4" i="1"/>
  <c r="Q7" i="1"/>
  <c r="Q5" i="1"/>
  <c r="F4" i="3" s="1"/>
  <c r="I13" i="5" s="1"/>
  <c r="Q4" i="1"/>
  <c r="P17" i="1"/>
  <c r="G24" i="8" l="1"/>
  <c r="G29" i="8"/>
  <c r="G19" i="8"/>
  <c r="F14" i="8"/>
  <c r="F9" i="8"/>
  <c r="H19" i="8"/>
  <c r="H29" i="8"/>
  <c r="G9" i="8"/>
  <c r="J9" i="8" s="1"/>
  <c r="H4" i="8"/>
  <c r="H14" i="8"/>
  <c r="H24" i="8"/>
  <c r="F29" i="8"/>
  <c r="F19" i="8"/>
  <c r="G4" i="8"/>
  <c r="F24" i="8"/>
  <c r="G14" i="8"/>
  <c r="G25" i="5"/>
  <c r="K25" i="5" s="1"/>
  <c r="H8" i="3"/>
  <c r="G16" i="5"/>
  <c r="H5" i="3"/>
  <c r="H10" i="5"/>
  <c r="K10" i="5" s="1"/>
  <c r="H3" i="3"/>
  <c r="G13" i="5"/>
  <c r="K13" i="5" s="1"/>
  <c r="H4" i="3"/>
  <c r="G19" i="5"/>
  <c r="K19" i="5" s="1"/>
  <c r="H6" i="3"/>
  <c r="G22" i="5"/>
  <c r="K22" i="5" s="1"/>
  <c r="H7" i="3"/>
  <c r="E12" i="3"/>
  <c r="G12" i="3"/>
  <c r="F12" i="3"/>
  <c r="D12" i="3"/>
  <c r="J14" i="8" l="1"/>
  <c r="J19" i="8"/>
  <c r="J29" i="8"/>
  <c r="J24" i="8"/>
  <c r="J4" i="8"/>
  <c r="H12" i="3"/>
  <c r="K16" i="5" s="1"/>
  <c r="D13" i="3"/>
  <c r="E34" i="8" s="1"/>
  <c r="F13" i="3"/>
  <c r="G34" i="8" s="1"/>
  <c r="E13" i="3"/>
  <c r="F34" i="8" s="1"/>
  <c r="G13" i="3"/>
  <c r="H34" i="8" s="1"/>
  <c r="J34" i="8" l="1"/>
  <c r="J62" i="8" s="1"/>
  <c r="D62" i="8" s="1"/>
  <c r="C57" i="5" s="1"/>
  <c r="H13" i="3"/>
  <c r="D14" i="3"/>
  <c r="F14" i="3"/>
  <c r="E14" i="3"/>
  <c r="G14" i="3"/>
  <c r="H14" i="3" l="1"/>
  <c r="D15" i="3"/>
  <c r="F15" i="3"/>
  <c r="E15" i="3"/>
  <c r="G15" i="3"/>
  <c r="H15" i="3" l="1"/>
</calcChain>
</file>

<file path=xl/sharedStrings.xml><?xml version="1.0" encoding="utf-8"?>
<sst xmlns="http://schemas.openxmlformats.org/spreadsheetml/2006/main" count="503" uniqueCount="156">
  <si>
    <t>Region</t>
  </si>
  <si>
    <t>City</t>
  </si>
  <si>
    <t>FTEs</t>
  </si>
  <si>
    <t>Overtime Hrs</t>
  </si>
  <si>
    <t>Avg Svs Length</t>
  </si>
  <si>
    <t>Avg Salary</t>
  </si>
  <si>
    <t>England</t>
  </si>
  <si>
    <t>IT</t>
  </si>
  <si>
    <t>Finance</t>
  </si>
  <si>
    <t>HR</t>
  </si>
  <si>
    <t>Strategy</t>
  </si>
  <si>
    <t>Scotland</t>
  </si>
  <si>
    <t>Wales</t>
  </si>
  <si>
    <t>Northern Ireland</t>
  </si>
  <si>
    <t>Month</t>
  </si>
  <si>
    <t>Q1</t>
  </si>
  <si>
    <t>Q2</t>
  </si>
  <si>
    <t>Q3</t>
  </si>
  <si>
    <t>Q4</t>
  </si>
  <si>
    <t>FTE/Contractor</t>
  </si>
  <si>
    <t xml:space="preserve"> Train Q1</t>
  </si>
  <si>
    <t xml:space="preserve"> Train Q2</t>
  </si>
  <si>
    <t xml:space="preserve"> Train Q3</t>
  </si>
  <si>
    <t xml:space="preserve"> Train Q4</t>
  </si>
  <si>
    <t>Survey Q1</t>
  </si>
  <si>
    <t>Survey Q2</t>
  </si>
  <si>
    <t>Survey Q3</t>
  </si>
  <si>
    <t>Survey Q4</t>
  </si>
  <si>
    <t>Gender FM % Q1</t>
  </si>
  <si>
    <t>Gender FM % Q2</t>
  </si>
  <si>
    <t>Gender FM % Q3</t>
  </si>
  <si>
    <t>Gender FM % Q4</t>
  </si>
  <si>
    <t>Rating Q1</t>
  </si>
  <si>
    <t>Rating Q2</t>
  </si>
  <si>
    <t>Rating Q3</t>
  </si>
  <si>
    <t>Rating Q4</t>
  </si>
  <si>
    <t>FTE/Contractor Q1</t>
  </si>
  <si>
    <t>FTE/Contractor Q2</t>
  </si>
  <si>
    <t>FTE/Contractor Q3</t>
  </si>
  <si>
    <t>FTE/Contractor Q4</t>
  </si>
  <si>
    <t>Overtime Hrs Q1</t>
  </si>
  <si>
    <t>Overtime Hrs Q2</t>
  </si>
  <si>
    <t>Overtime Hrs Q3</t>
  </si>
  <si>
    <t>Overtime Hrs Q4</t>
  </si>
  <si>
    <t>List of Areas</t>
  </si>
  <si>
    <t>Actual</t>
  </si>
  <si>
    <t>Jan</t>
  </si>
  <si>
    <t>Menu</t>
  </si>
  <si>
    <t>Group</t>
  </si>
  <si>
    <t>Budget</t>
  </si>
  <si>
    <t>Feb</t>
  </si>
  <si>
    <t>Forecast 1</t>
  </si>
  <si>
    <t>Mar</t>
  </si>
  <si>
    <t>Forecast 2</t>
  </si>
  <si>
    <t>Apr</t>
  </si>
  <si>
    <t>Forecast 3</t>
  </si>
  <si>
    <t>May</t>
  </si>
  <si>
    <t>Jun</t>
  </si>
  <si>
    <t>Jul</t>
  </si>
  <si>
    <t>Aug</t>
  </si>
  <si>
    <t>Sep</t>
  </si>
  <si>
    <t>Oct</t>
  </si>
  <si>
    <t>Nov</t>
  </si>
  <si>
    <t>Dec</t>
  </si>
  <si>
    <t>Dept</t>
  </si>
  <si>
    <t>Training</t>
  </si>
  <si>
    <t>Gender</t>
  </si>
  <si>
    <t>Rating</t>
  </si>
  <si>
    <t>Overtime</t>
  </si>
  <si>
    <t>Satisfaction</t>
  </si>
  <si>
    <t>Category</t>
  </si>
  <si>
    <t>Employee Satisfaction %</t>
  </si>
  <si>
    <t>Avg Staff Rating (0-5)</t>
  </si>
  <si>
    <t>FTE/Contractor %</t>
  </si>
  <si>
    <t>Department</t>
  </si>
  <si>
    <t>Trend</t>
  </si>
  <si>
    <t>FTE Q1</t>
  </si>
  <si>
    <t>FTE Q2</t>
  </si>
  <si>
    <t>FTE Q3</t>
  </si>
  <si>
    <t>FTE Q4</t>
  </si>
  <si>
    <t>FTE</t>
  </si>
  <si>
    <t>Consultants</t>
  </si>
  <si>
    <t>Open Positions</t>
  </si>
  <si>
    <t>Part Time</t>
  </si>
  <si>
    <t>Qtly Trend</t>
  </si>
  <si>
    <t>Casual Staff</t>
  </si>
  <si>
    <t>Termination</t>
  </si>
  <si>
    <t>New Hires</t>
  </si>
  <si>
    <t>Avg Bonus</t>
  </si>
  <si>
    <t>Avg Overtime</t>
  </si>
  <si>
    <t>AvgLeave Balance</t>
  </si>
  <si>
    <t>Selection</t>
  </si>
  <si>
    <t>Spend Per Hire</t>
  </si>
  <si>
    <t>Months</t>
  </si>
  <si>
    <t>Gender Diversity % M/F</t>
  </si>
  <si>
    <t>Spend per Hire</t>
  </si>
  <si>
    <t>Department &gt;&gt;</t>
  </si>
  <si>
    <t>Avg Perf Score</t>
  </si>
  <si>
    <t>Perf Score</t>
  </si>
  <si>
    <t>19-25</t>
  </si>
  <si>
    <t>26-35</t>
  </si>
  <si>
    <t>36-45</t>
  </si>
  <si>
    <t>46-55</t>
  </si>
  <si>
    <t>55+</t>
  </si>
  <si>
    <t>Total</t>
  </si>
  <si>
    <t>Gradation2</t>
  </si>
  <si>
    <t>Grad</t>
  </si>
  <si>
    <t>OK</t>
  </si>
  <si>
    <t>Poor</t>
  </si>
  <si>
    <t>Desc</t>
  </si>
  <si>
    <t>Target Cat</t>
  </si>
  <si>
    <t>Target Val</t>
  </si>
  <si>
    <t>Target</t>
  </si>
  <si>
    <t>Good</t>
  </si>
  <si>
    <t>Promo Rate</t>
  </si>
  <si>
    <t>Speed to Hire</t>
  </si>
  <si>
    <t>Cust Satisfaction</t>
  </si>
  <si>
    <t>Avg</t>
  </si>
  <si>
    <t>Toal</t>
  </si>
  <si>
    <t>Sheets</t>
  </si>
  <si>
    <t>Sheet Type</t>
  </si>
  <si>
    <t>Description</t>
  </si>
  <si>
    <t>Model</t>
  </si>
  <si>
    <t>Assumptions</t>
  </si>
  <si>
    <t>Description of Sheets</t>
  </si>
  <si>
    <t>List</t>
  </si>
  <si>
    <t>Lists and model assumptions</t>
  </si>
  <si>
    <t>Input Sheet</t>
  </si>
  <si>
    <t>Revenue metrics</t>
  </si>
  <si>
    <t>Expense metrics</t>
  </si>
  <si>
    <t>Chart</t>
  </si>
  <si>
    <t>Calculations sheet</t>
  </si>
  <si>
    <t>Primary calculations page</t>
  </si>
  <si>
    <t>Check</t>
  </si>
  <si>
    <t>Error trapping</t>
  </si>
  <si>
    <t>Checks and balances for the model</t>
  </si>
  <si>
    <t>Summary</t>
  </si>
  <si>
    <t>Output Sheet</t>
  </si>
  <si>
    <t>Primary output page</t>
  </si>
  <si>
    <t>Links</t>
  </si>
  <si>
    <t>Staff</t>
  </si>
  <si>
    <t>Primary chart page</t>
  </si>
  <si>
    <t>Calcs</t>
  </si>
  <si>
    <t>Date</t>
  </si>
  <si>
    <t>Date CY</t>
  </si>
  <si>
    <t>Employees Trained #</t>
  </si>
  <si>
    <t>Metric</t>
  </si>
  <si>
    <t>Country</t>
  </si>
  <si>
    <t>Choice</t>
  </si>
  <si>
    <t>Date aAll</t>
  </si>
  <si>
    <t>Area</t>
  </si>
  <si>
    <t>Total Check</t>
  </si>
  <si>
    <t>Model OK</t>
  </si>
  <si>
    <t>Check Model</t>
  </si>
  <si>
    <t>Checks</t>
  </si>
  <si>
    <t>Model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</si>
</sst>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d\ mmm\ yy;@"/>
    <numFmt numFmtId="166" formatCode="mmm\ yy;@"/>
    <numFmt numFmtId="167" formatCode="_-* #,##0.0_-;\-* #,##0.0_-;_-* &quot;-&quot;??_-;_-@_-"/>
    <numFmt numFmtId="168" formatCode="_-&quot;$&quot;* #,##0.0_-;\-&quot;$&quot;* #,##0.0_-;_-&quot;$&quot;* &quot;-&quot;??_-;_-@_-"/>
    <numFmt numFmtId="169" formatCode="&quot;$&quot;#,##0.0&quot; k&quot;;\-&quot;$&quot;#,##0.0\ "/>
  </numFmts>
  <fonts count="1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7" tint="0.3999755851924192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Tahoma"/>
      <family val="2"/>
    </font>
    <font>
      <sz val="10"/>
      <color theme="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0"/>
      <name val="Arial"/>
      <family val="2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charset val="238"/>
      <scheme val="minor"/>
    </font>
    <font>
      <sz val="10"/>
      <color theme="4" tint="-0.249977111117893"/>
      <name val="Arial"/>
      <family val="2"/>
    </font>
    <font>
      <sz val="10"/>
      <color theme="1" tint="0.3499862666707357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71">
    <xf numFmtId="0" fontId="0" fillId="0" borderId="0" xfId="0"/>
    <xf numFmtId="164" fontId="0" fillId="0" borderId="0" xfId="1" applyNumberFormat="1" applyFont="1"/>
    <xf numFmtId="0" fontId="4" fillId="0" borderId="0" xfId="0" applyFont="1"/>
    <xf numFmtId="0" fontId="4" fillId="0" borderId="0" xfId="0" applyFont="1" applyFill="1"/>
    <xf numFmtId="0" fontId="5" fillId="0" borderId="0" xfId="0" applyFont="1"/>
    <xf numFmtId="0" fontId="3" fillId="0" borderId="0" xfId="0" applyFont="1"/>
    <xf numFmtId="0" fontId="3" fillId="2" borderId="0" xfId="0" applyFont="1" applyFill="1" applyAlignment="1">
      <alignment horizontal="left"/>
    </xf>
    <xf numFmtId="164" fontId="0" fillId="0" borderId="0" xfId="1" applyNumberFormat="1" applyFont="1" applyFill="1"/>
    <xf numFmtId="43" fontId="0" fillId="0" borderId="0" xfId="1" applyFont="1" applyFill="1"/>
    <xf numFmtId="0" fontId="6" fillId="0" borderId="0" xfId="0" applyFont="1"/>
    <xf numFmtId="0" fontId="3" fillId="3" borderId="0" xfId="0" applyFont="1" applyFill="1"/>
    <xf numFmtId="0" fontId="0" fillId="3" borderId="0" xfId="0" applyFill="1"/>
    <xf numFmtId="164" fontId="0" fillId="3" borderId="0" xfId="1" applyNumberFormat="1" applyFont="1" applyFill="1" applyAlignment="1">
      <alignment horizontal="left"/>
    </xf>
    <xf numFmtId="0" fontId="0" fillId="3" borderId="0" xfId="0" applyFill="1" applyAlignment="1">
      <alignment horizontal="left"/>
    </xf>
    <xf numFmtId="165" fontId="4" fillId="0" borderId="0" xfId="1" applyNumberFormat="1" applyFont="1" applyFill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  <xf numFmtId="0" fontId="0" fillId="0" borderId="0" xfId="0" applyFill="1"/>
    <xf numFmtId="166" fontId="4" fillId="0" borderId="0" xfId="1" applyNumberFormat="1" applyFont="1" applyFill="1" applyBorder="1"/>
    <xf numFmtId="0" fontId="0" fillId="0" borderId="0" xfId="0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43" fontId="0" fillId="0" borderId="0" xfId="1" applyNumberFormat="1" applyFont="1"/>
    <xf numFmtId="164" fontId="8" fillId="0" borderId="0" xfId="1" applyNumberFormat="1" applyFont="1"/>
    <xf numFmtId="164" fontId="8" fillId="0" borderId="0" xfId="1" applyNumberFormat="1" applyFont="1" applyFill="1"/>
    <xf numFmtId="43" fontId="8" fillId="0" borderId="0" xfId="1" applyNumberFormat="1" applyFont="1"/>
    <xf numFmtId="0" fontId="3" fillId="0" borderId="0" xfId="0" applyFont="1" applyFill="1"/>
    <xf numFmtId="0" fontId="0" fillId="0" borderId="0" xfId="0" applyAlignment="1">
      <alignment horizontal="right"/>
    </xf>
    <xf numFmtId="0" fontId="10" fillId="4" borderId="0" xfId="0" applyFont="1" applyFill="1"/>
    <xf numFmtId="0" fontId="10" fillId="4" borderId="0" xfId="0" applyFont="1" applyFill="1" applyAlignment="1">
      <alignment horizontal="right"/>
    </xf>
    <xf numFmtId="0" fontId="12" fillId="0" borderId="0" xfId="0" applyFont="1" applyFill="1"/>
    <xf numFmtId="167" fontId="0" fillId="0" borderId="0" xfId="1" applyNumberFormat="1" applyFont="1" applyFill="1"/>
    <xf numFmtId="0" fontId="10" fillId="4" borderId="0" xfId="0" quotePrefix="1" applyFont="1" applyFill="1"/>
    <xf numFmtId="9" fontId="0" fillId="0" borderId="0" xfId="0" applyNumberFormat="1"/>
    <xf numFmtId="9" fontId="0" fillId="0" borderId="0" xfId="3" applyFont="1"/>
    <xf numFmtId="10" fontId="0" fillId="0" borderId="0" xfId="0" applyNumberFormat="1"/>
    <xf numFmtId="0" fontId="13" fillId="4" borderId="0" xfId="0" applyFont="1" applyFill="1"/>
    <xf numFmtId="0" fontId="1" fillId="0" borderId="0" xfId="4"/>
    <xf numFmtId="0" fontId="11" fillId="4" borderId="0" xfId="4" applyFont="1" applyFill="1"/>
    <xf numFmtId="164" fontId="0" fillId="0" borderId="0" xfId="6" applyNumberFormat="1" applyFont="1"/>
    <xf numFmtId="9" fontId="1" fillId="0" borderId="0" xfId="4" applyNumberFormat="1"/>
    <xf numFmtId="43" fontId="1" fillId="0" borderId="0" xfId="1" applyFont="1"/>
    <xf numFmtId="164" fontId="1" fillId="0" borderId="0" xfId="1" applyNumberFormat="1" applyFont="1"/>
    <xf numFmtId="9" fontId="1" fillId="0" borderId="0" xfId="3" applyFont="1"/>
    <xf numFmtId="43" fontId="0" fillId="0" borderId="0" xfId="1" applyFont="1"/>
    <xf numFmtId="164" fontId="0" fillId="0" borderId="0" xfId="0" applyNumberFormat="1"/>
    <xf numFmtId="167" fontId="0" fillId="3" borderId="0" xfId="1" applyNumberFormat="1" applyFont="1" applyFill="1" applyAlignment="1">
      <alignment horizontal="left"/>
    </xf>
    <xf numFmtId="164" fontId="0" fillId="3" borderId="0" xfId="1" applyNumberFormat="1" applyFont="1" applyFill="1"/>
    <xf numFmtId="0" fontId="3" fillId="0" borderId="0" xfId="0" applyFont="1" applyAlignment="1">
      <alignment horizontal="left" indent="2"/>
    </xf>
    <xf numFmtId="167" fontId="3" fillId="0" borderId="0" xfId="1" applyNumberFormat="1" applyFont="1" applyFill="1"/>
    <xf numFmtId="164" fontId="3" fillId="0" borderId="0" xfId="0" applyNumberFormat="1" applyFont="1" applyFill="1"/>
    <xf numFmtId="168" fontId="0" fillId="0" borderId="0" xfId="2" applyNumberFormat="1" applyFont="1" applyFill="1"/>
    <xf numFmtId="169" fontId="0" fillId="0" borderId="0" xfId="2" applyNumberFormat="1" applyFont="1" applyFill="1"/>
    <xf numFmtId="0" fontId="0" fillId="3" borderId="0" xfId="0" applyFill="1" applyAlignment="1">
      <alignment horizontal="right"/>
    </xf>
    <xf numFmtId="164" fontId="13" fillId="4" borderId="0" xfId="1" applyNumberFormat="1" applyFont="1" applyFill="1"/>
    <xf numFmtId="0" fontId="11" fillId="4" borderId="0" xfId="0" applyFont="1" applyFill="1"/>
    <xf numFmtId="0" fontId="11" fillId="5" borderId="0" xfId="0" applyFont="1" applyFill="1"/>
    <xf numFmtId="0" fontId="14" fillId="0" borderId="0" xfId="0" applyFont="1"/>
    <xf numFmtId="0" fontId="11" fillId="6" borderId="0" xfId="0" applyFont="1" applyFill="1"/>
    <xf numFmtId="0" fontId="11" fillId="7" borderId="0" xfId="0" applyFont="1" applyFill="1"/>
    <xf numFmtId="0" fontId="11" fillId="8" borderId="0" xfId="0" applyFont="1" applyFill="1"/>
    <xf numFmtId="0" fontId="15" fillId="0" borderId="0" xfId="7"/>
    <xf numFmtId="14" fontId="0" fillId="0" borderId="0" xfId="0" applyNumberFormat="1"/>
    <xf numFmtId="14" fontId="16" fillId="9" borderId="0" xfId="0" applyNumberFormat="1" applyFont="1" applyFill="1"/>
    <xf numFmtId="0" fontId="10" fillId="4" borderId="0" xfId="0" applyFont="1" applyFill="1" applyAlignment="1">
      <alignment horizontal="left"/>
    </xf>
    <xf numFmtId="43" fontId="0" fillId="0" borderId="0" xfId="0" applyNumberFormat="1"/>
    <xf numFmtId="0" fontId="17" fillId="0" borderId="0" xfId="0" applyFont="1"/>
    <xf numFmtId="0" fontId="0" fillId="3" borderId="0" xfId="0" applyFill="1" applyAlignment="1"/>
    <xf numFmtId="0" fontId="0" fillId="0" borderId="0" xfId="0" applyAlignment="1"/>
    <xf numFmtId="0" fontId="3" fillId="0" borderId="0" xfId="0" applyFont="1" applyFill="1" applyAlignment="1">
      <alignment horizontal="center"/>
    </xf>
  </cellXfs>
  <cellStyles count="8">
    <cellStyle name="Comma" xfId="1" builtinId="3"/>
    <cellStyle name="Comma 2" xfId="6" xr:uid="{00000000-0005-0000-0000-000001000000}"/>
    <cellStyle name="Currency" xfId="2" builtinId="4"/>
    <cellStyle name="Hyperlink" xfId="7" builtinId="8"/>
    <cellStyle name="Normal" xfId="0" builtinId="0"/>
    <cellStyle name="Normal 2" xfId="4" xr:uid="{00000000-0005-0000-0000-000004000000}"/>
    <cellStyle name="Percent" xfId="3" builtinId="5"/>
    <cellStyle name="Percent 2" xfId="5" xr:uid="{00000000-0005-0000-0000-000006000000}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8.png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5.png"/><Relationship Id="rId1" Type="http://schemas.openxmlformats.org/officeDocument/2006/relationships/image" Target="../media/image8.pn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microsoft.com/office/2011/relationships/chartColorStyle" Target="colors3.xml"/><Relationship Id="rId1" Type="http://schemas.microsoft.com/office/2011/relationships/chartStyle" Target="style3.xml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5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557676591082315E-3"/>
          <c:y val="0.13599846192983256"/>
          <c:w val="0.99664423234089172"/>
          <c:h val="0.72324473076694384"/>
        </c:manualLayout>
      </c:layout>
      <c:bubbleChart>
        <c:varyColors val="0"/>
        <c:ser>
          <c:idx val="0"/>
          <c:order val="0"/>
          <c:spPr>
            <a:ln w="25400">
              <a:noFill/>
            </a:ln>
          </c:spPr>
          <c:invertIfNegative val="0"/>
          <c:dPt>
            <c:idx val="0"/>
            <c:invertIfNegative val="0"/>
            <c:bubble3D val="1"/>
            <c:spPr>
              <a:solidFill>
                <a:schemeClr val="bg1">
                  <a:lumMod val="85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7ED4-4959-BF39-7682478415A6}"/>
              </c:ext>
            </c:extLst>
          </c:dPt>
          <c:dPt>
            <c:idx val="1"/>
            <c:invertIfNegative val="0"/>
            <c:bubble3D val="1"/>
            <c:spPr>
              <a:solidFill>
                <a:schemeClr val="accent6">
                  <a:lumMod val="75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7ED4-4959-BF39-7682478415A6}"/>
              </c:ext>
            </c:extLst>
          </c:dPt>
          <c:dPt>
            <c:idx val="2"/>
            <c:invertIfNegative val="0"/>
            <c:bubble3D val="1"/>
            <c:spPr>
              <a:solidFill>
                <a:schemeClr val="tx1">
                  <a:lumMod val="75000"/>
                  <a:lumOff val="25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7ED4-4959-BF39-7682478415A6}"/>
              </c:ext>
            </c:extLst>
          </c:dPt>
          <c:dPt>
            <c:idx val="3"/>
            <c:invertIfNegative val="0"/>
            <c:bubble3D val="1"/>
            <c:spPr>
              <a:solidFill>
                <a:schemeClr val="accent2">
                  <a:lumMod val="40000"/>
                  <a:lumOff val="6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7ED4-4959-BF39-7682478415A6}"/>
              </c:ext>
            </c:extLst>
          </c:dPt>
          <c:dPt>
            <c:idx val="4"/>
            <c:invertIfNegative val="0"/>
            <c:bubble3D val="1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7ED4-4959-BF39-7682478415A6}"/>
              </c:ext>
            </c:extLst>
          </c:dPt>
          <c:dLbls>
            <c:dLbl>
              <c:idx val="0"/>
              <c:layout>
                <c:manualLayout>
                  <c:x val="-0.10827149779434096"/>
                  <c:y val="-0.18629612020483069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ED4-4959-BF39-7682478415A6}"/>
                </c:ext>
              </c:extLst>
            </c:dLbl>
            <c:dLbl>
              <c:idx val="1"/>
              <c:layout>
                <c:manualLayout>
                  <c:x val="-0.1142470446333355"/>
                  <c:y val="-0.20020155621004027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ED4-4959-BF39-7682478415A6}"/>
                </c:ext>
              </c:extLst>
            </c:dLbl>
            <c:dLbl>
              <c:idx val="2"/>
              <c:layout>
                <c:manualLayout>
                  <c:x val="-0.11548191256081118"/>
                  <c:y val="-0.20918926118872838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ED4-4959-BF39-7682478415A6}"/>
                </c:ext>
              </c:extLst>
            </c:dLbl>
            <c:dLbl>
              <c:idx val="3"/>
              <c:layout>
                <c:manualLayout>
                  <c:x val="-0.11656503923981634"/>
                  <c:y val="-0.21686763704712289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ED4-4959-BF39-7682478415A6}"/>
                </c:ext>
              </c:extLst>
            </c:dLbl>
            <c:dLbl>
              <c:idx val="4"/>
              <c:layout>
                <c:manualLayout>
                  <c:x val="-7.9501827599827615E-2"/>
                  <c:y val="-0.23293172690763048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ED4-4959-BF39-7682478415A6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Calcs!$B$19:$B$22</c:f>
              <c:strCache>
                <c:ptCount val="4"/>
                <c:pt idx="0">
                  <c:v>IT</c:v>
                </c:pt>
                <c:pt idx="1">
                  <c:v>Finance</c:v>
                </c:pt>
                <c:pt idx="2">
                  <c:v>HR</c:v>
                </c:pt>
                <c:pt idx="3">
                  <c:v>Strategy</c:v>
                </c:pt>
              </c:strCache>
            </c:strRef>
          </c:xVal>
          <c:yVal>
            <c:numRef>
              <c:f>Calcs!$C$19:$C$22</c:f>
              <c:numCache>
                <c:formatCode>_-"$"* #,##0.0_-;\-"$"* #,##0.0_-;_-"$"* "-"??_-;_-@_-</c:formatCode>
                <c:ptCount val="4"/>
                <c:pt idx="0">
                  <c:v>8.6924400000000013</c:v>
                </c:pt>
                <c:pt idx="1">
                  <c:v>3.1448499999999999</c:v>
                </c:pt>
                <c:pt idx="2">
                  <c:v>6.5474100000000002</c:v>
                </c:pt>
                <c:pt idx="3">
                  <c:v>5.6045200000000008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A-7ED4-4959-BF39-768247841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8981504"/>
        <c:axId val="218983040"/>
      </c:bubbleChart>
      <c:valAx>
        <c:axId val="21898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8983040"/>
        <c:crosses val="autoZero"/>
        <c:crossBetween val="midCat"/>
      </c:valAx>
      <c:valAx>
        <c:axId val="218983040"/>
        <c:scaling>
          <c:orientation val="minMax"/>
        </c:scaling>
        <c:delete val="1"/>
        <c:axPos val="l"/>
        <c:numFmt formatCode="_-&quot;$&quot;* #,##0.0_-;\-&quot;$&quot;* #,##0.0_-;_-&quot;$&quot;* &quot;-&quot;??_-;_-@_-" sourceLinked="1"/>
        <c:majorTickMark val="out"/>
        <c:minorTickMark val="none"/>
        <c:tickLblPos val="nextTo"/>
        <c:crossAx val="21898150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chemeClr val="bg1">
        <a:alpha val="0"/>
      </a:schemeClr>
    </a:solidFill>
    <a:ln>
      <a:noFill/>
    </a:ln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797788460810311E-2"/>
          <c:y val="0.21052631578947367"/>
          <c:w val="0.82824049628140051"/>
          <c:h val="0.50804696781323389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Chart!$B$25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Chart!$B$28:$B$30</c:f>
              <c:numCache>
                <c:formatCode>0%</c:formatCode>
                <c:ptCount val="3"/>
                <c:pt idx="0">
                  <c:v>0</c:v>
                </c:pt>
                <c:pt idx="1">
                  <c:v>0.09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B-47D0-BAF1-1DF20C5113E3}"/>
            </c:ext>
          </c:extLst>
        </c:ser>
        <c:ser>
          <c:idx val="1"/>
          <c:order val="1"/>
          <c:spPr>
            <a:solidFill>
              <a:srgbClr val="DEBC6A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750B-47D0-BAF1-1DF20C5113E3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750B-47D0-BAF1-1DF20C5113E3}"/>
              </c:ext>
            </c:extLst>
          </c:dPt>
          <c:cat>
            <c:numRef>
              <c:f>Chart!$B$25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Chart!$C$28:$C$30</c:f>
              <c:numCache>
                <c:formatCode>0%</c:formatCode>
                <c:ptCount val="3"/>
                <c:pt idx="0">
                  <c:v>0.05</c:v>
                </c:pt>
                <c:pt idx="1">
                  <c:v>0</c:v>
                </c:pt>
                <c:pt idx="2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0B-47D0-BAF1-1DF20C5113E3}"/>
            </c:ext>
          </c:extLst>
        </c:ser>
        <c:ser>
          <c:idx val="2"/>
          <c:order val="2"/>
          <c:spPr>
            <a:solidFill>
              <a:srgbClr val="ECD7A4"/>
            </a:solidFill>
          </c:spPr>
          <c:invertIfNegative val="0"/>
          <c:cat>
            <c:numRef>
              <c:f>Chart!$B$25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Chart!$D$28:$D$30</c:f>
              <c:numCache>
                <c:formatCode>0%</c:formatCode>
                <c:ptCount val="3"/>
                <c:pt idx="0">
                  <c:v>2.0000000000000004E-2</c:v>
                </c:pt>
                <c:pt idx="1">
                  <c:v>0</c:v>
                </c:pt>
                <c:pt idx="2">
                  <c:v>2.0000000000000004E-2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0B-47D0-BAF1-1DF20C511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73347072"/>
        <c:axId val="674706944"/>
      </c:barChart>
      <c:scatterChart>
        <c:scatterStyle val="lineMarker"/>
        <c:varyColors val="0"/>
        <c:ser>
          <c:idx val="3"/>
          <c:order val="3"/>
          <c:marker>
            <c:symbol val="none"/>
          </c:marker>
          <c:errBars>
            <c:errDir val="y"/>
            <c:errBarType val="both"/>
            <c:errValType val="fixedVal"/>
            <c:noEndCap val="1"/>
            <c:val val="1"/>
            <c:spPr>
              <a:ln w="38100">
                <a:solidFill>
                  <a:srgbClr val="C00000"/>
                </a:solidFill>
              </a:ln>
            </c:spPr>
          </c:errBars>
          <c:xVal>
            <c:numRef>
              <c:f>Chart!$B$24</c:f>
              <c:numCache>
                <c:formatCode>0%</c:formatCode>
                <c:ptCount val="1"/>
                <c:pt idx="0">
                  <c:v>0.08</c:v>
                </c:pt>
              </c:numCache>
            </c:numRef>
          </c:xVal>
          <c:yVal>
            <c:numRef>
              <c:f>Chart!$B$25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0B-47D0-BAF1-1DF20C511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718848"/>
        <c:axId val="674708480"/>
      </c:scatterChart>
      <c:catAx>
        <c:axId val="673347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4706944"/>
        <c:crosses val="autoZero"/>
        <c:auto val="1"/>
        <c:lblAlgn val="ctr"/>
        <c:lblOffset val="100"/>
        <c:noMultiLvlLbl val="0"/>
      </c:catAx>
      <c:valAx>
        <c:axId val="674706944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673347072"/>
        <c:crosses val="autoZero"/>
        <c:crossBetween val="between"/>
      </c:valAx>
      <c:valAx>
        <c:axId val="67470848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674718848"/>
        <c:crosses val="max"/>
        <c:crossBetween val="midCat"/>
      </c:valAx>
      <c:valAx>
        <c:axId val="674718848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674708480"/>
        <c:crosses val="autoZero"/>
        <c:crossBetween val="midCat"/>
      </c:valAx>
      <c:spPr>
        <a:solidFill>
          <a:srgbClr val="F2E8D0"/>
        </a:solidFill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797788460810311E-2"/>
          <c:y val="0.21052631578947367"/>
          <c:w val="0.82824049628140051"/>
          <c:h val="0.50804696781323389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Chart!$B$41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Chart!$B$44:$B$46</c:f>
              <c:numCache>
                <c:formatCode>0%</c:formatCode>
                <c:ptCount val="3"/>
                <c:pt idx="0">
                  <c:v>0</c:v>
                </c:pt>
                <c:pt idx="1">
                  <c:v>0.88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3-435D-A6C0-7B99212983B2}"/>
            </c:ext>
          </c:extLst>
        </c:ser>
        <c:ser>
          <c:idx val="1"/>
          <c:order val="1"/>
          <c:spPr>
            <a:solidFill>
              <a:srgbClr val="DEBC6A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1E33-435D-A6C0-7B99212983B2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1E33-435D-A6C0-7B99212983B2}"/>
              </c:ext>
            </c:extLst>
          </c:dPt>
          <c:cat>
            <c:numRef>
              <c:f>Chart!$B$41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Chart!$C$44:$C$46</c:f>
              <c:numCache>
                <c:formatCode>0%</c:formatCode>
                <c:ptCount val="3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33-435D-A6C0-7B99212983B2}"/>
            </c:ext>
          </c:extLst>
        </c:ser>
        <c:ser>
          <c:idx val="2"/>
          <c:order val="2"/>
          <c:spPr>
            <a:solidFill>
              <a:srgbClr val="ECD7A4"/>
            </a:solidFill>
          </c:spPr>
          <c:invertIfNegative val="0"/>
          <c:cat>
            <c:numRef>
              <c:f>Chart!$B$41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Chart!$D$44:$D$46</c:f>
              <c:numCache>
                <c:formatCode>0%</c:formatCode>
                <c:ptCount val="3"/>
                <c:pt idx="0">
                  <c:v>0.25</c:v>
                </c:pt>
                <c:pt idx="1">
                  <c:v>0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33-435D-A6C0-7B9921298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73347072"/>
        <c:axId val="674706944"/>
      </c:barChart>
      <c:scatterChart>
        <c:scatterStyle val="lineMarker"/>
        <c:varyColors val="0"/>
        <c:ser>
          <c:idx val="3"/>
          <c:order val="3"/>
          <c:marker>
            <c:symbol val="none"/>
          </c:marker>
          <c:errBars>
            <c:errDir val="y"/>
            <c:errBarType val="both"/>
            <c:errValType val="fixedVal"/>
            <c:noEndCap val="1"/>
            <c:val val="1"/>
            <c:spPr>
              <a:ln w="38100">
                <a:solidFill>
                  <a:srgbClr val="C00000"/>
                </a:solidFill>
              </a:ln>
            </c:spPr>
          </c:errBars>
          <c:xVal>
            <c:numRef>
              <c:f>Chart!$B$40</c:f>
              <c:numCache>
                <c:formatCode>0%</c:formatCode>
                <c:ptCount val="1"/>
                <c:pt idx="0">
                  <c:v>0.85</c:v>
                </c:pt>
              </c:numCache>
            </c:numRef>
          </c:xVal>
          <c:yVal>
            <c:numRef>
              <c:f>Chart!$B$41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33-435D-A6C0-7B9921298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718848"/>
        <c:axId val="674708480"/>
      </c:scatterChart>
      <c:catAx>
        <c:axId val="673347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4706944"/>
        <c:crosses val="autoZero"/>
        <c:auto val="1"/>
        <c:lblAlgn val="ctr"/>
        <c:lblOffset val="100"/>
        <c:noMultiLvlLbl val="0"/>
      </c:catAx>
      <c:valAx>
        <c:axId val="674706944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673347072"/>
        <c:crosses val="autoZero"/>
        <c:crossBetween val="between"/>
      </c:valAx>
      <c:valAx>
        <c:axId val="67470848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674718848"/>
        <c:crosses val="max"/>
        <c:crossBetween val="midCat"/>
      </c:valAx>
      <c:valAx>
        <c:axId val="674718848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674708480"/>
        <c:crosses val="autoZero"/>
        <c:crossBetween val="midCat"/>
      </c:valAx>
      <c:spPr>
        <a:solidFill>
          <a:srgbClr val="F2E8D0"/>
        </a:solidFill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76038344669282E-2"/>
          <c:y val="5.8059504306928085E-2"/>
          <c:w val="0.8896951053161366"/>
          <c:h val="0.819132977505328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Calcs!$C$26</c:f>
              <c:strCache>
                <c:ptCount val="1"/>
                <c:pt idx="0">
                  <c:v>Consultants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cat>
            <c:numRef>
              <c:f>Calcs!$B$27:$B$38</c:f>
              <c:numCache>
                <c:formatCode>mmm\ yy;@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Calcs!$C$27:$C$38</c:f>
              <c:numCache>
                <c:formatCode>General</c:formatCode>
                <c:ptCount val="12"/>
                <c:pt idx="0">
                  <c:v>58</c:v>
                </c:pt>
                <c:pt idx="1">
                  <c:v>80</c:v>
                </c:pt>
                <c:pt idx="2">
                  <c:v>74</c:v>
                </c:pt>
                <c:pt idx="3">
                  <c:v>70</c:v>
                </c:pt>
                <c:pt idx="4">
                  <c:v>87</c:v>
                </c:pt>
                <c:pt idx="5">
                  <c:v>93</c:v>
                </c:pt>
                <c:pt idx="6">
                  <c:v>100</c:v>
                </c:pt>
                <c:pt idx="7">
                  <c:v>58</c:v>
                </c:pt>
                <c:pt idx="8">
                  <c:v>67</c:v>
                </c:pt>
                <c:pt idx="9">
                  <c:v>84</c:v>
                </c:pt>
                <c:pt idx="10">
                  <c:v>75</c:v>
                </c:pt>
                <c:pt idx="1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1-4A9C-A157-A5808F625492}"/>
            </c:ext>
          </c:extLst>
        </c:ser>
        <c:ser>
          <c:idx val="1"/>
          <c:order val="1"/>
          <c:tx>
            <c:strRef>
              <c:f>Calcs!$D$26</c:f>
              <c:strCache>
                <c:ptCount val="1"/>
                <c:pt idx="0">
                  <c:v>Open Positions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invertIfNegative val="0"/>
          <c:cat>
            <c:numRef>
              <c:f>Calcs!$B$27:$B$38</c:f>
              <c:numCache>
                <c:formatCode>mmm\ yy;@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Calcs!$D$27:$D$38</c:f>
              <c:numCache>
                <c:formatCode>General</c:formatCode>
                <c:ptCount val="12"/>
                <c:pt idx="0">
                  <c:v>21</c:v>
                </c:pt>
                <c:pt idx="1">
                  <c:v>31</c:v>
                </c:pt>
                <c:pt idx="2">
                  <c:v>31</c:v>
                </c:pt>
                <c:pt idx="3">
                  <c:v>27</c:v>
                </c:pt>
                <c:pt idx="4">
                  <c:v>33</c:v>
                </c:pt>
                <c:pt idx="5">
                  <c:v>34</c:v>
                </c:pt>
                <c:pt idx="6">
                  <c:v>42</c:v>
                </c:pt>
                <c:pt idx="7">
                  <c:v>21</c:v>
                </c:pt>
                <c:pt idx="8">
                  <c:v>26</c:v>
                </c:pt>
                <c:pt idx="9">
                  <c:v>34</c:v>
                </c:pt>
                <c:pt idx="10">
                  <c:v>29</c:v>
                </c:pt>
                <c:pt idx="1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C1-4A9C-A157-A5808F625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4177792"/>
        <c:axId val="188056320"/>
      </c:barChart>
      <c:lineChart>
        <c:grouping val="standard"/>
        <c:varyColors val="0"/>
        <c:ser>
          <c:idx val="2"/>
          <c:order val="2"/>
          <c:tx>
            <c:strRef>
              <c:f>Calcs!$E$26</c:f>
              <c:strCache>
                <c:ptCount val="1"/>
                <c:pt idx="0">
                  <c:v>Part Time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Calcs!$B$27:$B$38</c:f>
              <c:numCache>
                <c:formatCode>mmm\ yy;@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Calcs!$E$27:$E$38</c:f>
              <c:numCache>
                <c:formatCode>General</c:formatCode>
                <c:ptCount val="12"/>
                <c:pt idx="0">
                  <c:v>18</c:v>
                </c:pt>
                <c:pt idx="1">
                  <c:v>24</c:v>
                </c:pt>
                <c:pt idx="2">
                  <c:v>23</c:v>
                </c:pt>
                <c:pt idx="3">
                  <c:v>21</c:v>
                </c:pt>
                <c:pt idx="4">
                  <c:v>27</c:v>
                </c:pt>
                <c:pt idx="5">
                  <c:v>28</c:v>
                </c:pt>
                <c:pt idx="6">
                  <c:v>30</c:v>
                </c:pt>
                <c:pt idx="7">
                  <c:v>18</c:v>
                </c:pt>
                <c:pt idx="8">
                  <c:v>21</c:v>
                </c:pt>
                <c:pt idx="9">
                  <c:v>26</c:v>
                </c:pt>
                <c:pt idx="10">
                  <c:v>23</c:v>
                </c:pt>
                <c:pt idx="11">
                  <c:v>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2C1-4A9C-A157-A5808F625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77792"/>
        <c:axId val="188056320"/>
      </c:lineChart>
      <c:dateAx>
        <c:axId val="184177792"/>
        <c:scaling>
          <c:orientation val="minMax"/>
        </c:scaling>
        <c:delete val="0"/>
        <c:axPos val="b"/>
        <c:numFmt formatCode="mmm\ yy;@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endParaRPr lang="en-US"/>
          </a:p>
        </c:txPr>
        <c:crossAx val="188056320"/>
        <c:crosses val="autoZero"/>
        <c:auto val="1"/>
        <c:lblOffset val="100"/>
        <c:baseTimeUnit val="months"/>
      </c:dateAx>
      <c:valAx>
        <c:axId val="1880563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Total Number</a:t>
                </a:r>
              </a:p>
            </c:rich>
          </c:tx>
          <c:layout>
            <c:manualLayout>
              <c:xMode val="edge"/>
              <c:yMode val="edge"/>
              <c:x val="2.0434811239992867E-3"/>
              <c:y val="0.3805204448128194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endParaRPr lang="en-US"/>
          </a:p>
        </c:txPr>
        <c:crossAx val="184177792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85000"/>
          <a:alpha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91183158355205607"/>
          <c:h val="0.897198891805190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Calcs!$C$61</c:f>
              <c:strCache>
                <c:ptCount val="1"/>
                <c:pt idx="0">
                  <c:v>Termination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cat>
            <c:numRef>
              <c:f>Calcs!$B$62:$B$73</c:f>
              <c:numCache>
                <c:formatCode>mmm\ yy;@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Calcs!$C$62:$C$73</c:f>
              <c:numCache>
                <c:formatCode>General</c:formatCode>
                <c:ptCount val="12"/>
                <c:pt idx="0">
                  <c:v>-2</c:v>
                </c:pt>
                <c:pt idx="1">
                  <c:v>-3</c:v>
                </c:pt>
                <c:pt idx="2">
                  <c:v>0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-2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1-45A5-9F06-F9C64D3D1B7F}"/>
            </c:ext>
          </c:extLst>
        </c:ser>
        <c:ser>
          <c:idx val="1"/>
          <c:order val="1"/>
          <c:tx>
            <c:strRef>
              <c:f>Calcs!$D$61</c:f>
              <c:strCache>
                <c:ptCount val="1"/>
                <c:pt idx="0">
                  <c:v>New Hires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invertIfNegative val="0"/>
          <c:cat>
            <c:numRef>
              <c:f>Calcs!$B$62:$B$73</c:f>
              <c:numCache>
                <c:formatCode>mmm\ yy;@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Calcs!$D$62:$D$73</c:f>
              <c:numCache>
                <c:formatCode>General</c:formatCode>
                <c:ptCount val="12"/>
                <c:pt idx="0">
                  <c:v>7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D1-45A5-9F06-F9C64D3D1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21049600"/>
        <c:axId val="221051520"/>
      </c:barChart>
      <c:dateAx>
        <c:axId val="221049600"/>
        <c:scaling>
          <c:orientation val="minMax"/>
        </c:scaling>
        <c:delete val="0"/>
        <c:axPos val="b"/>
        <c:numFmt formatCode="mmm\ yy;@" sourceLinked="1"/>
        <c:majorTickMark val="none"/>
        <c:minorTickMark val="none"/>
        <c:tickLblPos val="low"/>
        <c:txPr>
          <a:bodyPr/>
          <a:lstStyle/>
          <a:p>
            <a:pPr>
              <a:defRPr sz="8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221051520"/>
        <c:crosses val="autoZero"/>
        <c:auto val="1"/>
        <c:lblOffset val="100"/>
        <c:baseTimeUnit val="months"/>
      </c:dateAx>
      <c:valAx>
        <c:axId val="221051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2210496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1175790946546413"/>
          <c:y val="2.0420168997862607E-2"/>
          <c:w val="0.47192678405911115"/>
          <c:h val="0.11907638127512542"/>
        </c:manualLayout>
      </c:layout>
      <c:overlay val="0"/>
    </c:legend>
    <c:plotVisOnly val="1"/>
    <c:dispBlanksAs val="gap"/>
    <c:showDLblsOverMax val="0"/>
  </c:chart>
  <c:spPr>
    <a:ln>
      <a:solidFill>
        <a:schemeClr val="bg1">
          <a:lumMod val="85000"/>
          <a:alpha val="41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AU" sz="1200"/>
              <a:t>Income Breakdown</a:t>
            </a:r>
          </a:p>
        </c:rich>
      </c:tx>
      <c:layout>
        <c:manualLayout>
          <c:xMode val="edge"/>
          <c:yMode val="edge"/>
          <c:x val="0.35937181765322807"/>
          <c:y val="1.687763713080168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764173228346457"/>
          <c:y val="0.15781742472064408"/>
          <c:w val="0.79392125984251971"/>
          <c:h val="0.6517766924704032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Calcs!$C$45</c:f>
              <c:strCache>
                <c:ptCount val="1"/>
                <c:pt idx="0">
                  <c:v>Avg Salary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cat>
            <c:strRef>
              <c:f>Calcs!$B$46:$B$49</c:f>
              <c:strCache>
                <c:ptCount val="4"/>
                <c:pt idx="0">
                  <c:v>IT</c:v>
                </c:pt>
                <c:pt idx="1">
                  <c:v>Finance</c:v>
                </c:pt>
                <c:pt idx="2">
                  <c:v>HR</c:v>
                </c:pt>
                <c:pt idx="3">
                  <c:v>Strategy</c:v>
                </c:pt>
              </c:strCache>
            </c:strRef>
          </c:cat>
          <c:val>
            <c:numRef>
              <c:f>Calcs!$C$46:$C$49</c:f>
              <c:numCache>
                <c:formatCode>_-* #,##0_-;\-* #,##0_-;_-* "-"??_-;_-@_-</c:formatCode>
                <c:ptCount val="4"/>
                <c:pt idx="0">
                  <c:v>65455</c:v>
                </c:pt>
                <c:pt idx="1">
                  <c:v>48978</c:v>
                </c:pt>
                <c:pt idx="2">
                  <c:v>46550</c:v>
                </c:pt>
                <c:pt idx="3">
                  <c:v>49864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1-4CC9-80E4-864DE3C0F006}"/>
            </c:ext>
          </c:extLst>
        </c:ser>
        <c:ser>
          <c:idx val="1"/>
          <c:order val="1"/>
          <c:tx>
            <c:strRef>
              <c:f>Calcs!$D$45</c:f>
              <c:strCache>
                <c:ptCount val="1"/>
                <c:pt idx="0">
                  <c:v>Avg Bonus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invertIfNegative val="0"/>
          <c:cat>
            <c:strRef>
              <c:f>Calcs!$B$46:$B$49</c:f>
              <c:strCache>
                <c:ptCount val="4"/>
                <c:pt idx="0">
                  <c:v>IT</c:v>
                </c:pt>
                <c:pt idx="1">
                  <c:v>Finance</c:v>
                </c:pt>
                <c:pt idx="2">
                  <c:v>HR</c:v>
                </c:pt>
                <c:pt idx="3">
                  <c:v>Strategy</c:v>
                </c:pt>
              </c:strCache>
            </c:strRef>
          </c:cat>
          <c:val>
            <c:numRef>
              <c:f>Calcs!$D$46:$D$49</c:f>
              <c:numCache>
                <c:formatCode>_-* #,##0_-;\-* #,##0_-;_-* "-"??_-;_-@_-</c:formatCode>
                <c:ptCount val="4"/>
                <c:pt idx="0">
                  <c:v>6872.7749999999996</c:v>
                </c:pt>
                <c:pt idx="1">
                  <c:v>5142.6899999999996</c:v>
                </c:pt>
                <c:pt idx="2">
                  <c:v>4887.75</c:v>
                </c:pt>
                <c:pt idx="3">
                  <c:v>5235.72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E1-4CC9-80E4-864DE3C0F006}"/>
            </c:ext>
          </c:extLst>
        </c:ser>
        <c:ser>
          <c:idx val="2"/>
          <c:order val="2"/>
          <c:tx>
            <c:strRef>
              <c:f>Calcs!$E$45</c:f>
              <c:strCache>
                <c:ptCount val="1"/>
                <c:pt idx="0">
                  <c:v>Avg Overtime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</c:spPr>
          <c:invertIfNegative val="0"/>
          <c:cat>
            <c:strRef>
              <c:f>Calcs!$B$46:$B$49</c:f>
              <c:strCache>
                <c:ptCount val="4"/>
                <c:pt idx="0">
                  <c:v>IT</c:v>
                </c:pt>
                <c:pt idx="1">
                  <c:v>Finance</c:v>
                </c:pt>
                <c:pt idx="2">
                  <c:v>HR</c:v>
                </c:pt>
                <c:pt idx="3">
                  <c:v>Strategy</c:v>
                </c:pt>
              </c:strCache>
            </c:strRef>
          </c:cat>
          <c:val>
            <c:numRef>
              <c:f>Calcs!$E$46:$E$49</c:f>
              <c:numCache>
                <c:formatCode>_-* #,##0_-;\-* #,##0_-;_-* "-"??_-;_-@_-</c:formatCode>
                <c:ptCount val="4"/>
                <c:pt idx="0">
                  <c:v>3272.75</c:v>
                </c:pt>
                <c:pt idx="1">
                  <c:v>979.56000000000006</c:v>
                </c:pt>
                <c:pt idx="2">
                  <c:v>931</c:v>
                </c:pt>
                <c:pt idx="3">
                  <c:v>2493.2000000000003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E1-4CC9-80E4-864DE3C0F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00157952"/>
        <c:axId val="302634112"/>
      </c:barChart>
      <c:catAx>
        <c:axId val="30015795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302634112"/>
        <c:crosses val="autoZero"/>
        <c:auto val="1"/>
        <c:lblAlgn val="ctr"/>
        <c:lblOffset val="100"/>
        <c:noMultiLvlLbl val="0"/>
      </c:catAx>
      <c:valAx>
        <c:axId val="302634112"/>
        <c:scaling>
          <c:orientation val="minMax"/>
        </c:scaling>
        <c:delete val="0"/>
        <c:axPos val="b"/>
        <c:numFmt formatCode="#,###,&quot; k&quot;" sourceLinked="0"/>
        <c:majorTickMark val="none"/>
        <c:minorTickMark val="none"/>
        <c:tickLblPos val="nextTo"/>
        <c:txPr>
          <a:bodyPr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3001579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1.5144356955381177E-3"/>
          <c:y val="0.92997958588509766"/>
          <c:w val="0.94570778652668419"/>
          <c:h val="6.5966389617964416E-2"/>
        </c:manualLayout>
      </c:layout>
      <c:overlay val="0"/>
      <c:txPr>
        <a:bodyPr/>
        <a:lstStyle/>
        <a:p>
          <a:pPr>
            <a:defRPr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85000"/>
          <a:alpha val="48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AvgLeave Balance Days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764173228346457"/>
          <c:y val="0.11843627141544016"/>
          <c:w val="0.79392125984251971"/>
          <c:h val="0.8500325703118751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Calcs!$C$53</c:f>
              <c:strCache>
                <c:ptCount val="1"/>
                <c:pt idx="0">
                  <c:v>AvgLeave Balance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Calcs!$B$54:$B$57</c:f>
              <c:strCache>
                <c:ptCount val="4"/>
                <c:pt idx="0">
                  <c:v>IT</c:v>
                </c:pt>
                <c:pt idx="1">
                  <c:v>Finance</c:v>
                </c:pt>
                <c:pt idx="2">
                  <c:v>HR</c:v>
                </c:pt>
                <c:pt idx="3">
                  <c:v>Strategy</c:v>
                </c:pt>
              </c:strCache>
            </c:strRef>
          </c:cat>
          <c:val>
            <c:numRef>
              <c:f>Calcs!$C$54:$C$57</c:f>
              <c:numCache>
                <c:formatCode>_-* #,##0_-;\-* #,##0_-;_-* "-"??_-;_-@_-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15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5-43DB-9C9F-E4C4C9B3B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318334464"/>
        <c:axId val="318336000"/>
      </c:barChart>
      <c:catAx>
        <c:axId val="31833446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318336000"/>
        <c:crosses val="autoZero"/>
        <c:auto val="1"/>
        <c:lblAlgn val="ctr"/>
        <c:lblOffset val="100"/>
        <c:noMultiLvlLbl val="0"/>
      </c:catAx>
      <c:valAx>
        <c:axId val="318336000"/>
        <c:scaling>
          <c:orientation val="minMax"/>
        </c:scaling>
        <c:delete val="1"/>
        <c:axPos val="b"/>
        <c:numFmt formatCode="_-* #,##0_-;\-* #,##0_-;_-* &quot;-&quot;??_-;_-@_-" sourceLinked="1"/>
        <c:majorTickMark val="out"/>
        <c:minorTickMark val="none"/>
        <c:tickLblPos val="nextTo"/>
        <c:crossAx val="3183344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solidFill>
        <a:schemeClr val="bg1">
          <a:lumMod val="85000"/>
          <a:alpha val="48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sz="1200">
                <a:solidFill>
                  <a:sysClr val="windowText" lastClr="000000"/>
                </a:solidFill>
              </a:rPr>
              <a:t>Open Positions by Dept</a:t>
            </a:r>
          </a:p>
        </c:rich>
      </c:tx>
      <c:layout>
        <c:manualLayout>
          <c:xMode val="edge"/>
          <c:yMode val="edge"/>
          <c:x val="0.2409159115555621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70163308578576"/>
          <c:y val="0.19962686567164176"/>
          <c:w val="0.6740251893448499"/>
          <c:h val="0.6447296849087893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52-45C8-BD6D-8EF07615C9AE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52-45C8-BD6D-8EF07615C9AE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452-45C8-BD6D-8EF07615C9AE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452-45C8-BD6D-8EF07615C9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Calcs!$B$19:$B$22</c:f>
              <c:strCache>
                <c:ptCount val="4"/>
                <c:pt idx="0">
                  <c:v>IT</c:v>
                </c:pt>
                <c:pt idx="1">
                  <c:v>Finance</c:v>
                </c:pt>
                <c:pt idx="2">
                  <c:v>HR</c:v>
                </c:pt>
                <c:pt idx="3">
                  <c:v>Strategy</c:v>
                </c:pt>
              </c:strCache>
            </c:strRef>
          </c:cat>
          <c:val>
            <c:numRef>
              <c:f>Calcs!$D$19:$D$22</c:f>
              <c:numCache>
                <c:formatCode>_-* #,##0_-;\-* #,##0_-;_-* "-"??_-;_-@_-</c:formatCode>
                <c:ptCount val="4"/>
                <c:pt idx="0">
                  <c:v>17</c:v>
                </c:pt>
                <c:pt idx="1">
                  <c:v>12</c:v>
                </c:pt>
                <c:pt idx="2">
                  <c:v>7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452-45C8-BD6D-8EF07615C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sz="1200">
                <a:solidFill>
                  <a:sysClr val="windowText" lastClr="000000"/>
                </a:solidFill>
              </a:rPr>
              <a:t>Employee</a:t>
            </a:r>
            <a:r>
              <a:rPr lang="en-AU" sz="1200" baseline="0">
                <a:solidFill>
                  <a:sysClr val="windowText" lastClr="000000"/>
                </a:solidFill>
              </a:rPr>
              <a:t> Score</a:t>
            </a:r>
            <a:endParaRPr lang="en-AU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3886171809957746"/>
          <c:y val="5.265339966832503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171113168996485E-2"/>
          <c:y val="0.18244402985074626"/>
          <c:w val="0.90082646146609624"/>
          <c:h val="0.69540920398009953"/>
        </c:manualLayout>
      </c:layout>
      <c:barChart>
        <c:barDir val="col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Calcs!$B$54:$B$57</c:f>
              <c:strCache>
                <c:ptCount val="4"/>
                <c:pt idx="0">
                  <c:v>IT</c:v>
                </c:pt>
                <c:pt idx="1">
                  <c:v>Finance</c:v>
                </c:pt>
                <c:pt idx="2">
                  <c:v>HR</c:v>
                </c:pt>
                <c:pt idx="3">
                  <c:v>Strategy</c:v>
                </c:pt>
              </c:strCache>
            </c:strRef>
          </c:cat>
          <c:val>
            <c:numRef>
              <c:f>Calcs!$D$54:$D$57</c:f>
              <c:numCache>
                <c:formatCode>_-* #,##0.0_-;\-* #,##0.0_-;_-* "-"??_-;_-@_-</c:formatCode>
                <c:ptCount val="4"/>
                <c:pt idx="0">
                  <c:v>4.5</c:v>
                </c:pt>
                <c:pt idx="1">
                  <c:v>4.2</c:v>
                </c:pt>
                <c:pt idx="2">
                  <c:v>4</c:v>
                </c:pt>
                <c:pt idx="3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6-419B-877F-15335A354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overlap val="-27"/>
        <c:axId val="548261960"/>
        <c:axId val="548262616"/>
      </c:barChart>
      <c:catAx>
        <c:axId val="54826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62616"/>
        <c:crosses val="autoZero"/>
        <c:auto val="1"/>
        <c:lblAlgn val="ctr"/>
        <c:lblOffset val="100"/>
        <c:noMultiLvlLbl val="0"/>
      </c:catAx>
      <c:valAx>
        <c:axId val="548262616"/>
        <c:scaling>
          <c:orientation val="minMax"/>
        </c:scaling>
        <c:delete val="1"/>
        <c:axPos val="l"/>
        <c:numFmt formatCode="_-* #,##0.0_-;\-* #,##0.0_-;_-* &quot;-&quot;??_-;_-@_-" sourceLinked="1"/>
        <c:majorTickMark val="none"/>
        <c:minorTickMark val="none"/>
        <c:tickLblPos val="nextTo"/>
        <c:crossAx val="548261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sz="1200">
                <a:solidFill>
                  <a:sysClr val="windowText" lastClr="000000"/>
                </a:solidFill>
              </a:rPr>
              <a:t>Age Demographics</a:t>
            </a:r>
            <a:r>
              <a:rPr lang="en-AU" sz="1200" baseline="0">
                <a:solidFill>
                  <a:sysClr val="windowText" lastClr="000000"/>
                </a:solidFill>
              </a:rPr>
              <a:t> by Dept</a:t>
            </a:r>
            <a:endParaRPr lang="en-AU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9330406279186322"/>
          <c:y val="5.2631578947368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88670166229221E-2"/>
          <c:y val="0.19521052631578947"/>
          <c:w val="0.89155774278215227"/>
          <c:h val="0.709009117281392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Calcs!$B$78</c:f>
              <c:strCache>
                <c:ptCount val="1"/>
                <c:pt idx="0">
                  <c:v>IT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Calcs!$C$77:$G$77</c:f>
              <c:strCache>
                <c:ptCount val="5"/>
                <c:pt idx="0">
                  <c:v>19-25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55+</c:v>
                </c:pt>
              </c:strCache>
            </c:strRef>
          </c:cat>
          <c:val>
            <c:numRef>
              <c:f>Calcs!$C$78:$G$78</c:f>
              <c:numCache>
                <c:formatCode>_-* #,##0_-;\-* #,##0_-;_-* "-"??_-;_-@_-</c:formatCode>
                <c:ptCount val="5"/>
                <c:pt idx="0">
                  <c:v>21.6</c:v>
                </c:pt>
                <c:pt idx="1">
                  <c:v>32.4</c:v>
                </c:pt>
                <c:pt idx="2">
                  <c:v>32.4</c:v>
                </c:pt>
                <c:pt idx="3">
                  <c:v>10.8</c:v>
                </c:pt>
                <c:pt idx="4">
                  <c:v>10.8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C-4033-AAAF-79549A9166EB}"/>
            </c:ext>
          </c:extLst>
        </c:ser>
        <c:ser>
          <c:idx val="1"/>
          <c:order val="1"/>
          <c:tx>
            <c:strRef>
              <c:f>Calcs!$B$79</c:f>
              <c:strCache>
                <c:ptCount val="1"/>
                <c:pt idx="0">
                  <c:v>Finance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Calcs!$C$77:$G$77</c:f>
              <c:strCache>
                <c:ptCount val="5"/>
                <c:pt idx="0">
                  <c:v>19-25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55+</c:v>
                </c:pt>
              </c:strCache>
            </c:strRef>
          </c:cat>
          <c:val>
            <c:numRef>
              <c:f>Calcs!$C$79:$G$79</c:f>
              <c:numCache>
                <c:formatCode>_-* #,##0_-;\-* #,##0_-;_-* "-"??_-;_-@_-</c:formatCode>
                <c:ptCount val="5"/>
                <c:pt idx="0">
                  <c:v>13.75</c:v>
                </c:pt>
                <c:pt idx="1">
                  <c:v>6.6</c:v>
                </c:pt>
                <c:pt idx="2">
                  <c:v>11</c:v>
                </c:pt>
                <c:pt idx="3">
                  <c:v>12.1</c:v>
                </c:pt>
                <c:pt idx="4">
                  <c:v>11.549999999999997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CC-4033-AAAF-79549A9166EB}"/>
            </c:ext>
          </c:extLst>
        </c:ser>
        <c:ser>
          <c:idx val="2"/>
          <c:order val="2"/>
          <c:tx>
            <c:strRef>
              <c:f>Calcs!$B$80</c:f>
              <c:strCache>
                <c:ptCount val="1"/>
                <c:pt idx="0">
                  <c:v>HR</c:v>
                </c:pt>
              </c:strCache>
            </c:strRef>
          </c:tx>
          <c:spPr>
            <a:blipFill>
              <a:blip xmlns:r="http://schemas.openxmlformats.org/officeDocument/2006/relationships" r:embed="rId5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Calcs!$C$77:$G$77</c:f>
              <c:strCache>
                <c:ptCount val="5"/>
                <c:pt idx="0">
                  <c:v>19-25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55+</c:v>
                </c:pt>
              </c:strCache>
            </c:strRef>
          </c:cat>
          <c:val>
            <c:numRef>
              <c:f>Calcs!$C$80:$G$80</c:f>
              <c:numCache>
                <c:formatCode>_-* #,##0_-;\-* #,##0_-;_-* "-"??_-;_-@_-</c:formatCode>
                <c:ptCount val="5"/>
                <c:pt idx="0">
                  <c:v>2.64</c:v>
                </c:pt>
                <c:pt idx="1">
                  <c:v>6.6000000000000005</c:v>
                </c:pt>
                <c:pt idx="2">
                  <c:v>6.2700000000000005</c:v>
                </c:pt>
                <c:pt idx="3">
                  <c:v>4.62</c:v>
                </c:pt>
                <c:pt idx="4">
                  <c:v>12.869999999999997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CC-4033-AAAF-79549A9166EB}"/>
            </c:ext>
          </c:extLst>
        </c:ser>
        <c:ser>
          <c:idx val="3"/>
          <c:order val="3"/>
          <c:tx>
            <c:strRef>
              <c:f>Calcs!$B$81</c:f>
              <c:strCache>
                <c:ptCount val="1"/>
                <c:pt idx="0">
                  <c:v>Strategy</c:v>
                </c:pt>
              </c:strCache>
            </c:strRef>
          </c:tx>
          <c:spPr>
            <a:blipFill>
              <a:blip xmlns:r="http://schemas.openxmlformats.org/officeDocument/2006/relationships" r:embed="rId6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Calcs!$C$77:$G$77</c:f>
              <c:strCache>
                <c:ptCount val="5"/>
                <c:pt idx="0">
                  <c:v>19-25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55+</c:v>
                </c:pt>
              </c:strCache>
            </c:strRef>
          </c:cat>
          <c:val>
            <c:numRef>
              <c:f>Calcs!$C$81:$G$81</c:f>
              <c:numCache>
                <c:formatCode>_-* #,##0_-;\-* #,##0_-;_-* "-"??_-;_-@_-</c:formatCode>
                <c:ptCount val="5"/>
                <c:pt idx="0">
                  <c:v>14.190000000000001</c:v>
                </c:pt>
                <c:pt idx="1">
                  <c:v>12.469999999999999</c:v>
                </c:pt>
                <c:pt idx="2">
                  <c:v>3.0100000000000002</c:v>
                </c:pt>
                <c:pt idx="3">
                  <c:v>3.8699999999999997</c:v>
                </c:pt>
                <c:pt idx="4">
                  <c:v>9.4600000000000044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CC-4033-AAAF-79549A916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overlap val="-27"/>
        <c:axId val="540221384"/>
        <c:axId val="540216464"/>
      </c:barChart>
      <c:catAx>
        <c:axId val="54022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16464"/>
        <c:crosses val="autoZero"/>
        <c:auto val="1"/>
        <c:lblAlgn val="ctr"/>
        <c:lblOffset val="100"/>
        <c:noMultiLvlLbl val="0"/>
      </c:catAx>
      <c:valAx>
        <c:axId val="540216464"/>
        <c:scaling>
          <c:orientation val="minMax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2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525188346842099E-2"/>
          <c:y val="0.13223622047244094"/>
          <c:w val="0.38450524934383201"/>
          <c:h val="8.8816411106506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797788460810311E-2"/>
          <c:y val="0.21052631578947367"/>
          <c:w val="0.82824049628140051"/>
          <c:h val="0.50804696781323389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Chart!$B$9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Chart!$B$12:$B$14</c:f>
              <c:numCache>
                <c:formatCode>_(* #,##0.00_);_(* \(#,##0.00\);_(* "-"??_);_(@_)</c:formatCode>
                <c:ptCount val="3"/>
                <c:pt idx="0">
                  <c:v>0</c:v>
                </c:pt>
                <c:pt idx="1">
                  <c:v>27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9-499C-BA6B-911A99F470F3}"/>
            </c:ext>
          </c:extLst>
        </c:ser>
        <c:ser>
          <c:idx val="1"/>
          <c:order val="1"/>
          <c:spPr>
            <a:solidFill>
              <a:srgbClr val="DEBC6A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BE89-499C-BA6B-911A99F470F3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BE89-499C-BA6B-911A99F470F3}"/>
              </c:ext>
            </c:extLst>
          </c:dPt>
          <c:cat>
            <c:numRef>
              <c:f>Chart!$B$9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Chart!$C$12:$C$14</c:f>
              <c:numCache>
                <c:formatCode>_(* #,##0.00_);_(* \(#,##0.00\);_(* "-"??_);_(@_)</c:formatCode>
                <c:ptCount val="3"/>
                <c:pt idx="0">
                  <c:v>15</c:v>
                </c:pt>
                <c:pt idx="1">
                  <c:v>0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89-499C-BA6B-911A99F470F3}"/>
            </c:ext>
          </c:extLst>
        </c:ser>
        <c:ser>
          <c:idx val="2"/>
          <c:order val="2"/>
          <c:spPr>
            <a:solidFill>
              <a:srgbClr val="ECD7A4"/>
            </a:solidFill>
          </c:spPr>
          <c:invertIfNegative val="0"/>
          <c:cat>
            <c:numRef>
              <c:f>Chart!$B$9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Chart!$D$12:$D$14</c:f>
              <c:numCache>
                <c:formatCode>_(* #,##0.00_);_(* \(#,##0.00\);_(* "-"??_);_(@_)</c:formatCode>
                <c:ptCount val="3"/>
                <c:pt idx="0">
                  <c:v>15</c:v>
                </c:pt>
                <c:pt idx="1">
                  <c:v>3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89-499C-BA6B-911A99F47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73347072"/>
        <c:axId val="674706944"/>
      </c:barChart>
      <c:scatterChart>
        <c:scatterStyle val="lineMarker"/>
        <c:varyColors val="0"/>
        <c:ser>
          <c:idx val="3"/>
          <c:order val="3"/>
          <c:marker>
            <c:symbol val="none"/>
          </c:marker>
          <c:errBars>
            <c:errDir val="y"/>
            <c:errBarType val="both"/>
            <c:errValType val="fixedVal"/>
            <c:noEndCap val="1"/>
            <c:val val="1"/>
            <c:spPr>
              <a:ln w="38100">
                <a:solidFill>
                  <a:srgbClr val="C00000"/>
                </a:solidFill>
              </a:ln>
            </c:spPr>
          </c:errBars>
          <c:xVal>
            <c:numRef>
              <c:f>Chart!$B$8</c:f>
              <c:numCache>
                <c:formatCode>_(* #,##0.00_);_(* \(#,##0.00\);_(* "-"??_);_(@_)</c:formatCode>
                <c:ptCount val="1"/>
                <c:pt idx="0">
                  <c:v>32</c:v>
                </c:pt>
              </c:numCache>
            </c:numRef>
          </c:xVal>
          <c:yVal>
            <c:numRef>
              <c:f>Chart!$B$9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89-499C-BA6B-911A99F47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718848"/>
        <c:axId val="674708480"/>
      </c:scatterChart>
      <c:catAx>
        <c:axId val="673347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4706944"/>
        <c:crosses val="autoZero"/>
        <c:auto val="1"/>
        <c:lblAlgn val="ctr"/>
        <c:lblOffset val="100"/>
        <c:noMultiLvlLbl val="0"/>
      </c:catAx>
      <c:valAx>
        <c:axId val="674706944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673347072"/>
        <c:crosses val="autoZero"/>
        <c:crossBetween val="between"/>
      </c:valAx>
      <c:valAx>
        <c:axId val="67470848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674718848"/>
        <c:crosses val="max"/>
        <c:crossBetween val="midCat"/>
      </c:valAx>
      <c:valAx>
        <c:axId val="674718848"/>
        <c:scaling>
          <c:orientation val="minMax"/>
        </c:scaling>
        <c:delete val="1"/>
        <c:axPos val="b"/>
        <c:numFmt formatCode="_(* #,##0.00_);_(* \(#,##0.00\);_(* &quot;-&quot;??_);_(@_)" sourceLinked="1"/>
        <c:majorTickMark val="out"/>
        <c:minorTickMark val="none"/>
        <c:tickLblPos val="nextTo"/>
        <c:crossAx val="674708480"/>
        <c:crosses val="autoZero"/>
        <c:crossBetween val="midCat"/>
      </c:valAx>
      <c:spPr>
        <a:solidFill>
          <a:srgbClr val="F2E8D0"/>
        </a:solidFill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Calcs!$C$42" lockText="1" noThreeD="1"/>
</file>

<file path=xl/ctrlProps/ctrlProp2.xml><?xml version="1.0" encoding="utf-8"?>
<formControlPr xmlns="http://schemas.microsoft.com/office/spreadsheetml/2009/9/main" objectType="CheckBox" checked="Checked" fmlaLink="Calcs!$D$42" lockText="1" noThreeD="1"/>
</file>

<file path=xl/ctrlProps/ctrlProp3.xml><?xml version="1.0" encoding="utf-8"?>
<formControlPr xmlns="http://schemas.microsoft.com/office/spreadsheetml/2009/9/main" objectType="CheckBox" checked="Checked" fmlaLink="Calcs!$E$42" lockText="1" noThreeD="1"/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13" Type="http://schemas.openxmlformats.org/officeDocument/2006/relationships/chart" Target="../charts/chart8.xml"/><Relationship Id="rId18" Type="http://schemas.openxmlformats.org/officeDocument/2006/relationships/image" Target="../media/image15.png"/><Relationship Id="rId3" Type="http://schemas.openxmlformats.org/officeDocument/2006/relationships/image" Target="../media/image6.jpeg"/><Relationship Id="rId7" Type="http://schemas.openxmlformats.org/officeDocument/2006/relationships/chart" Target="../charts/chart4.xml"/><Relationship Id="rId12" Type="http://schemas.openxmlformats.org/officeDocument/2006/relationships/chart" Target="../charts/chart7.xml"/><Relationship Id="rId17" Type="http://schemas.openxmlformats.org/officeDocument/2006/relationships/image" Target="../media/image14.png"/><Relationship Id="rId2" Type="http://schemas.openxmlformats.org/officeDocument/2006/relationships/chart" Target="../charts/chart2.xml"/><Relationship Id="rId16" Type="http://schemas.openxmlformats.org/officeDocument/2006/relationships/chart" Target="../charts/chart11.xml"/><Relationship Id="rId20" Type="http://schemas.openxmlformats.org/officeDocument/2006/relationships/image" Target="../media/image17.png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11" Type="http://schemas.openxmlformats.org/officeDocument/2006/relationships/chart" Target="../charts/chart6.xml"/><Relationship Id="rId5" Type="http://schemas.microsoft.com/office/2007/relationships/hdphoto" Target="../media/hdphoto2.wdp"/><Relationship Id="rId15" Type="http://schemas.openxmlformats.org/officeDocument/2006/relationships/chart" Target="../charts/chart10.xml"/><Relationship Id="rId10" Type="http://schemas.microsoft.com/office/2007/relationships/hdphoto" Target="../media/hdphoto3.wdp"/><Relationship Id="rId19" Type="http://schemas.openxmlformats.org/officeDocument/2006/relationships/image" Target="../media/image16.png"/><Relationship Id="rId4" Type="http://schemas.openxmlformats.org/officeDocument/2006/relationships/image" Target="../media/image7.png"/><Relationship Id="rId9" Type="http://schemas.openxmlformats.org/officeDocument/2006/relationships/image" Target="../media/image10.png"/><Relationship Id="rId14" Type="http://schemas.openxmlformats.org/officeDocument/2006/relationships/chart" Target="../charts/chart9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</xdr:colOff>
      <xdr:row>19</xdr:row>
      <xdr:rowOff>104775</xdr:rowOff>
    </xdr:from>
    <xdr:to>
      <xdr:col>4</xdr:col>
      <xdr:colOff>400050</xdr:colOff>
      <xdr:row>22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6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GlowEdges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95675" y="2695575"/>
          <a:ext cx="371475" cy="533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40218</xdr:rowOff>
    </xdr:from>
    <xdr:to>
      <xdr:col>6</xdr:col>
      <xdr:colOff>677333</xdr:colOff>
      <xdr:row>27</xdr:row>
      <xdr:rowOff>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116417</xdr:colOff>
      <xdr:row>7</xdr:row>
      <xdr:rowOff>85725</xdr:rowOff>
    </xdr:from>
    <xdr:to>
      <xdr:col>20</xdr:col>
      <xdr:colOff>336550</xdr:colOff>
      <xdr:row>25</xdr:row>
      <xdr:rowOff>66675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518586</xdr:colOff>
      <xdr:row>0</xdr:row>
      <xdr:rowOff>27517</xdr:rowOff>
    </xdr:from>
    <xdr:to>
      <xdr:col>1</xdr:col>
      <xdr:colOff>592669</xdr:colOff>
      <xdr:row>4</xdr:row>
      <xdr:rowOff>79792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586" y="27517"/>
          <a:ext cx="687916" cy="687275"/>
        </a:xfrm>
        <a:prstGeom prst="rect">
          <a:avLst/>
        </a:prstGeom>
      </xdr:spPr>
    </xdr:pic>
    <xdr:clientData/>
  </xdr:twoCellAnchor>
  <xdr:oneCellAnchor>
    <xdr:from>
      <xdr:col>1</xdr:col>
      <xdr:colOff>846668</xdr:colOff>
      <xdr:row>2</xdr:row>
      <xdr:rowOff>8467</xdr:rowOff>
    </xdr:from>
    <xdr:ext cx="4497917" cy="409279"/>
    <xdr:sp macro="" textlink="">
      <xdr:nvSpPr>
        <xdr:cNvPr id="6" name="Text Box 21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>
          <a:spLocks noChangeArrowheads="1"/>
        </xdr:cNvSpPr>
      </xdr:nvSpPr>
      <xdr:spPr bwMode="auto">
        <a:xfrm>
          <a:off x="1460501" y="325967"/>
          <a:ext cx="4497917" cy="4092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>
                  <a:alpha val="2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27432" tIns="27432" rIns="27432" bIns="27432" anchor="ctr" upright="1">
          <a:spAutoFit/>
        </a:bodyPr>
        <a:lstStyle/>
        <a:p>
          <a:pPr algn="l" rtl="0">
            <a:defRPr sz="1000"/>
          </a:pPr>
          <a:r>
            <a:rPr lang="en-AU" sz="24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Human Resources Dashboard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200025</xdr:colOff>
          <xdr:row>5</xdr:row>
          <xdr:rowOff>133350</xdr:rowOff>
        </xdr:from>
        <xdr:to>
          <xdr:col>15</xdr:col>
          <xdr:colOff>323849</xdr:colOff>
          <xdr:row>7</xdr:row>
          <xdr:rowOff>38100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7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Consultants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5</xdr:row>
          <xdr:rowOff>133350</xdr:rowOff>
        </xdr:from>
        <xdr:to>
          <xdr:col>17</xdr:col>
          <xdr:colOff>409576</xdr:colOff>
          <xdr:row>7</xdr:row>
          <xdr:rowOff>57150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7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Open Positions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66675</xdr:colOff>
          <xdr:row>5</xdr:row>
          <xdr:rowOff>133350</xdr:rowOff>
        </xdr:from>
        <xdr:to>
          <xdr:col>19</xdr:col>
          <xdr:colOff>190500</xdr:colOff>
          <xdr:row>7</xdr:row>
          <xdr:rowOff>38100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7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Part Time Staff</a:t>
              </a:r>
            </a:p>
          </xdr:txBody>
        </xdr:sp>
        <xdr:clientData/>
      </xdr:twoCellAnchor>
    </mc:Choice>
    <mc:Fallback/>
  </mc:AlternateContent>
  <xdr:twoCellAnchor editAs="oneCell">
    <xdr:from>
      <xdr:col>15</xdr:col>
      <xdr:colOff>383116</xdr:colOff>
      <xdr:row>6</xdr:row>
      <xdr:rowOff>31865</xdr:rowOff>
    </xdr:from>
    <xdr:to>
      <xdr:col>15</xdr:col>
      <xdr:colOff>530223</xdr:colOff>
      <xdr:row>6</xdr:row>
      <xdr:rowOff>153247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duotone>
            <a:prstClr val="black"/>
            <a:schemeClr val="accent2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colorTemperature colorTemp="8800"/>
                  </a14:imgEffect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06199" y="984365"/>
          <a:ext cx="147107" cy="121382"/>
        </a:xfrm>
        <a:prstGeom prst="rect">
          <a:avLst/>
        </a:prstGeom>
      </xdr:spPr>
    </xdr:pic>
    <xdr:clientData/>
  </xdr:twoCellAnchor>
  <xdr:twoCellAnchor>
    <xdr:from>
      <xdr:col>0</xdr:col>
      <xdr:colOff>603249</xdr:colOff>
      <xdr:row>25</xdr:row>
      <xdr:rowOff>116416</xdr:rowOff>
    </xdr:from>
    <xdr:to>
      <xdr:col>5</xdr:col>
      <xdr:colOff>4329</xdr:colOff>
      <xdr:row>39</xdr:row>
      <xdr:rowOff>81491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240241</xdr:colOff>
      <xdr:row>25</xdr:row>
      <xdr:rowOff>137583</xdr:rowOff>
    </xdr:from>
    <xdr:to>
      <xdr:col>12</xdr:col>
      <xdr:colOff>21166</xdr:colOff>
      <xdr:row>39</xdr:row>
      <xdr:rowOff>102658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105833</xdr:colOff>
      <xdr:row>25</xdr:row>
      <xdr:rowOff>137583</xdr:rowOff>
    </xdr:from>
    <xdr:to>
      <xdr:col>20</xdr:col>
      <xdr:colOff>338667</xdr:colOff>
      <xdr:row>39</xdr:row>
      <xdr:rowOff>102658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379935</xdr:colOff>
      <xdr:row>6</xdr:row>
      <xdr:rowOff>28575</xdr:rowOff>
    </xdr:from>
    <xdr:to>
      <xdr:col>17</xdr:col>
      <xdr:colOff>527042</xdr:colOff>
      <xdr:row>6</xdr:row>
      <xdr:rowOff>149957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colorTemperature colorTemp="8800"/>
                  </a14:imgEffect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82518" y="981075"/>
          <a:ext cx="147107" cy="121382"/>
        </a:xfrm>
        <a:prstGeom prst="rect">
          <a:avLst/>
        </a:prstGeom>
        <a:solidFill>
          <a:schemeClr val="accent6"/>
        </a:solidFill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3</xdr:row>
          <xdr:rowOff>114300</xdr:rowOff>
        </xdr:from>
        <xdr:to>
          <xdr:col>20</xdr:col>
          <xdr:colOff>381001</xdr:colOff>
          <xdr:row>5</xdr:row>
          <xdr:rowOff>57150</xdr:rowOff>
        </xdr:to>
        <xdr:sp macro="" textlink="">
          <xdr:nvSpPr>
            <xdr:cNvPr id="2052" name="ComboBox1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7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19</xdr:col>
      <xdr:colOff>419100</xdr:colOff>
      <xdr:row>6</xdr:row>
      <xdr:rowOff>19050</xdr:rowOff>
    </xdr:from>
    <xdr:to>
      <xdr:col>19</xdr:col>
      <xdr:colOff>561974</xdr:colOff>
      <xdr:row>6</xdr:row>
      <xdr:rowOff>140432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biLevel thresh="75000"/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colorTemperature colorTemp="8800"/>
                  </a14:imgEffect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89517" y="971550"/>
          <a:ext cx="142874" cy="121382"/>
        </a:xfrm>
        <a:prstGeom prst="rect">
          <a:avLst/>
        </a:prstGeom>
        <a:solidFill>
          <a:schemeClr val="accent6"/>
        </a:solidFill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444499</xdr:colOff>
          <xdr:row>5</xdr:row>
          <xdr:rowOff>9525</xdr:rowOff>
        </xdr:from>
        <xdr:to>
          <xdr:col>4</xdr:col>
          <xdr:colOff>391582</xdr:colOff>
          <xdr:row>6</xdr:row>
          <xdr:rowOff>114300</xdr:rowOff>
        </xdr:to>
        <xdr:sp macro="" textlink="">
          <xdr:nvSpPr>
            <xdr:cNvPr id="2053" name="ComboBox2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7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677334</xdr:colOff>
      <xdr:row>40</xdr:row>
      <xdr:rowOff>95249</xdr:rowOff>
    </xdr:from>
    <xdr:to>
      <xdr:col>9</xdr:col>
      <xdr:colOff>148167</xdr:colOff>
      <xdr:row>55</xdr:row>
      <xdr:rowOff>125999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73024</xdr:colOff>
      <xdr:row>50</xdr:row>
      <xdr:rowOff>137584</xdr:rowOff>
    </xdr:from>
    <xdr:to>
      <xdr:col>15</xdr:col>
      <xdr:colOff>423332</xdr:colOff>
      <xdr:row>53</xdr:row>
      <xdr:rowOff>31750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/>
      </xdr:nvSpPr>
      <xdr:spPr>
        <a:xfrm>
          <a:off x="9820274" y="8075084"/>
          <a:ext cx="1577975" cy="3704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Speed</a:t>
          </a:r>
          <a:r>
            <a:rPr lang="en-AU" sz="1100" baseline="0"/>
            <a:t> to Hire (Days)</a:t>
          </a:r>
          <a:endParaRPr lang="en-AU" sz="1100"/>
        </a:p>
      </xdr:txBody>
    </xdr:sp>
    <xdr:clientData/>
  </xdr:twoCellAnchor>
  <xdr:twoCellAnchor>
    <xdr:from>
      <xdr:col>13</xdr:col>
      <xdr:colOff>52918</xdr:colOff>
      <xdr:row>45</xdr:row>
      <xdr:rowOff>127000</xdr:rowOff>
    </xdr:from>
    <xdr:to>
      <xdr:col>15</xdr:col>
      <xdr:colOff>412751</xdr:colOff>
      <xdr:row>48</xdr:row>
      <xdr:rowOff>21166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 txBox="1"/>
      </xdr:nvSpPr>
      <xdr:spPr>
        <a:xfrm>
          <a:off x="9800168" y="7270750"/>
          <a:ext cx="1587500" cy="3704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Promotion Rate</a:t>
          </a:r>
        </a:p>
      </xdr:txBody>
    </xdr:sp>
    <xdr:clientData/>
  </xdr:twoCellAnchor>
  <xdr:twoCellAnchor>
    <xdr:from>
      <xdr:col>13</xdr:col>
      <xdr:colOff>52917</xdr:colOff>
      <xdr:row>40</xdr:row>
      <xdr:rowOff>21166</xdr:rowOff>
    </xdr:from>
    <xdr:to>
      <xdr:col>15</xdr:col>
      <xdr:colOff>412750</xdr:colOff>
      <xdr:row>42</xdr:row>
      <xdr:rowOff>74082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 txBox="1"/>
      </xdr:nvSpPr>
      <xdr:spPr>
        <a:xfrm>
          <a:off x="9800167" y="6371166"/>
          <a:ext cx="1587500" cy="3704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Customer Satisfaction</a:t>
          </a:r>
        </a:p>
      </xdr:txBody>
    </xdr:sp>
    <xdr:clientData/>
  </xdr:twoCellAnchor>
  <xdr:twoCellAnchor>
    <xdr:from>
      <xdr:col>9</xdr:col>
      <xdr:colOff>201083</xdr:colOff>
      <xdr:row>40</xdr:row>
      <xdr:rowOff>95249</xdr:rowOff>
    </xdr:from>
    <xdr:to>
      <xdr:col>12</xdr:col>
      <xdr:colOff>31750</xdr:colOff>
      <xdr:row>55</xdr:row>
      <xdr:rowOff>125999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603250</xdr:colOff>
      <xdr:row>40</xdr:row>
      <xdr:rowOff>84665</xdr:rowOff>
    </xdr:from>
    <xdr:to>
      <xdr:col>5</xdr:col>
      <xdr:colOff>31750</xdr:colOff>
      <xdr:row>55</xdr:row>
      <xdr:rowOff>116415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709087</xdr:colOff>
      <xdr:row>51</xdr:row>
      <xdr:rowOff>116416</xdr:rowOff>
    </xdr:from>
    <xdr:to>
      <xdr:col>20</xdr:col>
      <xdr:colOff>603250</xdr:colOff>
      <xdr:row>56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370415</xdr:colOff>
      <xdr:row>40</xdr:row>
      <xdr:rowOff>52918</xdr:rowOff>
    </xdr:from>
    <xdr:to>
      <xdr:col>19</xdr:col>
      <xdr:colOff>370415</xdr:colOff>
      <xdr:row>41</xdr:row>
      <xdr:rowOff>31750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13800665" y="6402918"/>
          <a:ext cx="0" cy="137582"/>
        </a:xfrm>
        <a:prstGeom prst="line">
          <a:avLst/>
        </a:prstGeom>
        <a:ln>
          <a:solidFill>
            <a:srgbClr val="C0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402167</xdr:colOff>
      <xdr:row>40</xdr:row>
      <xdr:rowOff>0</xdr:rowOff>
    </xdr:from>
    <xdr:to>
      <xdr:col>19</xdr:col>
      <xdr:colOff>338667</xdr:colOff>
      <xdr:row>41</xdr:row>
      <xdr:rowOff>116417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 txBox="1"/>
      </xdr:nvSpPr>
      <xdr:spPr>
        <a:xfrm>
          <a:off x="13218584" y="6350000"/>
          <a:ext cx="550333" cy="2751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Target</a:t>
          </a:r>
        </a:p>
      </xdr:txBody>
    </xdr:sp>
    <xdr:clientData/>
  </xdr:twoCellAnchor>
  <xdr:twoCellAnchor>
    <xdr:from>
      <xdr:col>11</xdr:col>
      <xdr:colOff>709087</xdr:colOff>
      <xdr:row>46</xdr:row>
      <xdr:rowOff>105833</xdr:rowOff>
    </xdr:from>
    <xdr:to>
      <xdr:col>21</xdr:col>
      <xdr:colOff>366</xdr:colOff>
      <xdr:row>51</xdr:row>
      <xdr:rowOff>10582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476250</xdr:colOff>
      <xdr:row>40</xdr:row>
      <xdr:rowOff>95250</xdr:rowOff>
    </xdr:from>
    <xdr:to>
      <xdr:col>18</xdr:col>
      <xdr:colOff>127000</xdr:colOff>
      <xdr:row>41</xdr:row>
      <xdr:rowOff>21166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12678833" y="6445250"/>
          <a:ext cx="264584" cy="84666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497417</xdr:colOff>
      <xdr:row>40</xdr:row>
      <xdr:rowOff>10583</xdr:rowOff>
    </xdr:from>
    <xdr:to>
      <xdr:col>17</xdr:col>
      <xdr:colOff>433917</xdr:colOff>
      <xdr:row>41</xdr:row>
      <xdr:rowOff>127000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 txBox="1"/>
      </xdr:nvSpPr>
      <xdr:spPr>
        <a:xfrm>
          <a:off x="12086167" y="6360583"/>
          <a:ext cx="550333" cy="2751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Actual</a:t>
          </a:r>
        </a:p>
      </xdr:txBody>
    </xdr:sp>
    <xdr:clientData/>
  </xdr:twoCellAnchor>
  <xdr:twoCellAnchor>
    <xdr:from>
      <xdr:col>11</xdr:col>
      <xdr:colOff>709087</xdr:colOff>
      <xdr:row>41</xdr:row>
      <xdr:rowOff>42333</xdr:rowOff>
    </xdr:from>
    <xdr:to>
      <xdr:col>21</xdr:col>
      <xdr:colOff>366</xdr:colOff>
      <xdr:row>45</xdr:row>
      <xdr:rowOff>105832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370420</xdr:colOff>
      <xdr:row>4</xdr:row>
      <xdr:rowOff>21167</xdr:rowOff>
    </xdr:from>
    <xdr:to>
      <xdr:col>16</xdr:col>
      <xdr:colOff>306921</xdr:colOff>
      <xdr:row>5</xdr:row>
      <xdr:rowOff>127000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 txBox="1"/>
      </xdr:nvSpPr>
      <xdr:spPr>
        <a:xfrm>
          <a:off x="10773837" y="656167"/>
          <a:ext cx="1164167" cy="2645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>
              <a:solidFill>
                <a:schemeClr val="tx1">
                  <a:lumMod val="65000"/>
                  <a:lumOff val="35000"/>
                </a:schemeClr>
              </a:solidFill>
            </a:rPr>
            <a:t>Open</a:t>
          </a:r>
          <a:r>
            <a:rPr lang="en-AU" sz="1100" baseline="0">
              <a:solidFill>
                <a:schemeClr val="tx1">
                  <a:lumMod val="65000"/>
                  <a:lumOff val="35000"/>
                </a:schemeClr>
              </a:solidFill>
            </a:rPr>
            <a:t> Positions</a:t>
          </a:r>
          <a:endParaRPr lang="en-AU" sz="11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15</xdr:col>
      <xdr:colOff>300569</xdr:colOff>
      <xdr:row>2</xdr:row>
      <xdr:rowOff>67734</xdr:rowOff>
    </xdr:from>
    <xdr:to>
      <xdr:col>16</xdr:col>
      <xdr:colOff>243419</xdr:colOff>
      <xdr:row>4</xdr:row>
      <xdr:rowOff>14817</xdr:rowOff>
    </xdr:to>
    <xdr:sp macro="" textlink="Calcs!D23">
      <xdr:nvSpPr>
        <xdr:cNvPr id="45" name="TextBox 44">
          <a:extLst>
            <a:ext uri="{FF2B5EF4-FFF2-40B4-BE49-F238E27FC236}">
              <a16:creationId xmlns:a16="http://schemas.microsoft.com/office/drawing/2014/main" id="{00000000-0008-0000-0700-00002D000000}"/>
            </a:ext>
          </a:extLst>
        </xdr:cNvPr>
        <xdr:cNvSpPr txBox="1"/>
      </xdr:nvSpPr>
      <xdr:spPr>
        <a:xfrm>
          <a:off x="11317819" y="385234"/>
          <a:ext cx="556683" cy="2645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B959B80-D388-43F6-A69E-BF72A7E605B1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/>
              <a:cs typeface="Arial"/>
            </a:rPr>
            <a:pPr/>
            <a:t> 40 </a:t>
          </a:fld>
          <a:endParaRPr lang="en-AU" sz="14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8</xdr:col>
      <xdr:colOff>84666</xdr:colOff>
      <xdr:row>1</xdr:row>
      <xdr:rowOff>148167</xdr:rowOff>
    </xdr:from>
    <xdr:to>
      <xdr:col>9</xdr:col>
      <xdr:colOff>105833</xdr:colOff>
      <xdr:row>3</xdr:row>
      <xdr:rowOff>148167</xdr:rowOff>
    </xdr:to>
    <xdr:sp macro="" textlink="Calcs!C58">
      <xdr:nvSpPr>
        <xdr:cNvPr id="48" name="TextBox 47">
          <a:extLst>
            <a:ext uri="{FF2B5EF4-FFF2-40B4-BE49-F238E27FC236}">
              <a16:creationId xmlns:a16="http://schemas.microsoft.com/office/drawing/2014/main" id="{00000000-0008-0000-0700-000030000000}"/>
            </a:ext>
          </a:extLst>
        </xdr:cNvPr>
        <xdr:cNvSpPr txBox="1"/>
      </xdr:nvSpPr>
      <xdr:spPr>
        <a:xfrm>
          <a:off x="6783916" y="306917"/>
          <a:ext cx="730250" cy="317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10A1149-B4A0-406F-90FC-8C0A0B9ED6BC}" type="TxLink">
            <a:rPr lang="en-US" sz="14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/>
              <a:cs typeface="Arial"/>
            </a:rPr>
            <a:pPr/>
            <a:t> 18.8 </a:t>
          </a:fld>
          <a:endParaRPr lang="en-AU" sz="14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 editAs="oneCell">
    <xdr:from>
      <xdr:col>14</xdr:col>
      <xdr:colOff>391586</xdr:colOff>
      <xdr:row>1</xdr:row>
      <xdr:rowOff>97425</xdr:rowOff>
    </xdr:from>
    <xdr:to>
      <xdr:col>15</xdr:col>
      <xdr:colOff>339657</xdr:colOff>
      <xdr:row>4</xdr:row>
      <xdr:rowOff>68794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795003" y="256175"/>
          <a:ext cx="561905" cy="447619"/>
        </a:xfrm>
        <a:prstGeom prst="rect">
          <a:avLst/>
        </a:prstGeom>
      </xdr:spPr>
    </xdr:pic>
    <xdr:clientData/>
  </xdr:twoCellAnchor>
  <xdr:twoCellAnchor editAs="oneCell">
    <xdr:from>
      <xdr:col>11</xdr:col>
      <xdr:colOff>458986</xdr:colOff>
      <xdr:row>0</xdr:row>
      <xdr:rowOff>151413</xdr:rowOff>
    </xdr:from>
    <xdr:to>
      <xdr:col>13</xdr:col>
      <xdr:colOff>52522</xdr:colOff>
      <xdr:row>4</xdr:row>
      <xdr:rowOff>68794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327819" y="151413"/>
          <a:ext cx="514286" cy="552381"/>
        </a:xfrm>
        <a:prstGeom prst="rect">
          <a:avLst/>
        </a:prstGeom>
      </xdr:spPr>
    </xdr:pic>
    <xdr:clientData/>
  </xdr:twoCellAnchor>
  <xdr:twoCellAnchor>
    <xdr:from>
      <xdr:col>11</xdr:col>
      <xdr:colOff>289985</xdr:colOff>
      <xdr:row>4</xdr:row>
      <xdr:rowOff>21167</xdr:rowOff>
    </xdr:from>
    <xdr:to>
      <xdr:col>13</xdr:col>
      <xdr:colOff>533402</xdr:colOff>
      <xdr:row>5</xdr:row>
      <xdr:rowOff>127000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700-000034000000}"/>
            </a:ext>
          </a:extLst>
        </xdr:cNvPr>
        <xdr:cNvSpPr txBox="1"/>
      </xdr:nvSpPr>
      <xdr:spPr>
        <a:xfrm>
          <a:off x="9158818" y="656167"/>
          <a:ext cx="1164167" cy="2645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>
              <a:solidFill>
                <a:schemeClr val="tx1">
                  <a:lumMod val="65000"/>
                  <a:lumOff val="35000"/>
                </a:schemeClr>
              </a:solidFill>
            </a:rPr>
            <a:t>Cost Per Hire</a:t>
          </a:r>
        </a:p>
      </xdr:txBody>
    </xdr:sp>
    <xdr:clientData/>
  </xdr:twoCellAnchor>
  <xdr:twoCellAnchor editAs="oneCell">
    <xdr:from>
      <xdr:col>9</xdr:col>
      <xdr:colOff>423731</xdr:colOff>
      <xdr:row>1</xdr:row>
      <xdr:rowOff>30758</xdr:rowOff>
    </xdr:from>
    <xdr:to>
      <xdr:col>10</xdr:col>
      <xdr:colOff>257505</xdr:colOff>
      <xdr:row>4</xdr:row>
      <xdr:rowOff>68794</xdr:rowOff>
    </xdr:to>
    <xdr:pic>
      <xdr:nvPicPr>
        <xdr:cNvPr id="2048" name="Picture 2047">
          <a:extLst>
            <a:ext uri="{FF2B5EF4-FFF2-40B4-BE49-F238E27FC236}">
              <a16:creationId xmlns:a16="http://schemas.microsoft.com/office/drawing/2014/main" id="{00000000-0008-0000-0700-000000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832064" y="189508"/>
          <a:ext cx="542857" cy="514286"/>
        </a:xfrm>
        <a:prstGeom prst="rect">
          <a:avLst/>
        </a:prstGeom>
      </xdr:spPr>
    </xdr:pic>
    <xdr:clientData/>
  </xdr:twoCellAnchor>
  <xdr:twoCellAnchor>
    <xdr:from>
      <xdr:col>9</xdr:col>
      <xdr:colOff>347133</xdr:colOff>
      <xdr:row>4</xdr:row>
      <xdr:rowOff>21167</xdr:rowOff>
    </xdr:from>
    <xdr:to>
      <xdr:col>11</xdr:col>
      <xdr:colOff>476249</xdr:colOff>
      <xdr:row>5</xdr:row>
      <xdr:rowOff>127000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700-000036000000}"/>
            </a:ext>
          </a:extLst>
        </xdr:cNvPr>
        <xdr:cNvSpPr txBox="1"/>
      </xdr:nvSpPr>
      <xdr:spPr>
        <a:xfrm>
          <a:off x="7755466" y="656167"/>
          <a:ext cx="1589616" cy="2645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>
              <a:solidFill>
                <a:schemeClr val="tx1">
                  <a:lumMod val="65000"/>
                  <a:lumOff val="35000"/>
                </a:schemeClr>
              </a:solidFill>
            </a:rPr>
            <a:t>Staff Performance</a:t>
          </a:r>
        </a:p>
      </xdr:txBody>
    </xdr:sp>
    <xdr:clientData/>
  </xdr:twoCellAnchor>
  <xdr:twoCellAnchor>
    <xdr:from>
      <xdr:col>10</xdr:col>
      <xdr:colOff>201082</xdr:colOff>
      <xdr:row>2</xdr:row>
      <xdr:rowOff>10585</xdr:rowOff>
    </xdr:from>
    <xdr:to>
      <xdr:col>11</xdr:col>
      <xdr:colOff>6349</xdr:colOff>
      <xdr:row>3</xdr:row>
      <xdr:rowOff>116418</xdr:rowOff>
    </xdr:to>
    <xdr:sp macro="" textlink="Calcs!D58">
      <xdr:nvSpPr>
        <xdr:cNvPr id="55" name="TextBox 54">
          <a:extLst>
            <a:ext uri="{FF2B5EF4-FFF2-40B4-BE49-F238E27FC236}">
              <a16:creationId xmlns:a16="http://schemas.microsoft.com/office/drawing/2014/main" id="{00000000-0008-0000-0700-000037000000}"/>
            </a:ext>
          </a:extLst>
        </xdr:cNvPr>
        <xdr:cNvSpPr txBox="1"/>
      </xdr:nvSpPr>
      <xdr:spPr>
        <a:xfrm>
          <a:off x="8318499" y="328085"/>
          <a:ext cx="556683" cy="2645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7D202C3-9555-4EFF-A876-E63C325B6343}" type="TxLink">
            <a:rPr lang="en-US" sz="14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/>
              <a:cs typeface="Arial"/>
            </a:rPr>
            <a:pPr/>
            <a:t> 4.1 </a:t>
          </a:fld>
          <a:endParaRPr lang="en-AU" sz="14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13</xdr:col>
      <xdr:colOff>2</xdr:colOff>
      <xdr:row>2</xdr:row>
      <xdr:rowOff>63501</xdr:rowOff>
    </xdr:from>
    <xdr:to>
      <xdr:col>14</xdr:col>
      <xdr:colOff>201085</xdr:colOff>
      <xdr:row>4</xdr:row>
      <xdr:rowOff>21167</xdr:rowOff>
    </xdr:to>
    <xdr:sp macro="" textlink="Calcs!C23">
      <xdr:nvSpPr>
        <xdr:cNvPr id="56" name="TextBox 55">
          <a:extLst>
            <a:ext uri="{FF2B5EF4-FFF2-40B4-BE49-F238E27FC236}">
              <a16:creationId xmlns:a16="http://schemas.microsoft.com/office/drawing/2014/main" id="{00000000-0008-0000-0700-000038000000}"/>
            </a:ext>
          </a:extLst>
        </xdr:cNvPr>
        <xdr:cNvSpPr txBox="1"/>
      </xdr:nvSpPr>
      <xdr:spPr>
        <a:xfrm>
          <a:off x="9789585" y="381001"/>
          <a:ext cx="814917" cy="2751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0432BA2-4602-4B08-B773-3CED757E4BC1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/>
              <a:cs typeface="Arial"/>
            </a:rPr>
            <a:pPr/>
            <a:t>$6.0 k</a:t>
          </a:fld>
          <a:endParaRPr lang="en-AU" sz="14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7</xdr:col>
      <xdr:colOff>296333</xdr:colOff>
      <xdr:row>4</xdr:row>
      <xdr:rowOff>21167</xdr:rowOff>
    </xdr:from>
    <xdr:to>
      <xdr:col>9</xdr:col>
      <xdr:colOff>467783</xdr:colOff>
      <xdr:row>5</xdr:row>
      <xdr:rowOff>127000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700-000039000000}"/>
            </a:ext>
          </a:extLst>
        </xdr:cNvPr>
        <xdr:cNvSpPr txBox="1"/>
      </xdr:nvSpPr>
      <xdr:spPr>
        <a:xfrm>
          <a:off x="6286500" y="656167"/>
          <a:ext cx="1589616" cy="2645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>
              <a:solidFill>
                <a:schemeClr val="tx1">
                  <a:lumMod val="65000"/>
                  <a:lumOff val="35000"/>
                </a:schemeClr>
              </a:solidFill>
            </a:rPr>
            <a:t>Avg</a:t>
          </a:r>
          <a:r>
            <a:rPr lang="en-AU" sz="1100" baseline="0">
              <a:solidFill>
                <a:schemeClr val="tx1">
                  <a:lumMod val="65000"/>
                  <a:lumOff val="35000"/>
                </a:schemeClr>
              </a:solidFill>
            </a:rPr>
            <a:t> Leave Balance</a:t>
          </a:r>
          <a:endParaRPr lang="en-AU" sz="11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 editAs="oneCell">
    <xdr:from>
      <xdr:col>7</xdr:col>
      <xdr:colOff>349248</xdr:colOff>
      <xdr:row>0</xdr:row>
      <xdr:rowOff>2684</xdr:rowOff>
    </xdr:from>
    <xdr:to>
      <xdr:col>8</xdr:col>
      <xdr:colOff>179915</xdr:colOff>
      <xdr:row>4</xdr:row>
      <xdr:rowOff>39160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9415" y="2684"/>
          <a:ext cx="539751" cy="671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105832</xdr:colOff>
      <xdr:row>47</xdr:row>
      <xdr:rowOff>42334</xdr:rowOff>
    </xdr:from>
    <xdr:to>
      <xdr:col>8</xdr:col>
      <xdr:colOff>126999</xdr:colOff>
      <xdr:row>50</xdr:row>
      <xdr:rowOff>0</xdr:rowOff>
    </xdr:to>
    <xdr:sp macro="" textlink="Calcs!D23">
      <xdr:nvSpPr>
        <xdr:cNvPr id="60" name="TextBox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 txBox="1"/>
      </xdr:nvSpPr>
      <xdr:spPr>
        <a:xfrm>
          <a:off x="6095999" y="7503584"/>
          <a:ext cx="730250" cy="4339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3C044B8-8014-4152-A133-4D83EB370283}" type="TxLink">
            <a:rPr lang="en-US" sz="24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 40 </a:t>
          </a:fld>
          <a:endParaRPr lang="en-AU" sz="24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10" Type="http://schemas.openxmlformats.org/officeDocument/2006/relationships/ctrlProp" Target="../ctrlProps/ctrlProp3.xml"/><Relationship Id="rId4" Type="http://schemas.openxmlformats.org/officeDocument/2006/relationships/control" Target="../activeX/activeX1.xml"/><Relationship Id="rId9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A0DA-1229-46E2-B877-6EC60D63631B}">
  <sheetPr codeName="Sheet7">
    <tabColor theme="7" tint="0.59999389629810485"/>
  </sheetPr>
  <dimension ref="B1:E9"/>
  <sheetViews>
    <sheetView showGridLines="0" showRowColHeaders="0" workbookViewId="0">
      <selection activeCell="H3" sqref="H3"/>
    </sheetView>
  </sheetViews>
  <sheetFormatPr defaultRowHeight="12.75" x14ac:dyDescent="0.2"/>
  <cols>
    <col min="3" max="3" width="17.42578125" bestFit="1" customWidth="1"/>
    <col min="4" max="4" width="32.28515625" bestFit="1" customWidth="1"/>
  </cols>
  <sheetData>
    <row r="1" spans="2:5" ht="15" x14ac:dyDescent="0.25">
      <c r="B1" s="56" t="s">
        <v>119</v>
      </c>
      <c r="C1" s="56" t="s">
        <v>120</v>
      </c>
      <c r="D1" s="56" t="s">
        <v>121</v>
      </c>
      <c r="E1" s="56" t="s">
        <v>139</v>
      </c>
    </row>
    <row r="2" spans="2:5" ht="15" x14ac:dyDescent="0.25">
      <c r="B2" s="57" t="s">
        <v>122</v>
      </c>
      <c r="C2" s="58" t="s">
        <v>123</v>
      </c>
      <c r="D2" s="58" t="s">
        <v>124</v>
      </c>
      <c r="E2" s="62" t="str">
        <f>HYPERLINK("#"&amp;B2&amp;"!A2",B2)</f>
        <v>Model</v>
      </c>
    </row>
    <row r="3" spans="2:5" ht="15" x14ac:dyDescent="0.25">
      <c r="B3" s="57" t="s">
        <v>125</v>
      </c>
      <c r="C3" s="58" t="s">
        <v>123</v>
      </c>
      <c r="D3" s="58" t="s">
        <v>126</v>
      </c>
      <c r="E3" s="62" t="str">
        <f t="shared" ref="E3:E9" si="0">HYPERLINK("#"&amp;B3&amp;"!A2",B3)</f>
        <v>List</v>
      </c>
    </row>
    <row r="4" spans="2:5" ht="15" x14ac:dyDescent="0.25">
      <c r="B4" s="56" t="s">
        <v>9</v>
      </c>
      <c r="C4" s="58" t="s">
        <v>127</v>
      </c>
      <c r="D4" s="58" t="s">
        <v>128</v>
      </c>
      <c r="E4" s="62" t="str">
        <f t="shared" si="0"/>
        <v>HR</v>
      </c>
    </row>
    <row r="5" spans="2:5" ht="15" x14ac:dyDescent="0.25">
      <c r="B5" s="56" t="s">
        <v>140</v>
      </c>
      <c r="C5" s="58" t="s">
        <v>127</v>
      </c>
      <c r="D5" s="58" t="s">
        <v>129</v>
      </c>
      <c r="E5" s="62" t="str">
        <f t="shared" si="0"/>
        <v>Staff</v>
      </c>
    </row>
    <row r="6" spans="2:5" ht="15" x14ac:dyDescent="0.25">
      <c r="B6" s="59" t="s">
        <v>142</v>
      </c>
      <c r="C6" s="58" t="s">
        <v>131</v>
      </c>
      <c r="D6" s="58" t="s">
        <v>132</v>
      </c>
      <c r="E6" s="62" t="str">
        <f t="shared" si="0"/>
        <v>Calcs</v>
      </c>
    </row>
    <row r="7" spans="2:5" ht="15" x14ac:dyDescent="0.25">
      <c r="B7" s="59" t="s">
        <v>130</v>
      </c>
      <c r="C7" s="58" t="s">
        <v>131</v>
      </c>
      <c r="D7" s="58" t="s">
        <v>141</v>
      </c>
      <c r="E7" s="62" t="str">
        <f t="shared" si="0"/>
        <v>Chart</v>
      </c>
    </row>
    <row r="8" spans="2:5" ht="15" x14ac:dyDescent="0.25">
      <c r="B8" s="60" t="s">
        <v>133</v>
      </c>
      <c r="C8" s="58" t="s">
        <v>134</v>
      </c>
      <c r="D8" s="58" t="s">
        <v>135</v>
      </c>
      <c r="E8" s="62" t="str">
        <f t="shared" si="0"/>
        <v>Check</v>
      </c>
    </row>
    <row r="9" spans="2:5" ht="15" x14ac:dyDescent="0.25">
      <c r="B9" s="61" t="s">
        <v>136</v>
      </c>
      <c r="C9" s="58" t="s">
        <v>137</v>
      </c>
      <c r="D9" s="58" t="s">
        <v>138</v>
      </c>
      <c r="E9" s="62" t="str">
        <f t="shared" si="0"/>
        <v>Summary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theme="7" tint="0.59999389629810485"/>
  </sheetPr>
  <dimension ref="A1:J25"/>
  <sheetViews>
    <sheetView workbookViewId="0">
      <selection activeCell="J1" sqref="J1"/>
    </sheetView>
  </sheetViews>
  <sheetFormatPr defaultRowHeight="12.75" x14ac:dyDescent="0.2"/>
  <cols>
    <col min="1" max="4" width="14.5703125" customWidth="1"/>
    <col min="5" max="5" width="5" customWidth="1"/>
    <col min="7" max="7" width="5" customWidth="1"/>
    <col min="10" max="10" width="11.85546875" bestFit="1" customWidth="1"/>
  </cols>
  <sheetData>
    <row r="1" spans="1:10" x14ac:dyDescent="0.2">
      <c r="A1" s="37" t="s">
        <v>44</v>
      </c>
      <c r="B1" s="37" t="s">
        <v>45</v>
      </c>
      <c r="C1" s="37" t="s">
        <v>93</v>
      </c>
      <c r="D1" s="37" t="s">
        <v>47</v>
      </c>
      <c r="F1" s="37" t="s">
        <v>149</v>
      </c>
      <c r="H1" s="37" t="s">
        <v>144</v>
      </c>
      <c r="J1" s="37" t="s">
        <v>154</v>
      </c>
    </row>
    <row r="2" spans="1:10" x14ac:dyDescent="0.2">
      <c r="A2" s="2" t="s">
        <v>48</v>
      </c>
      <c r="B2" t="s">
        <v>49</v>
      </c>
      <c r="C2" t="s">
        <v>46</v>
      </c>
      <c r="D2" t="s">
        <v>7</v>
      </c>
      <c r="F2" s="64">
        <v>43466</v>
      </c>
      <c r="H2" s="63">
        <f>EDATE(F2,12)</f>
        <v>43831</v>
      </c>
      <c r="J2" t="s">
        <v>152</v>
      </c>
    </row>
    <row r="3" spans="1:10" x14ac:dyDescent="0.2">
      <c r="A3" s="2" t="s">
        <v>6</v>
      </c>
      <c r="B3" t="s">
        <v>51</v>
      </c>
      <c r="C3" t="s">
        <v>50</v>
      </c>
      <c r="D3" t="s">
        <v>8</v>
      </c>
      <c r="F3" s="63">
        <f>EDATE(F2,1)</f>
        <v>43497</v>
      </c>
      <c r="H3" s="63">
        <f t="shared" ref="H3:H13" si="0">EDATE(F3,12)</f>
        <v>43862</v>
      </c>
      <c r="J3" t="s">
        <v>153</v>
      </c>
    </row>
    <row r="4" spans="1:10" x14ac:dyDescent="0.2">
      <c r="A4" s="2" t="s">
        <v>11</v>
      </c>
      <c r="B4" t="s">
        <v>53</v>
      </c>
      <c r="C4" t="s">
        <v>52</v>
      </c>
      <c r="D4" t="s">
        <v>9</v>
      </c>
      <c r="F4" s="63">
        <f t="shared" ref="F4:F25" si="1">EDATE(F3,1)</f>
        <v>43525</v>
      </c>
      <c r="H4" s="63">
        <f t="shared" si="0"/>
        <v>43891</v>
      </c>
    </row>
    <row r="5" spans="1:10" x14ac:dyDescent="0.2">
      <c r="A5" s="2" t="s">
        <v>12</v>
      </c>
      <c r="B5" t="s">
        <v>55</v>
      </c>
      <c r="C5" t="s">
        <v>54</v>
      </c>
      <c r="D5" t="s">
        <v>10</v>
      </c>
      <c r="F5" s="63">
        <f t="shared" si="1"/>
        <v>43556</v>
      </c>
      <c r="H5" s="63">
        <f t="shared" si="0"/>
        <v>43922</v>
      </c>
    </row>
    <row r="6" spans="1:10" x14ac:dyDescent="0.2">
      <c r="A6" s="2" t="s">
        <v>13</v>
      </c>
      <c r="C6" t="s">
        <v>56</v>
      </c>
      <c r="F6" s="63">
        <f t="shared" si="1"/>
        <v>43586</v>
      </c>
      <c r="H6" s="63">
        <f t="shared" si="0"/>
        <v>43952</v>
      </c>
    </row>
    <row r="7" spans="1:10" x14ac:dyDescent="0.2">
      <c r="C7" t="s">
        <v>57</v>
      </c>
      <c r="E7" s="2"/>
      <c r="F7" s="63">
        <f t="shared" si="1"/>
        <v>43617</v>
      </c>
      <c r="G7" s="2"/>
      <c r="H7" s="63">
        <f t="shared" si="0"/>
        <v>43983</v>
      </c>
    </row>
    <row r="8" spans="1:10" x14ac:dyDescent="0.2">
      <c r="C8" t="s">
        <v>58</v>
      </c>
      <c r="E8" s="2"/>
      <c r="F8" s="63">
        <f t="shared" si="1"/>
        <v>43647</v>
      </c>
      <c r="G8" s="2"/>
      <c r="H8" s="63">
        <f t="shared" si="0"/>
        <v>44013</v>
      </c>
    </row>
    <row r="9" spans="1:10" x14ac:dyDescent="0.2">
      <c r="C9" t="s">
        <v>59</v>
      </c>
      <c r="E9" s="2"/>
      <c r="F9" s="63">
        <f t="shared" si="1"/>
        <v>43678</v>
      </c>
      <c r="G9" s="2"/>
      <c r="H9" s="63">
        <f t="shared" si="0"/>
        <v>44044</v>
      </c>
    </row>
    <row r="10" spans="1:10" x14ac:dyDescent="0.2">
      <c r="C10" t="s">
        <v>60</v>
      </c>
      <c r="F10" s="63">
        <f t="shared" si="1"/>
        <v>43709</v>
      </c>
      <c r="H10" s="63">
        <f t="shared" si="0"/>
        <v>44075</v>
      </c>
    </row>
    <row r="11" spans="1:10" x14ac:dyDescent="0.2">
      <c r="C11" t="s">
        <v>61</v>
      </c>
      <c r="F11" s="63">
        <f t="shared" si="1"/>
        <v>43739</v>
      </c>
      <c r="H11" s="63">
        <f t="shared" si="0"/>
        <v>44105</v>
      </c>
    </row>
    <row r="12" spans="1:10" x14ac:dyDescent="0.2">
      <c r="C12" t="s">
        <v>62</v>
      </c>
      <c r="F12" s="63">
        <f t="shared" si="1"/>
        <v>43770</v>
      </c>
      <c r="H12" s="63">
        <f t="shared" si="0"/>
        <v>44136</v>
      </c>
    </row>
    <row r="13" spans="1:10" x14ac:dyDescent="0.2">
      <c r="C13" t="s">
        <v>63</v>
      </c>
      <c r="F13" s="63">
        <f t="shared" si="1"/>
        <v>43800</v>
      </c>
      <c r="H13" s="63">
        <f t="shared" si="0"/>
        <v>44166</v>
      </c>
    </row>
    <row r="14" spans="1:10" x14ac:dyDescent="0.2">
      <c r="F14" s="63">
        <f t="shared" si="1"/>
        <v>43831</v>
      </c>
    </row>
    <row r="15" spans="1:10" x14ac:dyDescent="0.2">
      <c r="F15" s="63">
        <f t="shared" si="1"/>
        <v>43862</v>
      </c>
    </row>
    <row r="16" spans="1:10" x14ac:dyDescent="0.2">
      <c r="F16" s="63">
        <f t="shared" si="1"/>
        <v>43891</v>
      </c>
    </row>
    <row r="17" spans="6:6" x14ac:dyDescent="0.2">
      <c r="F17" s="63">
        <f t="shared" si="1"/>
        <v>43922</v>
      </c>
    </row>
    <row r="18" spans="6:6" x14ac:dyDescent="0.2">
      <c r="F18" s="63">
        <f t="shared" si="1"/>
        <v>43952</v>
      </c>
    </row>
    <row r="19" spans="6:6" x14ac:dyDescent="0.2">
      <c r="F19" s="63">
        <f t="shared" si="1"/>
        <v>43983</v>
      </c>
    </row>
    <row r="20" spans="6:6" x14ac:dyDescent="0.2">
      <c r="F20" s="63">
        <f t="shared" si="1"/>
        <v>44013</v>
      </c>
    </row>
    <row r="21" spans="6:6" x14ac:dyDescent="0.2">
      <c r="F21" s="63">
        <f t="shared" si="1"/>
        <v>44044</v>
      </c>
    </row>
    <row r="22" spans="6:6" x14ac:dyDescent="0.2">
      <c r="F22" s="63">
        <f t="shared" si="1"/>
        <v>44075</v>
      </c>
    </row>
    <row r="23" spans="6:6" x14ac:dyDescent="0.2">
      <c r="F23" s="63">
        <f>EDATE(F22,1)</f>
        <v>44105</v>
      </c>
    </row>
    <row r="24" spans="6:6" x14ac:dyDescent="0.2">
      <c r="F24" s="63">
        <f t="shared" si="1"/>
        <v>44136</v>
      </c>
    </row>
    <row r="25" spans="6:6" x14ac:dyDescent="0.2">
      <c r="F25" s="63">
        <f t="shared" si="1"/>
        <v>44166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4" tint="-0.249977111117893"/>
  </sheetPr>
  <dimension ref="A1:AS36"/>
  <sheetViews>
    <sheetView workbookViewId="0">
      <selection activeCell="J3" sqref="J3"/>
    </sheetView>
  </sheetViews>
  <sheetFormatPr defaultRowHeight="12.75" x14ac:dyDescent="0.2"/>
  <cols>
    <col min="1" max="1" width="14.140625" bestFit="1" customWidth="1"/>
    <col min="4" max="4" width="11.7109375" bestFit="1" customWidth="1"/>
    <col min="5" max="5" width="13.85546875" bestFit="1" customWidth="1"/>
    <col min="6" max="6" width="10.28515625" bestFit="1" customWidth="1"/>
    <col min="7" max="7" width="10.28515625" customWidth="1"/>
    <col min="8" max="8" width="11.85546875" bestFit="1" customWidth="1"/>
    <col min="9" max="9" width="16.140625" bestFit="1" customWidth="1"/>
    <col min="10" max="10" width="16.140625" customWidth="1"/>
    <col min="19" max="22" width="15.85546875" customWidth="1"/>
    <col min="23" max="26" width="12.5703125" customWidth="1"/>
    <col min="27" max="30" width="16.7109375" bestFit="1" customWidth="1"/>
    <col min="31" max="34" width="14.85546875" bestFit="1" customWidth="1"/>
    <col min="35" max="38" width="11.7109375" customWidth="1"/>
    <col min="39" max="39" width="13.85546875" bestFit="1" customWidth="1"/>
  </cols>
  <sheetData>
    <row r="1" spans="1:45" x14ac:dyDescent="0.2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88</v>
      </c>
      <c r="H1" s="29" t="s">
        <v>89</v>
      </c>
      <c r="I1" s="29" t="s">
        <v>90</v>
      </c>
      <c r="J1" s="29" t="s">
        <v>92</v>
      </c>
      <c r="K1" s="30" t="s">
        <v>24</v>
      </c>
      <c r="L1" s="30" t="s">
        <v>25</v>
      </c>
      <c r="M1" s="30" t="s">
        <v>26</v>
      </c>
      <c r="N1" s="30" t="s">
        <v>27</v>
      </c>
      <c r="O1" s="30" t="s">
        <v>20</v>
      </c>
      <c r="P1" s="30" t="s">
        <v>21</v>
      </c>
      <c r="Q1" s="30" t="s">
        <v>22</v>
      </c>
      <c r="R1" s="30" t="s">
        <v>23</v>
      </c>
      <c r="S1" s="30" t="s">
        <v>28</v>
      </c>
      <c r="T1" s="30" t="s">
        <v>29</v>
      </c>
      <c r="U1" s="30" t="s">
        <v>30</v>
      </c>
      <c r="V1" s="30" t="s">
        <v>31</v>
      </c>
      <c r="W1" s="30" t="s">
        <v>32</v>
      </c>
      <c r="X1" s="30" t="s">
        <v>33</v>
      </c>
      <c r="Y1" s="30" t="s">
        <v>34</v>
      </c>
      <c r="Z1" s="30" t="s">
        <v>35</v>
      </c>
      <c r="AA1" s="29" t="s">
        <v>36</v>
      </c>
      <c r="AB1" s="29" t="s">
        <v>37</v>
      </c>
      <c r="AC1" s="29" t="s">
        <v>38</v>
      </c>
      <c r="AD1" s="29" t="s">
        <v>39</v>
      </c>
      <c r="AE1" s="29" t="s">
        <v>40</v>
      </c>
      <c r="AF1" s="29" t="s">
        <v>41</v>
      </c>
      <c r="AG1" s="29" t="s">
        <v>42</v>
      </c>
      <c r="AH1" s="29" t="s">
        <v>43</v>
      </c>
      <c r="AI1" s="29" t="s">
        <v>76</v>
      </c>
      <c r="AJ1" s="29" t="s">
        <v>77</v>
      </c>
      <c r="AK1" s="29" t="s">
        <v>78</v>
      </c>
      <c r="AL1" s="29" t="s">
        <v>79</v>
      </c>
      <c r="AM1" s="29" t="s">
        <v>82</v>
      </c>
      <c r="AN1" s="29" t="s">
        <v>97</v>
      </c>
      <c r="AO1" s="33" t="s">
        <v>99</v>
      </c>
      <c r="AP1" s="33" t="s">
        <v>100</v>
      </c>
      <c r="AQ1" s="33" t="s">
        <v>101</v>
      </c>
      <c r="AR1" s="33" t="s">
        <v>102</v>
      </c>
      <c r="AS1" s="29" t="s">
        <v>103</v>
      </c>
    </row>
    <row r="2" spans="1:45" x14ac:dyDescent="0.2">
      <c r="A2" t="s">
        <v>6</v>
      </c>
      <c r="B2" t="s">
        <v>7</v>
      </c>
      <c r="C2">
        <v>108</v>
      </c>
      <c r="D2">
        <v>976</v>
      </c>
      <c r="E2">
        <v>3.5</v>
      </c>
      <c r="F2" s="1">
        <v>65455</v>
      </c>
      <c r="G2" s="1">
        <f>F2*10.5%</f>
        <v>6872.7749999999996</v>
      </c>
      <c r="H2" s="1">
        <v>3272.75</v>
      </c>
      <c r="I2" s="1">
        <v>22</v>
      </c>
      <c r="J2" s="1">
        <v>8692.44</v>
      </c>
      <c r="K2">
        <v>25</v>
      </c>
      <c r="L2">
        <v>45</v>
      </c>
      <c r="M2">
        <v>55</v>
      </c>
      <c r="N2">
        <v>76</v>
      </c>
      <c r="O2">
        <v>40</v>
      </c>
      <c r="P2">
        <f>ROUNDUP(L2*1.1,0)</f>
        <v>50</v>
      </c>
      <c r="Q2">
        <f t="shared" ref="Q2:R2" si="0">ROUNDUP(M2*1.1,0)</f>
        <v>61</v>
      </c>
      <c r="R2">
        <f t="shared" si="0"/>
        <v>84</v>
      </c>
      <c r="S2">
        <v>10</v>
      </c>
      <c r="T2">
        <v>15</v>
      </c>
      <c r="U2">
        <v>20</v>
      </c>
      <c r="V2">
        <v>18</v>
      </c>
      <c r="W2">
        <v>3.3</v>
      </c>
      <c r="X2">
        <v>3.5</v>
      </c>
      <c r="Y2">
        <v>3.5</v>
      </c>
      <c r="Z2">
        <v>3.7</v>
      </c>
      <c r="AA2">
        <v>40</v>
      </c>
      <c r="AB2">
        <v>30</v>
      </c>
      <c r="AC2">
        <v>24</v>
      </c>
      <c r="AD2">
        <v>27</v>
      </c>
      <c r="AE2" s="1">
        <v>976</v>
      </c>
      <c r="AF2" s="1">
        <v>642.22222222222229</v>
      </c>
      <c r="AG2" s="1">
        <v>625.4545454545455</v>
      </c>
      <c r="AH2" s="1">
        <v>552.63157894736855</v>
      </c>
      <c r="AI2">
        <v>108</v>
      </c>
      <c r="AJ2">
        <v>144</v>
      </c>
      <c r="AK2">
        <v>150</v>
      </c>
      <c r="AL2">
        <v>156</v>
      </c>
      <c r="AM2">
        <v>17</v>
      </c>
      <c r="AN2" s="31">
        <v>4.5</v>
      </c>
      <c r="AO2">
        <v>21.6</v>
      </c>
      <c r="AP2">
        <v>32.4</v>
      </c>
      <c r="AQ2">
        <v>32.4</v>
      </c>
      <c r="AR2">
        <v>10.8</v>
      </c>
      <c r="AS2">
        <v>10.8</v>
      </c>
    </row>
    <row r="3" spans="1:45" x14ac:dyDescent="0.2">
      <c r="A3" t="s">
        <v>6</v>
      </c>
      <c r="B3" t="s">
        <v>8</v>
      </c>
      <c r="C3">
        <v>55</v>
      </c>
      <c r="D3">
        <v>433</v>
      </c>
      <c r="E3">
        <v>2.4</v>
      </c>
      <c r="F3" s="1">
        <v>48978</v>
      </c>
      <c r="G3" s="1">
        <f t="shared" ref="G3:G17" si="1">F3*10.5%</f>
        <v>5142.6899999999996</v>
      </c>
      <c r="H3" s="23">
        <v>979.56000000000006</v>
      </c>
      <c r="I3" s="23">
        <v>32</v>
      </c>
      <c r="J3" s="23">
        <v>3144.85</v>
      </c>
      <c r="K3">
        <v>27</v>
      </c>
      <c r="L3">
        <v>39</v>
      </c>
      <c r="M3">
        <v>55</v>
      </c>
      <c r="N3">
        <v>78</v>
      </c>
      <c r="O3">
        <v>44</v>
      </c>
      <c r="P3">
        <v>47</v>
      </c>
      <c r="Q3">
        <f t="shared" ref="Q3:Q13" si="2">ROUNDUP(M3*1.1,0)</f>
        <v>61</v>
      </c>
      <c r="R3">
        <f t="shared" ref="R3:R13" si="3">ROUNDUP(N3*1.1,0)</f>
        <v>86</v>
      </c>
      <c r="S3">
        <v>50</v>
      </c>
      <c r="T3">
        <v>50</v>
      </c>
      <c r="U3">
        <v>42</v>
      </c>
      <c r="V3">
        <v>45</v>
      </c>
      <c r="W3">
        <v>4</v>
      </c>
      <c r="X3">
        <v>4</v>
      </c>
      <c r="Y3">
        <v>4.0999999999999996</v>
      </c>
      <c r="Z3">
        <v>4.2</v>
      </c>
      <c r="AA3">
        <v>53</v>
      </c>
      <c r="AB3">
        <v>56</v>
      </c>
      <c r="AC3">
        <v>67</v>
      </c>
      <c r="AD3">
        <v>63</v>
      </c>
      <c r="AE3" s="1">
        <v>433</v>
      </c>
      <c r="AF3" s="1">
        <v>399.76923076923077</v>
      </c>
      <c r="AG3" s="1">
        <v>383.4727272727273</v>
      </c>
      <c r="AH3" s="1">
        <v>370.39743589743591</v>
      </c>
      <c r="AI3">
        <v>55</v>
      </c>
      <c r="AJ3">
        <v>53</v>
      </c>
      <c r="AK3">
        <v>45</v>
      </c>
      <c r="AL3">
        <v>48</v>
      </c>
      <c r="AM3">
        <v>12</v>
      </c>
      <c r="AN3" s="31">
        <v>4.3</v>
      </c>
      <c r="AO3">
        <v>13.75</v>
      </c>
      <c r="AP3">
        <v>6.6</v>
      </c>
      <c r="AQ3">
        <v>11</v>
      </c>
      <c r="AR3">
        <v>12.1</v>
      </c>
      <c r="AS3">
        <v>11.549999999999997</v>
      </c>
    </row>
    <row r="4" spans="1:45" x14ac:dyDescent="0.2">
      <c r="A4" t="s">
        <v>6</v>
      </c>
      <c r="B4" t="s">
        <v>9</v>
      </c>
      <c r="C4">
        <v>33</v>
      </c>
      <c r="D4">
        <v>200</v>
      </c>
      <c r="E4">
        <v>4.8</v>
      </c>
      <c r="F4" s="1">
        <v>46550</v>
      </c>
      <c r="G4" s="1">
        <f t="shared" si="1"/>
        <v>4887.75</v>
      </c>
      <c r="H4" s="23">
        <v>931</v>
      </c>
      <c r="I4" s="23">
        <v>15</v>
      </c>
      <c r="J4" s="23">
        <v>6547.41</v>
      </c>
      <c r="K4">
        <v>35</v>
      </c>
      <c r="L4">
        <f>K4+10</f>
        <v>45</v>
      </c>
      <c r="M4">
        <f>L4+10</f>
        <v>55</v>
      </c>
      <c r="N4">
        <f>M4+10</f>
        <v>65</v>
      </c>
      <c r="O4">
        <f t="shared" ref="O4:O13" si="4">ROUNDUP(K4*1.1,0)</f>
        <v>39</v>
      </c>
      <c r="P4">
        <f t="shared" ref="P4:P13" si="5">ROUNDUP(L4*1.1,0)</f>
        <v>50</v>
      </c>
      <c r="Q4">
        <f t="shared" si="2"/>
        <v>61</v>
      </c>
      <c r="R4">
        <f t="shared" si="3"/>
        <v>72</v>
      </c>
      <c r="S4">
        <v>80</v>
      </c>
      <c r="T4">
        <v>72</v>
      </c>
      <c r="U4">
        <v>77</v>
      </c>
      <c r="V4">
        <v>70</v>
      </c>
      <c r="W4">
        <v>4.2</v>
      </c>
      <c r="X4">
        <v>4</v>
      </c>
      <c r="Y4">
        <v>3.8</v>
      </c>
      <c r="Z4">
        <v>3.7</v>
      </c>
      <c r="AA4">
        <v>91</v>
      </c>
      <c r="AB4">
        <v>92</v>
      </c>
      <c r="AC4">
        <v>95</v>
      </c>
      <c r="AD4">
        <v>99</v>
      </c>
      <c r="AE4" s="1">
        <v>200</v>
      </c>
      <c r="AF4" s="1">
        <v>255.55555555555557</v>
      </c>
      <c r="AG4" s="1">
        <v>309.09090909090912</v>
      </c>
      <c r="AH4" s="1">
        <v>361.53846153846155</v>
      </c>
      <c r="AI4">
        <v>33</v>
      </c>
      <c r="AJ4">
        <v>30</v>
      </c>
      <c r="AK4">
        <v>32</v>
      </c>
      <c r="AL4">
        <v>31</v>
      </c>
      <c r="AM4">
        <v>7</v>
      </c>
      <c r="AN4" s="31">
        <v>4.2</v>
      </c>
      <c r="AO4">
        <v>2.64</v>
      </c>
      <c r="AP4">
        <v>6.6000000000000005</v>
      </c>
      <c r="AQ4">
        <v>6.2700000000000005</v>
      </c>
      <c r="AR4">
        <v>4.62</v>
      </c>
      <c r="AS4">
        <v>12.869999999999997</v>
      </c>
    </row>
    <row r="5" spans="1:45" x14ac:dyDescent="0.2">
      <c r="A5" t="s">
        <v>6</v>
      </c>
      <c r="B5" t="s">
        <v>10</v>
      </c>
      <c r="C5">
        <v>43</v>
      </c>
      <c r="D5">
        <v>187</v>
      </c>
      <c r="E5">
        <v>5.3</v>
      </c>
      <c r="F5" s="1">
        <v>49864</v>
      </c>
      <c r="G5" s="1">
        <f t="shared" si="1"/>
        <v>5235.72</v>
      </c>
      <c r="H5" s="1">
        <v>2493.2000000000003</v>
      </c>
      <c r="I5" s="1">
        <v>6</v>
      </c>
      <c r="J5" s="1">
        <v>5604.52</v>
      </c>
      <c r="K5">
        <v>18</v>
      </c>
      <c r="L5">
        <f t="shared" ref="L5:N5" si="6">K5+10</f>
        <v>28</v>
      </c>
      <c r="M5">
        <f t="shared" si="6"/>
        <v>38</v>
      </c>
      <c r="N5">
        <f t="shared" si="6"/>
        <v>48</v>
      </c>
      <c r="O5">
        <f t="shared" si="4"/>
        <v>20</v>
      </c>
      <c r="P5">
        <f t="shared" si="5"/>
        <v>31</v>
      </c>
      <c r="Q5">
        <f t="shared" si="2"/>
        <v>42</v>
      </c>
      <c r="R5">
        <f t="shared" si="3"/>
        <v>53</v>
      </c>
      <c r="S5">
        <v>55</v>
      </c>
      <c r="T5">
        <v>60</v>
      </c>
      <c r="U5">
        <v>65</v>
      </c>
      <c r="V5">
        <v>60</v>
      </c>
      <c r="W5">
        <v>4.8</v>
      </c>
      <c r="X5">
        <v>4.5</v>
      </c>
      <c r="Y5">
        <v>4.3</v>
      </c>
      <c r="Z5">
        <v>4.5</v>
      </c>
      <c r="AA5">
        <v>80</v>
      </c>
      <c r="AB5">
        <v>77</v>
      </c>
      <c r="AC5">
        <v>72</v>
      </c>
      <c r="AD5">
        <v>78</v>
      </c>
      <c r="AE5" s="1">
        <v>187</v>
      </c>
      <c r="AF5" s="1">
        <v>220.21428571428572</v>
      </c>
      <c r="AG5" s="1">
        <v>262.26315789473688</v>
      </c>
      <c r="AH5" s="1">
        <v>307.625</v>
      </c>
      <c r="AI5">
        <v>43</v>
      </c>
      <c r="AJ5">
        <v>45</v>
      </c>
      <c r="AK5">
        <v>45</v>
      </c>
      <c r="AL5">
        <v>42</v>
      </c>
      <c r="AM5">
        <v>4</v>
      </c>
      <c r="AN5" s="31">
        <v>4.0999999999999996</v>
      </c>
      <c r="AO5">
        <v>14.190000000000001</v>
      </c>
      <c r="AP5">
        <v>12.469999999999999</v>
      </c>
      <c r="AQ5">
        <v>3.0100000000000002</v>
      </c>
      <c r="AR5">
        <v>3.8699999999999997</v>
      </c>
      <c r="AS5">
        <v>9.4600000000000044</v>
      </c>
    </row>
    <row r="6" spans="1:45" x14ac:dyDescent="0.2">
      <c r="A6" t="s">
        <v>11</v>
      </c>
      <c r="B6" t="s">
        <v>7</v>
      </c>
      <c r="C6">
        <v>33</v>
      </c>
      <c r="D6">
        <v>198</v>
      </c>
      <c r="E6">
        <v>6.8</v>
      </c>
      <c r="F6" s="1">
        <v>41234</v>
      </c>
      <c r="G6" s="1">
        <f t="shared" si="1"/>
        <v>4329.57</v>
      </c>
      <c r="H6" s="23">
        <v>2886.38</v>
      </c>
      <c r="I6" s="23">
        <v>17</v>
      </c>
      <c r="J6" s="23">
        <v>7680</v>
      </c>
      <c r="K6">
        <v>30</v>
      </c>
      <c r="L6">
        <f t="shared" ref="L6:N6" si="7">K6+10</f>
        <v>40</v>
      </c>
      <c r="M6">
        <f t="shared" si="7"/>
        <v>50</v>
      </c>
      <c r="N6">
        <f t="shared" si="7"/>
        <v>60</v>
      </c>
      <c r="O6">
        <f t="shared" si="4"/>
        <v>33</v>
      </c>
      <c r="P6">
        <f t="shared" si="5"/>
        <v>44</v>
      </c>
      <c r="Q6">
        <f t="shared" si="2"/>
        <v>55</v>
      </c>
      <c r="R6">
        <f t="shared" si="3"/>
        <v>66</v>
      </c>
      <c r="S6">
        <v>20</v>
      </c>
      <c r="T6">
        <v>25</v>
      </c>
      <c r="U6">
        <v>28</v>
      </c>
      <c r="V6">
        <v>30</v>
      </c>
      <c r="W6">
        <v>4.2</v>
      </c>
      <c r="X6">
        <v>4</v>
      </c>
      <c r="Y6">
        <v>4.0999999999999996</v>
      </c>
      <c r="Z6">
        <v>4.4000000000000004</v>
      </c>
      <c r="AA6">
        <v>35</v>
      </c>
      <c r="AB6">
        <v>31</v>
      </c>
      <c r="AC6">
        <v>28</v>
      </c>
      <c r="AD6">
        <v>27</v>
      </c>
      <c r="AE6" s="1">
        <v>198</v>
      </c>
      <c r="AF6" s="1">
        <v>248.5</v>
      </c>
      <c r="AG6" s="1">
        <v>298.8</v>
      </c>
      <c r="AH6" s="1">
        <v>349</v>
      </c>
      <c r="AI6">
        <v>33</v>
      </c>
      <c r="AJ6">
        <v>38</v>
      </c>
      <c r="AK6">
        <v>35</v>
      </c>
      <c r="AL6">
        <v>30</v>
      </c>
      <c r="AM6">
        <v>6</v>
      </c>
      <c r="AN6" s="31">
        <v>4</v>
      </c>
      <c r="AO6">
        <v>8.91</v>
      </c>
      <c r="AP6">
        <v>3.3000000000000003</v>
      </c>
      <c r="AQ6">
        <v>4.95</v>
      </c>
      <c r="AR6">
        <v>2.64</v>
      </c>
      <c r="AS6">
        <v>13.200000000000001</v>
      </c>
    </row>
    <row r="7" spans="1:45" x14ac:dyDescent="0.2">
      <c r="A7" t="s">
        <v>11</v>
      </c>
      <c r="B7" t="s">
        <v>8</v>
      </c>
      <c r="C7">
        <v>23</v>
      </c>
      <c r="D7">
        <v>133</v>
      </c>
      <c r="E7">
        <v>5.9</v>
      </c>
      <c r="F7" s="1">
        <v>37886</v>
      </c>
      <c r="G7" s="1">
        <f t="shared" si="1"/>
        <v>3978.0299999999997</v>
      </c>
      <c r="H7" s="23">
        <v>5682.9</v>
      </c>
      <c r="I7" s="23">
        <v>28</v>
      </c>
      <c r="J7" s="23">
        <v>4678</v>
      </c>
      <c r="K7">
        <v>45</v>
      </c>
      <c r="L7">
        <f t="shared" ref="L7:N7" si="8">K7+10</f>
        <v>55</v>
      </c>
      <c r="M7">
        <f t="shared" si="8"/>
        <v>65</v>
      </c>
      <c r="N7">
        <f t="shared" si="8"/>
        <v>75</v>
      </c>
      <c r="O7">
        <f t="shared" si="4"/>
        <v>50</v>
      </c>
      <c r="P7">
        <f t="shared" si="5"/>
        <v>61</v>
      </c>
      <c r="Q7">
        <f t="shared" si="2"/>
        <v>72</v>
      </c>
      <c r="R7">
        <f t="shared" si="3"/>
        <v>83</v>
      </c>
      <c r="S7">
        <v>45</v>
      </c>
      <c r="T7">
        <v>30</v>
      </c>
      <c r="U7">
        <v>35</v>
      </c>
      <c r="V7">
        <v>30</v>
      </c>
      <c r="W7">
        <v>3.7</v>
      </c>
      <c r="X7">
        <v>3.6</v>
      </c>
      <c r="Y7">
        <v>3.4</v>
      </c>
      <c r="Z7">
        <v>3.2</v>
      </c>
      <c r="AA7">
        <v>45</v>
      </c>
      <c r="AB7">
        <v>71</v>
      </c>
      <c r="AC7">
        <v>62</v>
      </c>
      <c r="AD7">
        <v>72</v>
      </c>
      <c r="AE7" s="1">
        <v>133</v>
      </c>
      <c r="AF7" s="1">
        <v>208.81818181818181</v>
      </c>
      <c r="AG7" s="1">
        <v>276.69230769230768</v>
      </c>
      <c r="AH7" s="1">
        <v>339.79999999999995</v>
      </c>
      <c r="AI7">
        <v>23</v>
      </c>
      <c r="AJ7">
        <v>15</v>
      </c>
      <c r="AK7">
        <v>18</v>
      </c>
      <c r="AL7">
        <v>16</v>
      </c>
      <c r="AM7">
        <v>5</v>
      </c>
      <c r="AN7" s="31">
        <v>3.4</v>
      </c>
      <c r="AO7">
        <v>4.1399999999999997</v>
      </c>
      <c r="AP7">
        <v>2.99</v>
      </c>
      <c r="AQ7">
        <v>5.52</v>
      </c>
      <c r="AR7">
        <v>7.5900000000000007</v>
      </c>
      <c r="AS7">
        <v>2.7599999999999971</v>
      </c>
    </row>
    <row r="8" spans="1:45" x14ac:dyDescent="0.2">
      <c r="A8" t="s">
        <v>11</v>
      </c>
      <c r="B8" t="s">
        <v>9</v>
      </c>
      <c r="C8">
        <v>13</v>
      </c>
      <c r="D8">
        <v>87</v>
      </c>
      <c r="E8">
        <v>3.8</v>
      </c>
      <c r="F8" s="1">
        <v>35985</v>
      </c>
      <c r="G8" s="1">
        <f t="shared" si="1"/>
        <v>3778.4249999999997</v>
      </c>
      <c r="H8" s="23">
        <v>719.7</v>
      </c>
      <c r="I8" s="23">
        <v>15</v>
      </c>
      <c r="J8" s="23">
        <v>3790</v>
      </c>
      <c r="K8">
        <v>70</v>
      </c>
      <c r="L8">
        <v>77</v>
      </c>
      <c r="M8">
        <v>88</v>
      </c>
      <c r="N8">
        <f t="shared" ref="N8" si="9">M8+10</f>
        <v>98</v>
      </c>
      <c r="O8">
        <f t="shared" si="4"/>
        <v>77</v>
      </c>
      <c r="P8">
        <f t="shared" si="5"/>
        <v>85</v>
      </c>
      <c r="Q8">
        <f t="shared" si="2"/>
        <v>97</v>
      </c>
      <c r="R8">
        <f t="shared" si="3"/>
        <v>108</v>
      </c>
      <c r="S8">
        <v>67</v>
      </c>
      <c r="T8">
        <v>67</v>
      </c>
      <c r="U8">
        <v>70</v>
      </c>
      <c r="V8">
        <v>72</v>
      </c>
      <c r="W8">
        <v>4.3</v>
      </c>
      <c r="X8">
        <v>4</v>
      </c>
      <c r="Y8">
        <v>4.2</v>
      </c>
      <c r="Z8">
        <v>4.0999999999999996</v>
      </c>
      <c r="AA8">
        <v>85</v>
      </c>
      <c r="AB8">
        <v>88</v>
      </c>
      <c r="AC8">
        <v>85</v>
      </c>
      <c r="AD8">
        <v>83</v>
      </c>
      <c r="AE8" s="1">
        <v>87</v>
      </c>
      <c r="AF8" s="1">
        <v>179.09090909090909</v>
      </c>
      <c r="AG8" s="1">
        <v>256.7045454545455</v>
      </c>
      <c r="AH8" s="1">
        <v>330.51020408163265</v>
      </c>
      <c r="AI8">
        <v>13</v>
      </c>
      <c r="AJ8">
        <v>13</v>
      </c>
      <c r="AK8">
        <v>14</v>
      </c>
      <c r="AL8">
        <v>13</v>
      </c>
      <c r="AM8">
        <v>4</v>
      </c>
      <c r="AN8" s="31">
        <v>3.8</v>
      </c>
      <c r="AO8">
        <v>2.4700000000000002</v>
      </c>
      <c r="AP8">
        <v>2.21</v>
      </c>
      <c r="AQ8">
        <v>1.43</v>
      </c>
      <c r="AR8">
        <v>1.3</v>
      </c>
      <c r="AS8">
        <v>5.5900000000000007</v>
      </c>
    </row>
    <row r="9" spans="1:45" x14ac:dyDescent="0.2">
      <c r="A9" t="s">
        <v>11</v>
      </c>
      <c r="B9" t="s">
        <v>10</v>
      </c>
      <c r="C9">
        <v>12</v>
      </c>
      <c r="D9">
        <v>90</v>
      </c>
      <c r="E9">
        <v>2.9</v>
      </c>
      <c r="F9" s="1">
        <v>33459</v>
      </c>
      <c r="G9" s="1">
        <f t="shared" si="1"/>
        <v>3513.1949999999997</v>
      </c>
      <c r="H9" s="1">
        <v>1672.95</v>
      </c>
      <c r="I9" s="1">
        <v>28</v>
      </c>
      <c r="J9" s="1">
        <v>5789</v>
      </c>
      <c r="K9">
        <v>33</v>
      </c>
      <c r="L9">
        <f t="shared" ref="L9" si="10">K9+10</f>
        <v>43</v>
      </c>
      <c r="M9">
        <v>77</v>
      </c>
      <c r="N9">
        <v>86</v>
      </c>
      <c r="O9">
        <f t="shared" si="4"/>
        <v>37</v>
      </c>
      <c r="P9">
        <f t="shared" si="5"/>
        <v>48</v>
      </c>
      <c r="Q9">
        <f t="shared" si="2"/>
        <v>85</v>
      </c>
      <c r="R9">
        <f t="shared" si="3"/>
        <v>95</v>
      </c>
      <c r="S9">
        <v>54</v>
      </c>
      <c r="T9">
        <v>54</v>
      </c>
      <c r="U9">
        <v>57</v>
      </c>
      <c r="V9">
        <v>59</v>
      </c>
      <c r="W9">
        <v>4</v>
      </c>
      <c r="X9">
        <v>3.8</v>
      </c>
      <c r="Y9">
        <v>4</v>
      </c>
      <c r="Z9">
        <v>4.2</v>
      </c>
      <c r="AA9">
        <v>80</v>
      </c>
      <c r="AB9">
        <v>83</v>
      </c>
      <c r="AC9">
        <v>79</v>
      </c>
      <c r="AD9">
        <v>77</v>
      </c>
      <c r="AE9" s="1">
        <v>90</v>
      </c>
      <c r="AF9" s="1">
        <v>169.06976744186045</v>
      </c>
      <c r="AG9" s="1">
        <v>194.41558441558442</v>
      </c>
      <c r="AH9" s="1">
        <v>274.06976744186045</v>
      </c>
      <c r="AI9">
        <v>12</v>
      </c>
      <c r="AJ9">
        <v>12</v>
      </c>
      <c r="AK9">
        <v>13</v>
      </c>
      <c r="AL9">
        <v>13</v>
      </c>
      <c r="AM9">
        <v>3</v>
      </c>
      <c r="AN9" s="31">
        <v>3.6</v>
      </c>
      <c r="AO9">
        <v>0.96</v>
      </c>
      <c r="AP9">
        <v>2.52</v>
      </c>
      <c r="AQ9">
        <v>3.5999999999999996</v>
      </c>
      <c r="AR9">
        <v>3.5999999999999996</v>
      </c>
      <c r="AS9">
        <v>1.3200000000000012</v>
      </c>
    </row>
    <row r="10" spans="1:45" x14ac:dyDescent="0.2">
      <c r="A10" t="s">
        <v>12</v>
      </c>
      <c r="B10" t="s">
        <v>7</v>
      </c>
      <c r="C10">
        <v>58</v>
      </c>
      <c r="D10">
        <v>236</v>
      </c>
      <c r="E10">
        <v>1.8</v>
      </c>
      <c r="F10" s="1">
        <v>28567</v>
      </c>
      <c r="G10" s="1">
        <f t="shared" si="1"/>
        <v>2999.5349999999999</v>
      </c>
      <c r="H10" s="23">
        <v>285.67</v>
      </c>
      <c r="I10" s="23">
        <v>21</v>
      </c>
      <c r="J10" s="23">
        <v>6787</v>
      </c>
      <c r="K10">
        <v>35</v>
      </c>
      <c r="L10">
        <f t="shared" ref="L10" si="11">K10+10</f>
        <v>45</v>
      </c>
      <c r="M10">
        <v>60</v>
      </c>
      <c r="N10">
        <f>M10+10</f>
        <v>70</v>
      </c>
      <c r="O10">
        <f t="shared" si="4"/>
        <v>39</v>
      </c>
      <c r="P10">
        <f t="shared" si="5"/>
        <v>50</v>
      </c>
      <c r="Q10">
        <f t="shared" si="2"/>
        <v>66</v>
      </c>
      <c r="R10">
        <f t="shared" si="3"/>
        <v>77</v>
      </c>
      <c r="S10">
        <v>42</v>
      </c>
      <c r="T10">
        <v>42</v>
      </c>
      <c r="U10">
        <v>40</v>
      </c>
      <c r="V10">
        <v>40</v>
      </c>
      <c r="W10">
        <v>2.8</v>
      </c>
      <c r="X10">
        <v>3</v>
      </c>
      <c r="Y10">
        <v>3.5</v>
      </c>
      <c r="Z10">
        <v>3.3</v>
      </c>
      <c r="AA10">
        <v>43</v>
      </c>
      <c r="AB10">
        <v>46</v>
      </c>
      <c r="AC10">
        <v>49</v>
      </c>
      <c r="AD10">
        <v>49</v>
      </c>
      <c r="AE10" s="1">
        <v>236</v>
      </c>
      <c r="AF10" s="1">
        <v>283.55555555555554</v>
      </c>
      <c r="AG10" s="1">
        <v>312.66666666666663</v>
      </c>
      <c r="AH10" s="1">
        <v>367.99999999999994</v>
      </c>
      <c r="AI10">
        <v>58</v>
      </c>
      <c r="AJ10">
        <v>55</v>
      </c>
      <c r="AK10">
        <v>52</v>
      </c>
      <c r="AL10">
        <v>52</v>
      </c>
      <c r="AM10">
        <v>6</v>
      </c>
      <c r="AN10" s="31">
        <v>3.9</v>
      </c>
      <c r="AO10">
        <v>17.399999999999999</v>
      </c>
      <c r="AP10">
        <v>4.6399999999999997</v>
      </c>
      <c r="AQ10">
        <v>6.38</v>
      </c>
      <c r="AR10">
        <v>6.38</v>
      </c>
      <c r="AS10">
        <v>23.200000000000003</v>
      </c>
    </row>
    <row r="11" spans="1:45" x14ac:dyDescent="0.2">
      <c r="A11" t="s">
        <v>12</v>
      </c>
      <c r="B11" t="s">
        <v>8</v>
      </c>
      <c r="C11">
        <v>35</v>
      </c>
      <c r="D11">
        <v>177</v>
      </c>
      <c r="E11">
        <v>4.9000000000000004</v>
      </c>
      <c r="F11" s="1">
        <v>29889</v>
      </c>
      <c r="G11" s="1">
        <f t="shared" si="1"/>
        <v>3138.3449999999998</v>
      </c>
      <c r="H11" s="23">
        <v>2092.23</v>
      </c>
      <c r="I11" s="23">
        <v>12</v>
      </c>
      <c r="J11" s="23">
        <v>4567</v>
      </c>
      <c r="K11">
        <v>25</v>
      </c>
      <c r="L11">
        <f t="shared" ref="L11" si="12">K11+10</f>
        <v>35</v>
      </c>
      <c r="M11">
        <v>66</v>
      </c>
      <c r="N11">
        <v>70</v>
      </c>
      <c r="O11">
        <f t="shared" si="4"/>
        <v>28</v>
      </c>
      <c r="P11">
        <f t="shared" si="5"/>
        <v>39</v>
      </c>
      <c r="Q11">
        <f t="shared" si="2"/>
        <v>73</v>
      </c>
      <c r="R11">
        <f t="shared" si="3"/>
        <v>77</v>
      </c>
      <c r="S11">
        <v>45</v>
      </c>
      <c r="T11">
        <v>45</v>
      </c>
      <c r="U11">
        <v>50</v>
      </c>
      <c r="V11">
        <v>53</v>
      </c>
      <c r="W11">
        <v>3.7</v>
      </c>
      <c r="X11">
        <v>3.9</v>
      </c>
      <c r="Y11">
        <v>3.4</v>
      </c>
      <c r="Z11">
        <v>3.2</v>
      </c>
      <c r="AA11">
        <v>53</v>
      </c>
      <c r="AB11">
        <v>56</v>
      </c>
      <c r="AC11">
        <v>51</v>
      </c>
      <c r="AD11">
        <v>49</v>
      </c>
      <c r="AE11" s="1">
        <v>177</v>
      </c>
      <c r="AF11" s="1">
        <v>226.42857142857144</v>
      </c>
      <c r="AG11" s="1">
        <v>220.07575757575756</v>
      </c>
      <c r="AH11" s="1">
        <v>307.5</v>
      </c>
      <c r="AI11">
        <v>35</v>
      </c>
      <c r="AJ11">
        <v>34</v>
      </c>
      <c r="AK11">
        <v>28</v>
      </c>
      <c r="AL11">
        <v>29</v>
      </c>
      <c r="AM11">
        <v>5</v>
      </c>
      <c r="AN11" s="31">
        <v>4.3</v>
      </c>
      <c r="AO11">
        <v>10.85</v>
      </c>
      <c r="AP11">
        <v>9.1</v>
      </c>
      <c r="AQ11">
        <v>4.2</v>
      </c>
      <c r="AR11">
        <v>7.7</v>
      </c>
      <c r="AS11">
        <v>3.149999999999999</v>
      </c>
    </row>
    <row r="12" spans="1:45" x14ac:dyDescent="0.2">
      <c r="A12" t="s">
        <v>12</v>
      </c>
      <c r="B12" t="s">
        <v>9</v>
      </c>
      <c r="C12">
        <v>16</v>
      </c>
      <c r="D12">
        <v>88</v>
      </c>
      <c r="E12">
        <v>3</v>
      </c>
      <c r="F12" s="1">
        <v>31009</v>
      </c>
      <c r="G12" s="1">
        <f t="shared" si="1"/>
        <v>3255.9449999999997</v>
      </c>
      <c r="H12" s="23">
        <v>2170.63</v>
      </c>
      <c r="I12" s="23">
        <v>18</v>
      </c>
      <c r="J12" s="23">
        <v>3896</v>
      </c>
      <c r="K12">
        <v>25</v>
      </c>
      <c r="L12">
        <v>50</v>
      </c>
      <c r="M12">
        <v>73</v>
      </c>
      <c r="N12">
        <f t="shared" ref="N12" si="13">M12+10</f>
        <v>83</v>
      </c>
      <c r="O12">
        <f t="shared" si="4"/>
        <v>28</v>
      </c>
      <c r="P12">
        <f t="shared" si="5"/>
        <v>55</v>
      </c>
      <c r="Q12">
        <f t="shared" si="2"/>
        <v>81</v>
      </c>
      <c r="R12">
        <f t="shared" si="3"/>
        <v>92</v>
      </c>
      <c r="S12">
        <v>21</v>
      </c>
      <c r="T12">
        <v>21</v>
      </c>
      <c r="U12">
        <v>25</v>
      </c>
      <c r="V12">
        <v>29</v>
      </c>
      <c r="W12">
        <v>4</v>
      </c>
      <c r="X12">
        <v>3</v>
      </c>
      <c r="Y12">
        <v>3.5</v>
      </c>
      <c r="Z12">
        <v>3.9</v>
      </c>
      <c r="AA12">
        <v>93</v>
      </c>
      <c r="AB12">
        <v>96</v>
      </c>
      <c r="AC12">
        <v>82</v>
      </c>
      <c r="AD12">
        <v>72</v>
      </c>
      <c r="AE12" s="1">
        <v>88</v>
      </c>
      <c r="AF12" s="1">
        <v>144</v>
      </c>
      <c r="AG12" s="1">
        <v>198.63013698630135</v>
      </c>
      <c r="AH12" s="1">
        <v>274.69879518072287</v>
      </c>
      <c r="AI12">
        <v>16</v>
      </c>
      <c r="AJ12">
        <v>16</v>
      </c>
      <c r="AK12">
        <v>18</v>
      </c>
      <c r="AL12">
        <v>21</v>
      </c>
      <c r="AM12">
        <v>3</v>
      </c>
      <c r="AN12" s="31">
        <v>3.7</v>
      </c>
      <c r="AO12">
        <v>4.8</v>
      </c>
      <c r="AP12">
        <v>1.76</v>
      </c>
      <c r="AQ12">
        <v>4.4800000000000004</v>
      </c>
      <c r="AR12">
        <v>2.88</v>
      </c>
      <c r="AS12">
        <v>2.0800000000000018</v>
      </c>
    </row>
    <row r="13" spans="1:45" x14ac:dyDescent="0.2">
      <c r="A13" t="s">
        <v>12</v>
      </c>
      <c r="B13" t="s">
        <v>10</v>
      </c>
      <c r="C13">
        <v>9</v>
      </c>
      <c r="D13">
        <v>34</v>
      </c>
      <c r="E13">
        <v>2</v>
      </c>
      <c r="F13" s="1">
        <v>27056</v>
      </c>
      <c r="G13" s="1">
        <f t="shared" si="1"/>
        <v>2840.88</v>
      </c>
      <c r="H13" s="23">
        <v>270.56</v>
      </c>
      <c r="I13" s="23">
        <v>23</v>
      </c>
      <c r="J13" s="23">
        <v>2978</v>
      </c>
      <c r="K13">
        <v>25</v>
      </c>
      <c r="L13">
        <v>60</v>
      </c>
      <c r="M13">
        <f t="shared" ref="M13:M14" si="14">L13+10</f>
        <v>70</v>
      </c>
      <c r="N13">
        <v>88</v>
      </c>
      <c r="O13">
        <f t="shared" si="4"/>
        <v>28</v>
      </c>
      <c r="P13">
        <f t="shared" si="5"/>
        <v>66</v>
      </c>
      <c r="Q13">
        <f t="shared" si="2"/>
        <v>77</v>
      </c>
      <c r="R13">
        <f t="shared" si="3"/>
        <v>97</v>
      </c>
      <c r="S13">
        <v>59</v>
      </c>
      <c r="T13">
        <v>61</v>
      </c>
      <c r="U13">
        <v>63</v>
      </c>
      <c r="V13">
        <v>60</v>
      </c>
      <c r="W13">
        <v>4.2</v>
      </c>
      <c r="X13">
        <v>4.8</v>
      </c>
      <c r="Y13">
        <v>4.0999999999999996</v>
      </c>
      <c r="Z13">
        <v>4.4000000000000004</v>
      </c>
      <c r="AA13">
        <v>88</v>
      </c>
      <c r="AB13">
        <v>89</v>
      </c>
      <c r="AC13">
        <v>87</v>
      </c>
      <c r="AD13">
        <v>92</v>
      </c>
      <c r="AE13" s="1">
        <v>34</v>
      </c>
      <c r="AF13" s="1">
        <v>114.16666666666667</v>
      </c>
      <c r="AG13" s="1">
        <v>197.85714285714286</v>
      </c>
      <c r="AH13" s="1">
        <v>257.38636363636363</v>
      </c>
      <c r="AI13">
        <v>9</v>
      </c>
      <c r="AJ13">
        <v>8</v>
      </c>
      <c r="AK13">
        <v>9</v>
      </c>
      <c r="AL13">
        <v>7</v>
      </c>
      <c r="AM13">
        <v>2</v>
      </c>
      <c r="AN13" s="31">
        <v>4.5</v>
      </c>
      <c r="AO13">
        <v>1.53</v>
      </c>
      <c r="AP13">
        <v>2.34</v>
      </c>
      <c r="AQ13">
        <v>1.89</v>
      </c>
      <c r="AR13">
        <v>1.98</v>
      </c>
      <c r="AS13">
        <v>1.2600000000000002</v>
      </c>
    </row>
    <row r="14" spans="1:45" x14ac:dyDescent="0.2">
      <c r="A14" t="s">
        <v>13</v>
      </c>
      <c r="B14" t="s">
        <v>7</v>
      </c>
      <c r="C14">
        <v>44</v>
      </c>
      <c r="D14">
        <v>184</v>
      </c>
      <c r="E14">
        <v>3.9</v>
      </c>
      <c r="F14" s="1">
        <v>36789</v>
      </c>
      <c r="G14" s="1">
        <f t="shared" si="1"/>
        <v>3862.8449999999998</v>
      </c>
      <c r="H14" s="1">
        <v>1839.45</v>
      </c>
      <c r="I14" s="1">
        <v>19</v>
      </c>
      <c r="J14" s="1">
        <v>3890</v>
      </c>
      <c r="K14">
        <v>18</v>
      </c>
      <c r="L14">
        <v>40</v>
      </c>
      <c r="M14">
        <f t="shared" si="14"/>
        <v>50</v>
      </c>
      <c r="N14">
        <v>80</v>
      </c>
      <c r="O14">
        <f t="shared" ref="O14:O16" si="15">ROUNDUP(K14*1.3,0)</f>
        <v>24</v>
      </c>
      <c r="P14">
        <f t="shared" ref="P14:P16" si="16">ROUNDUP(L14*1.3,0)</f>
        <v>52</v>
      </c>
      <c r="Q14">
        <f t="shared" ref="Q14:Q16" si="17">ROUNDUP(M14*1.3,0)</f>
        <v>65</v>
      </c>
      <c r="R14">
        <v>88</v>
      </c>
      <c r="S14">
        <v>8</v>
      </c>
      <c r="T14">
        <v>12</v>
      </c>
      <c r="U14">
        <v>15</v>
      </c>
      <c r="V14">
        <v>18</v>
      </c>
      <c r="W14">
        <v>3</v>
      </c>
      <c r="X14">
        <v>3.5</v>
      </c>
      <c r="Y14">
        <v>3.6</v>
      </c>
      <c r="Z14">
        <v>3.4</v>
      </c>
      <c r="AA14">
        <v>50</v>
      </c>
      <c r="AB14">
        <v>37</v>
      </c>
      <c r="AC14">
        <v>31</v>
      </c>
      <c r="AD14">
        <v>27</v>
      </c>
      <c r="AE14" s="1">
        <v>184</v>
      </c>
      <c r="AF14" s="1">
        <v>182.8</v>
      </c>
      <c r="AG14" s="1">
        <v>246.24</v>
      </c>
      <c r="AH14" s="1">
        <v>253.9</v>
      </c>
      <c r="AI14">
        <v>44</v>
      </c>
      <c r="AJ14">
        <v>45</v>
      </c>
      <c r="AK14">
        <v>44</v>
      </c>
      <c r="AL14">
        <v>40</v>
      </c>
      <c r="AM14">
        <v>4</v>
      </c>
      <c r="AN14" s="31">
        <v>4</v>
      </c>
      <c r="AO14">
        <v>8</v>
      </c>
      <c r="AP14">
        <v>15</v>
      </c>
      <c r="AQ14">
        <v>14</v>
      </c>
      <c r="AR14">
        <v>6</v>
      </c>
      <c r="AS14">
        <v>1.2</v>
      </c>
    </row>
    <row r="15" spans="1:45" x14ac:dyDescent="0.2">
      <c r="A15" t="s">
        <v>13</v>
      </c>
      <c r="B15" t="s">
        <v>8</v>
      </c>
      <c r="C15">
        <v>21</v>
      </c>
      <c r="D15">
        <v>104</v>
      </c>
      <c r="E15">
        <v>6.7</v>
      </c>
      <c r="F15" s="1">
        <v>29889</v>
      </c>
      <c r="G15" s="1">
        <f t="shared" si="1"/>
        <v>3138.3449999999998</v>
      </c>
      <c r="H15" s="23">
        <v>2690.0099999999998</v>
      </c>
      <c r="I15" s="23">
        <v>9</v>
      </c>
      <c r="J15" s="23">
        <v>4671</v>
      </c>
      <c r="K15">
        <v>50</v>
      </c>
      <c r="L15">
        <v>70</v>
      </c>
      <c r="M15">
        <v>80</v>
      </c>
      <c r="N15">
        <v>99</v>
      </c>
      <c r="O15">
        <f t="shared" si="15"/>
        <v>65</v>
      </c>
      <c r="P15">
        <f t="shared" si="16"/>
        <v>91</v>
      </c>
      <c r="Q15">
        <v>94</v>
      </c>
      <c r="R15">
        <v>98</v>
      </c>
      <c r="S15">
        <v>45</v>
      </c>
      <c r="T15">
        <v>45</v>
      </c>
      <c r="U15">
        <v>50</v>
      </c>
      <c r="V15">
        <v>45</v>
      </c>
      <c r="W15">
        <v>3.7</v>
      </c>
      <c r="X15">
        <v>3.5</v>
      </c>
      <c r="Y15">
        <v>3.9</v>
      </c>
      <c r="Z15">
        <v>3.7</v>
      </c>
      <c r="AA15">
        <v>60</v>
      </c>
      <c r="AB15">
        <v>63</v>
      </c>
      <c r="AC15">
        <v>57</v>
      </c>
      <c r="AD15">
        <v>63</v>
      </c>
      <c r="AE15" s="1">
        <v>104</v>
      </c>
      <c r="AF15" s="1">
        <v>174.28571428571428</v>
      </c>
      <c r="AG15" s="1">
        <v>252.5</v>
      </c>
      <c r="AH15" s="1">
        <v>304.04040404040404</v>
      </c>
      <c r="AI15">
        <v>21</v>
      </c>
      <c r="AJ15">
        <v>20</v>
      </c>
      <c r="AK15">
        <v>23</v>
      </c>
      <c r="AL15">
        <v>21</v>
      </c>
      <c r="AM15">
        <v>1</v>
      </c>
      <c r="AN15" s="31">
        <v>3.1</v>
      </c>
      <c r="AO15">
        <v>5.8800000000000008</v>
      </c>
      <c r="AP15">
        <v>1.89</v>
      </c>
      <c r="AQ15">
        <v>2.31</v>
      </c>
      <c r="AR15">
        <v>4.83</v>
      </c>
      <c r="AS15">
        <v>6.0900000000000007</v>
      </c>
    </row>
    <row r="16" spans="1:45" x14ac:dyDescent="0.2">
      <c r="A16" t="s">
        <v>13</v>
      </c>
      <c r="B16" t="s">
        <v>9</v>
      </c>
      <c r="C16">
        <v>8</v>
      </c>
      <c r="D16">
        <v>65</v>
      </c>
      <c r="E16">
        <v>4.5999999999999996</v>
      </c>
      <c r="F16" s="1">
        <v>32029</v>
      </c>
      <c r="G16" s="1">
        <f t="shared" si="1"/>
        <v>3363.0450000000001</v>
      </c>
      <c r="H16" s="23">
        <v>4804.3499999999995</v>
      </c>
      <c r="I16" s="23">
        <v>12</v>
      </c>
      <c r="J16" s="23">
        <v>5467</v>
      </c>
      <c r="K16">
        <v>25</v>
      </c>
      <c r="L16">
        <v>50</v>
      </c>
      <c r="M16">
        <v>66</v>
      </c>
      <c r="N16">
        <f t="shared" ref="N16" si="18">M16+10</f>
        <v>76</v>
      </c>
      <c r="O16">
        <f t="shared" si="15"/>
        <v>33</v>
      </c>
      <c r="P16">
        <f t="shared" si="16"/>
        <v>65</v>
      </c>
      <c r="Q16">
        <f t="shared" si="17"/>
        <v>86</v>
      </c>
      <c r="R16">
        <f t="shared" ref="R16" si="19">ROUNDUP(N16*1.3,0)</f>
        <v>99</v>
      </c>
      <c r="S16">
        <v>67</v>
      </c>
      <c r="T16">
        <v>70</v>
      </c>
      <c r="U16">
        <v>65</v>
      </c>
      <c r="V16">
        <v>63</v>
      </c>
      <c r="W16">
        <v>3.8</v>
      </c>
      <c r="X16">
        <v>4</v>
      </c>
      <c r="Y16">
        <v>4</v>
      </c>
      <c r="Z16">
        <v>4.0999999999999996</v>
      </c>
      <c r="AA16">
        <v>100</v>
      </c>
      <c r="AB16">
        <v>99</v>
      </c>
      <c r="AC16">
        <v>100</v>
      </c>
      <c r="AD16">
        <v>100</v>
      </c>
      <c r="AE16" s="1">
        <v>65</v>
      </c>
      <c r="AF16" s="1">
        <v>132.5</v>
      </c>
      <c r="AG16" s="1">
        <v>200.37878787878788</v>
      </c>
      <c r="AH16" s="1">
        <v>274.01315789473688</v>
      </c>
      <c r="AI16">
        <v>8</v>
      </c>
      <c r="AJ16">
        <v>9</v>
      </c>
      <c r="AK16">
        <v>9</v>
      </c>
      <c r="AL16">
        <v>9</v>
      </c>
      <c r="AM16">
        <v>1</v>
      </c>
      <c r="AN16" s="31">
        <v>3</v>
      </c>
      <c r="AO16">
        <v>2</v>
      </c>
      <c r="AP16">
        <v>2</v>
      </c>
      <c r="AQ16">
        <v>3</v>
      </c>
      <c r="AR16">
        <v>1</v>
      </c>
      <c r="AS16">
        <v>0</v>
      </c>
    </row>
    <row r="17" spans="1:45" x14ac:dyDescent="0.2">
      <c r="A17" t="s">
        <v>13</v>
      </c>
      <c r="B17" t="s">
        <v>10</v>
      </c>
      <c r="C17">
        <v>7</v>
      </c>
      <c r="D17">
        <v>54</v>
      </c>
      <c r="E17">
        <v>5</v>
      </c>
      <c r="F17" s="1">
        <v>27998</v>
      </c>
      <c r="G17" s="1">
        <f t="shared" si="1"/>
        <v>2939.79</v>
      </c>
      <c r="H17" s="23">
        <v>1959.8600000000001</v>
      </c>
      <c r="I17" s="23">
        <v>15</v>
      </c>
      <c r="J17" s="23">
        <v>4925</v>
      </c>
      <c r="K17">
        <v>10</v>
      </c>
      <c r="L17">
        <f t="shared" ref="L17:M17" si="20">K17+10</f>
        <v>20</v>
      </c>
      <c r="M17">
        <f t="shared" si="20"/>
        <v>30</v>
      </c>
      <c r="N17">
        <v>60</v>
      </c>
      <c r="O17">
        <f>ROUNDUP(K17*1.3,0)</f>
        <v>13</v>
      </c>
      <c r="P17">
        <f t="shared" ref="P17:R17" si="21">ROUNDUP(L17*1.3,0)</f>
        <v>26</v>
      </c>
      <c r="Q17">
        <f t="shared" si="21"/>
        <v>39</v>
      </c>
      <c r="R17">
        <f t="shared" si="21"/>
        <v>78</v>
      </c>
      <c r="S17">
        <v>59</v>
      </c>
      <c r="T17">
        <v>59</v>
      </c>
      <c r="U17">
        <v>67</v>
      </c>
      <c r="V17">
        <v>67</v>
      </c>
      <c r="W17">
        <v>3</v>
      </c>
      <c r="X17">
        <v>3.2</v>
      </c>
      <c r="Y17">
        <v>3.4</v>
      </c>
      <c r="Z17">
        <v>3.6</v>
      </c>
      <c r="AA17">
        <v>95</v>
      </c>
      <c r="AB17">
        <v>98</v>
      </c>
      <c r="AC17">
        <v>87</v>
      </c>
      <c r="AD17">
        <v>87</v>
      </c>
      <c r="AE17" s="1">
        <v>54</v>
      </c>
      <c r="AF17" s="1">
        <v>127</v>
      </c>
      <c r="AG17" s="1">
        <v>184.66666666666666</v>
      </c>
      <c r="AH17" s="1">
        <v>192.33333333333331</v>
      </c>
      <c r="AI17">
        <v>7</v>
      </c>
      <c r="AJ17">
        <v>7</v>
      </c>
      <c r="AK17">
        <v>8</v>
      </c>
      <c r="AL17">
        <v>8</v>
      </c>
      <c r="AM17">
        <v>2</v>
      </c>
      <c r="AN17" s="31">
        <v>3.1</v>
      </c>
      <c r="AO17">
        <v>0.84</v>
      </c>
      <c r="AP17">
        <v>1.9600000000000002</v>
      </c>
      <c r="AQ17">
        <v>1.26</v>
      </c>
      <c r="AR17">
        <v>2.4499999999999997</v>
      </c>
      <c r="AS17">
        <v>0.48999999999999966</v>
      </c>
    </row>
    <row r="18" spans="1:45" x14ac:dyDescent="0.2">
      <c r="AN18" s="31"/>
      <c r="AO18" s="34"/>
      <c r="AP18" s="34"/>
      <c r="AQ18" s="34"/>
      <c r="AR18" s="34"/>
      <c r="AS18" s="34"/>
    </row>
    <row r="19" spans="1:45" x14ac:dyDescent="0.2">
      <c r="AN19" s="31"/>
      <c r="AO19" s="35"/>
      <c r="AP19" s="35"/>
      <c r="AQ19" s="35"/>
      <c r="AR19" s="35"/>
      <c r="AS19" s="36"/>
    </row>
    <row r="20" spans="1:45" x14ac:dyDescent="0.2">
      <c r="AN20" s="31"/>
      <c r="AO20" s="35"/>
      <c r="AP20" s="35"/>
      <c r="AQ20" s="35"/>
      <c r="AR20" s="35"/>
      <c r="AS20" s="36"/>
    </row>
    <row r="21" spans="1:45" x14ac:dyDescent="0.2">
      <c r="J21" s="26"/>
      <c r="AN21" s="31"/>
      <c r="AO21" s="35"/>
      <c r="AP21" s="35"/>
      <c r="AQ21" s="35"/>
      <c r="AR21" s="35"/>
      <c r="AS21" s="36"/>
    </row>
    <row r="22" spans="1:45" x14ac:dyDescent="0.2">
      <c r="I22" s="24"/>
      <c r="J22" s="26"/>
      <c r="AN22" s="31"/>
      <c r="AO22" s="35"/>
      <c r="AP22" s="35"/>
      <c r="AQ22" s="35"/>
      <c r="AR22" s="35"/>
      <c r="AS22" s="36"/>
    </row>
    <row r="23" spans="1:45" x14ac:dyDescent="0.2">
      <c r="I23" s="24"/>
      <c r="J23" s="26"/>
      <c r="AN23" s="31"/>
      <c r="AO23" s="35"/>
      <c r="AP23" s="35"/>
      <c r="AQ23" s="35"/>
      <c r="AR23" s="35"/>
      <c r="AS23" s="36"/>
    </row>
    <row r="24" spans="1:45" x14ac:dyDescent="0.2">
      <c r="I24" s="24"/>
      <c r="J24" s="26"/>
      <c r="AN24" s="31"/>
      <c r="AO24" s="35"/>
      <c r="AP24" s="35"/>
      <c r="AQ24" s="35"/>
      <c r="AR24" s="35"/>
      <c r="AS24" s="36"/>
    </row>
    <row r="25" spans="1:45" x14ac:dyDescent="0.2">
      <c r="I25" s="25"/>
      <c r="AO25" s="35"/>
      <c r="AP25" s="35"/>
      <c r="AQ25" s="35"/>
      <c r="AR25" s="35"/>
      <c r="AS25" s="36"/>
    </row>
    <row r="26" spans="1:45" x14ac:dyDescent="0.2">
      <c r="I26" s="25"/>
      <c r="J26" s="26"/>
      <c r="AO26" s="35"/>
      <c r="AP26" s="35"/>
      <c r="AQ26" s="35"/>
      <c r="AR26" s="35"/>
      <c r="AS26" s="36"/>
    </row>
    <row r="27" spans="1:45" x14ac:dyDescent="0.2">
      <c r="I27" s="25"/>
      <c r="J27" s="26"/>
      <c r="AO27" s="35"/>
      <c r="AP27" s="35"/>
      <c r="AQ27" s="35"/>
      <c r="AR27" s="35"/>
      <c r="AS27" s="36"/>
    </row>
    <row r="28" spans="1:45" x14ac:dyDescent="0.2">
      <c r="I28" s="25"/>
      <c r="J28" s="26"/>
      <c r="AO28" s="35"/>
      <c r="AP28" s="35"/>
      <c r="AQ28" s="35"/>
      <c r="AR28" s="35"/>
      <c r="AS28" s="36"/>
    </row>
    <row r="29" spans="1:45" x14ac:dyDescent="0.2">
      <c r="AO29" s="35"/>
      <c r="AP29" s="35"/>
      <c r="AQ29" s="35"/>
      <c r="AR29" s="35"/>
      <c r="AS29" s="36"/>
    </row>
    <row r="30" spans="1:45" x14ac:dyDescent="0.2">
      <c r="AO30" s="35"/>
      <c r="AP30" s="35"/>
      <c r="AQ30" s="35"/>
      <c r="AR30" s="35"/>
      <c r="AS30" s="36"/>
    </row>
    <row r="31" spans="1:45" x14ac:dyDescent="0.2">
      <c r="A31" s="18"/>
      <c r="B31" s="45"/>
      <c r="AO31" s="35"/>
      <c r="AP31" s="35"/>
      <c r="AQ31" s="35"/>
      <c r="AR31" s="35"/>
      <c r="AS31" s="36"/>
    </row>
    <row r="32" spans="1:45" x14ac:dyDescent="0.2">
      <c r="AO32" s="35"/>
      <c r="AP32" s="35"/>
      <c r="AQ32" s="35"/>
      <c r="AR32" s="35"/>
      <c r="AS32" s="36"/>
    </row>
    <row r="33" spans="41:45" x14ac:dyDescent="0.2">
      <c r="AO33" s="35"/>
      <c r="AP33" s="35"/>
      <c r="AQ33" s="35"/>
      <c r="AR33" s="35"/>
      <c r="AS33" s="36"/>
    </row>
    <row r="34" spans="41:45" x14ac:dyDescent="0.2">
      <c r="AO34" s="35"/>
      <c r="AP34" s="35"/>
      <c r="AQ34" s="35"/>
      <c r="AR34" s="35"/>
      <c r="AS34" s="36"/>
    </row>
    <row r="35" spans="41:45" x14ac:dyDescent="0.2">
      <c r="AO35" s="35"/>
      <c r="AP35" s="35"/>
      <c r="AQ35" s="35"/>
      <c r="AR35" s="35"/>
      <c r="AS35" s="36"/>
    </row>
    <row r="36" spans="41:45" x14ac:dyDescent="0.2">
      <c r="AO36" s="35"/>
      <c r="AP36" s="35"/>
      <c r="AQ36" s="35"/>
      <c r="AR36" s="35"/>
      <c r="AS36" s="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G121"/>
  <sheetViews>
    <sheetView workbookViewId="0">
      <pane ySplit="1" topLeftCell="A74" activePane="bottomLeft" state="frozen"/>
      <selection activeCell="D1" sqref="D1:D1048576"/>
      <selection pane="bottomLeft" activeCell="G1" sqref="G1"/>
    </sheetView>
  </sheetViews>
  <sheetFormatPr defaultRowHeight="12.75" x14ac:dyDescent="0.2"/>
  <cols>
    <col min="2" max="2" width="10.5703125" customWidth="1"/>
    <col min="3" max="3" width="11.42578125" bestFit="1" customWidth="1"/>
    <col min="4" max="4" width="14.7109375" style="1" bestFit="1" customWidth="1"/>
    <col min="5" max="5" width="11.85546875" bestFit="1" customWidth="1"/>
    <col min="6" max="7" width="12.28515625" customWidth="1"/>
  </cols>
  <sheetData>
    <row r="1" spans="1:7" x14ac:dyDescent="0.2">
      <c r="A1" s="37" t="s">
        <v>0</v>
      </c>
      <c r="B1" s="37" t="s">
        <v>14</v>
      </c>
      <c r="C1" s="37" t="s">
        <v>81</v>
      </c>
      <c r="D1" s="55" t="s">
        <v>82</v>
      </c>
      <c r="E1" s="37" t="s">
        <v>85</v>
      </c>
      <c r="F1" s="37" t="s">
        <v>86</v>
      </c>
      <c r="G1" s="37" t="s">
        <v>87</v>
      </c>
    </row>
    <row r="2" spans="1:7" x14ac:dyDescent="0.2">
      <c r="A2" s="2" t="s">
        <v>6</v>
      </c>
      <c r="B2" s="14">
        <f>Lists!F2</f>
        <v>43466</v>
      </c>
      <c r="C2">
        <v>87</v>
      </c>
      <c r="D2" s="1">
        <v>33</v>
      </c>
      <c r="E2">
        <v>27</v>
      </c>
      <c r="F2">
        <v>-3</v>
      </c>
      <c r="G2">
        <v>2</v>
      </c>
    </row>
    <row r="3" spans="1:7" x14ac:dyDescent="0.2">
      <c r="A3" s="2" t="s">
        <v>6</v>
      </c>
      <c r="B3" s="14">
        <f>Lists!F3</f>
        <v>43497</v>
      </c>
      <c r="C3">
        <v>93</v>
      </c>
      <c r="D3" s="1">
        <v>34</v>
      </c>
      <c r="E3">
        <v>28</v>
      </c>
      <c r="F3">
        <v>-4</v>
      </c>
      <c r="G3">
        <v>1</v>
      </c>
    </row>
    <row r="4" spans="1:7" x14ac:dyDescent="0.2">
      <c r="A4" s="2" t="s">
        <v>6</v>
      </c>
      <c r="B4" s="14">
        <f>Lists!F4</f>
        <v>43525</v>
      </c>
      <c r="C4">
        <v>80</v>
      </c>
      <c r="D4" s="1">
        <v>34</v>
      </c>
      <c r="E4">
        <v>24</v>
      </c>
      <c r="F4">
        <v>-2</v>
      </c>
      <c r="G4">
        <v>4</v>
      </c>
    </row>
    <row r="5" spans="1:7" x14ac:dyDescent="0.2">
      <c r="A5" s="2" t="s">
        <v>6</v>
      </c>
      <c r="B5" s="14">
        <f>Lists!F5</f>
        <v>43556</v>
      </c>
      <c r="C5">
        <v>74</v>
      </c>
      <c r="D5" s="1">
        <v>31</v>
      </c>
      <c r="E5">
        <v>23</v>
      </c>
      <c r="F5">
        <v>-1</v>
      </c>
      <c r="G5">
        <v>2</v>
      </c>
    </row>
    <row r="6" spans="1:7" x14ac:dyDescent="0.2">
      <c r="A6" s="2" t="s">
        <v>6</v>
      </c>
      <c r="B6" s="14">
        <f>Lists!F6</f>
        <v>43586</v>
      </c>
      <c r="C6">
        <v>70</v>
      </c>
      <c r="D6" s="1">
        <v>27</v>
      </c>
      <c r="E6">
        <v>21</v>
      </c>
      <c r="F6">
        <v>-3</v>
      </c>
      <c r="G6">
        <v>2</v>
      </c>
    </row>
    <row r="7" spans="1:7" x14ac:dyDescent="0.2">
      <c r="A7" s="2" t="s">
        <v>6</v>
      </c>
      <c r="B7" s="14">
        <f>Lists!F7</f>
        <v>43617</v>
      </c>
      <c r="C7">
        <v>100</v>
      </c>
      <c r="D7" s="1">
        <v>42</v>
      </c>
      <c r="E7">
        <v>30</v>
      </c>
      <c r="F7">
        <v>-2</v>
      </c>
      <c r="G7">
        <v>4</v>
      </c>
    </row>
    <row r="8" spans="1:7" x14ac:dyDescent="0.2">
      <c r="A8" s="2" t="s">
        <v>6</v>
      </c>
      <c r="B8" s="14">
        <f>Lists!F8</f>
        <v>43647</v>
      </c>
      <c r="C8">
        <v>79</v>
      </c>
      <c r="D8" s="1">
        <v>32</v>
      </c>
      <c r="E8">
        <v>24</v>
      </c>
      <c r="F8">
        <v>-1</v>
      </c>
      <c r="G8">
        <v>2</v>
      </c>
    </row>
    <row r="9" spans="1:7" x14ac:dyDescent="0.2">
      <c r="A9" s="2" t="s">
        <v>6</v>
      </c>
      <c r="B9" s="14">
        <f>Lists!F9</f>
        <v>43678</v>
      </c>
      <c r="C9">
        <v>98</v>
      </c>
      <c r="D9" s="1">
        <v>40</v>
      </c>
      <c r="E9">
        <v>30</v>
      </c>
      <c r="F9">
        <v>-4</v>
      </c>
      <c r="G9">
        <v>8</v>
      </c>
    </row>
    <row r="10" spans="1:7" x14ac:dyDescent="0.2">
      <c r="A10" s="2" t="s">
        <v>6</v>
      </c>
      <c r="B10" s="14">
        <f>Lists!F10</f>
        <v>43709</v>
      </c>
      <c r="C10">
        <v>98</v>
      </c>
      <c r="D10" s="1">
        <v>36</v>
      </c>
      <c r="E10">
        <v>30</v>
      </c>
      <c r="F10">
        <v>-6</v>
      </c>
      <c r="G10">
        <v>4</v>
      </c>
    </row>
    <row r="11" spans="1:7" x14ac:dyDescent="0.2">
      <c r="A11" s="2" t="s">
        <v>6</v>
      </c>
      <c r="B11" s="14">
        <f>Lists!F11</f>
        <v>43739</v>
      </c>
      <c r="C11">
        <v>64</v>
      </c>
      <c r="D11" s="1">
        <v>26</v>
      </c>
      <c r="E11">
        <v>20</v>
      </c>
      <c r="F11">
        <v>-5</v>
      </c>
      <c r="G11">
        <v>10</v>
      </c>
    </row>
    <row r="12" spans="1:7" x14ac:dyDescent="0.2">
      <c r="A12" s="2" t="s">
        <v>6</v>
      </c>
      <c r="B12" s="14">
        <f>Lists!F12</f>
        <v>43770</v>
      </c>
      <c r="C12">
        <v>82</v>
      </c>
      <c r="D12" s="1">
        <v>28</v>
      </c>
      <c r="E12">
        <v>25</v>
      </c>
      <c r="F12">
        <v>0</v>
      </c>
      <c r="G12">
        <v>0</v>
      </c>
    </row>
    <row r="13" spans="1:7" x14ac:dyDescent="0.2">
      <c r="A13" s="2" t="s">
        <v>6</v>
      </c>
      <c r="B13" s="14">
        <f>Lists!F13</f>
        <v>43800</v>
      </c>
      <c r="C13">
        <v>97</v>
      </c>
      <c r="D13" s="1">
        <v>38</v>
      </c>
      <c r="E13">
        <v>30</v>
      </c>
      <c r="F13">
        <v>0</v>
      </c>
      <c r="G13">
        <v>1</v>
      </c>
    </row>
    <row r="14" spans="1:7" x14ac:dyDescent="0.2">
      <c r="A14" s="2" t="s">
        <v>6</v>
      </c>
      <c r="B14" s="14">
        <f>Lists!F14</f>
        <v>43831</v>
      </c>
      <c r="C14">
        <v>58</v>
      </c>
      <c r="D14" s="1">
        <v>21</v>
      </c>
      <c r="E14">
        <v>18</v>
      </c>
      <c r="F14">
        <v>-2</v>
      </c>
      <c r="G14">
        <v>7</v>
      </c>
    </row>
    <row r="15" spans="1:7" x14ac:dyDescent="0.2">
      <c r="A15" s="2" t="s">
        <v>6</v>
      </c>
      <c r="B15" s="14">
        <f>Lists!F15</f>
        <v>43862</v>
      </c>
      <c r="C15">
        <v>80</v>
      </c>
      <c r="D15" s="1">
        <v>31</v>
      </c>
      <c r="E15">
        <v>24</v>
      </c>
      <c r="F15">
        <v>-3</v>
      </c>
      <c r="G15">
        <v>4</v>
      </c>
    </row>
    <row r="16" spans="1:7" x14ac:dyDescent="0.2">
      <c r="A16" s="2" t="s">
        <v>6</v>
      </c>
      <c r="B16" s="14">
        <f>Lists!F16</f>
        <v>43891</v>
      </c>
      <c r="C16">
        <v>74</v>
      </c>
      <c r="D16" s="1">
        <v>31</v>
      </c>
      <c r="E16">
        <v>23</v>
      </c>
      <c r="F16">
        <v>0</v>
      </c>
      <c r="G16">
        <v>2</v>
      </c>
    </row>
    <row r="17" spans="1:7" x14ac:dyDescent="0.2">
      <c r="A17" s="2" t="s">
        <v>6</v>
      </c>
      <c r="B17" s="14">
        <f>Lists!F17</f>
        <v>43922</v>
      </c>
      <c r="C17">
        <v>70</v>
      </c>
      <c r="D17" s="1">
        <v>27</v>
      </c>
      <c r="E17">
        <v>21</v>
      </c>
      <c r="F17">
        <v>-3</v>
      </c>
      <c r="G17">
        <v>3</v>
      </c>
    </row>
    <row r="18" spans="1:7" x14ac:dyDescent="0.2">
      <c r="A18" s="2" t="s">
        <v>6</v>
      </c>
      <c r="B18" s="14">
        <f>Lists!F18</f>
        <v>43952</v>
      </c>
      <c r="C18">
        <v>87</v>
      </c>
      <c r="D18" s="1">
        <v>33</v>
      </c>
      <c r="E18">
        <v>27</v>
      </c>
      <c r="F18">
        <v>-3</v>
      </c>
      <c r="G18">
        <v>3</v>
      </c>
    </row>
    <row r="19" spans="1:7" x14ac:dyDescent="0.2">
      <c r="A19" s="2" t="s">
        <v>6</v>
      </c>
      <c r="B19" s="14">
        <f>Lists!F19</f>
        <v>43983</v>
      </c>
      <c r="C19">
        <v>93</v>
      </c>
      <c r="D19" s="1">
        <v>34</v>
      </c>
      <c r="E19">
        <v>28</v>
      </c>
      <c r="F19">
        <v>-3</v>
      </c>
      <c r="G19">
        <v>2</v>
      </c>
    </row>
    <row r="20" spans="1:7" x14ac:dyDescent="0.2">
      <c r="A20" s="2" t="s">
        <v>6</v>
      </c>
      <c r="B20" s="14">
        <f>Lists!F20</f>
        <v>44013</v>
      </c>
      <c r="C20">
        <v>100</v>
      </c>
      <c r="D20" s="1">
        <v>42</v>
      </c>
      <c r="E20">
        <v>30</v>
      </c>
      <c r="F20">
        <v>-3</v>
      </c>
      <c r="G20">
        <v>2</v>
      </c>
    </row>
    <row r="21" spans="1:7" x14ac:dyDescent="0.2">
      <c r="A21" s="2" t="s">
        <v>6</v>
      </c>
      <c r="B21" s="14">
        <f>Lists!F21</f>
        <v>44044</v>
      </c>
      <c r="C21">
        <v>58</v>
      </c>
      <c r="D21" s="1">
        <v>21</v>
      </c>
      <c r="E21">
        <v>18</v>
      </c>
      <c r="F21">
        <v>-2</v>
      </c>
      <c r="G21">
        <v>4</v>
      </c>
    </row>
    <row r="22" spans="1:7" x14ac:dyDescent="0.2">
      <c r="A22" s="2" t="s">
        <v>6</v>
      </c>
      <c r="B22" s="14">
        <f>Lists!F22</f>
        <v>44075</v>
      </c>
      <c r="C22">
        <v>67</v>
      </c>
      <c r="D22" s="1">
        <v>26</v>
      </c>
      <c r="E22">
        <v>21</v>
      </c>
      <c r="F22">
        <v>-3</v>
      </c>
      <c r="G22">
        <v>1</v>
      </c>
    </row>
    <row r="23" spans="1:7" x14ac:dyDescent="0.2">
      <c r="A23" s="2" t="s">
        <v>6</v>
      </c>
      <c r="B23" s="14">
        <f>Lists!F23</f>
        <v>44105</v>
      </c>
      <c r="C23">
        <v>84</v>
      </c>
      <c r="D23" s="1">
        <v>34</v>
      </c>
      <c r="E23">
        <v>26</v>
      </c>
      <c r="F23">
        <v>-3</v>
      </c>
      <c r="G23">
        <v>4</v>
      </c>
    </row>
    <row r="24" spans="1:7" x14ac:dyDescent="0.2">
      <c r="A24" s="2" t="s">
        <v>6</v>
      </c>
      <c r="B24" s="14">
        <f>Lists!F24</f>
        <v>44136</v>
      </c>
      <c r="C24">
        <v>75</v>
      </c>
      <c r="D24" s="1">
        <v>29</v>
      </c>
      <c r="E24">
        <v>23</v>
      </c>
      <c r="F24">
        <v>-3</v>
      </c>
      <c r="G24">
        <v>1</v>
      </c>
    </row>
    <row r="25" spans="1:7" x14ac:dyDescent="0.2">
      <c r="A25" s="2" t="s">
        <v>6</v>
      </c>
      <c r="B25" s="14">
        <f>Lists!F25</f>
        <v>44166</v>
      </c>
      <c r="C25">
        <v>87</v>
      </c>
      <c r="D25" s="1">
        <v>35</v>
      </c>
      <c r="E25">
        <v>27</v>
      </c>
      <c r="F25">
        <v>-3</v>
      </c>
      <c r="G25">
        <v>2</v>
      </c>
    </row>
    <row r="26" spans="1:7" x14ac:dyDescent="0.2">
      <c r="A26" s="2" t="s">
        <v>11</v>
      </c>
      <c r="B26" s="14">
        <f>B2</f>
        <v>43466</v>
      </c>
      <c r="C26">
        <v>44</v>
      </c>
      <c r="D26" s="1">
        <v>17</v>
      </c>
      <c r="E26">
        <v>14</v>
      </c>
      <c r="F26">
        <v>-2</v>
      </c>
      <c r="G26">
        <v>4</v>
      </c>
    </row>
    <row r="27" spans="1:7" x14ac:dyDescent="0.2">
      <c r="A27" s="2" t="s">
        <v>11</v>
      </c>
      <c r="B27" s="14">
        <f t="shared" ref="B27:B90" si="0">B3</f>
        <v>43497</v>
      </c>
      <c r="C27">
        <v>47</v>
      </c>
      <c r="D27" s="1">
        <v>17</v>
      </c>
      <c r="E27">
        <v>15</v>
      </c>
      <c r="F27">
        <v>-2</v>
      </c>
      <c r="G27">
        <v>1</v>
      </c>
    </row>
    <row r="28" spans="1:7" x14ac:dyDescent="0.2">
      <c r="A28" s="2" t="s">
        <v>11</v>
      </c>
      <c r="B28" s="14">
        <f t="shared" si="0"/>
        <v>43525</v>
      </c>
      <c r="C28">
        <v>40</v>
      </c>
      <c r="D28" s="1">
        <v>17</v>
      </c>
      <c r="E28">
        <v>12</v>
      </c>
      <c r="F28">
        <v>-2</v>
      </c>
      <c r="G28">
        <v>4</v>
      </c>
    </row>
    <row r="29" spans="1:7" x14ac:dyDescent="0.2">
      <c r="A29" s="2" t="s">
        <v>11</v>
      </c>
      <c r="B29" s="14">
        <f t="shared" si="0"/>
        <v>43556</v>
      </c>
      <c r="C29">
        <v>37</v>
      </c>
      <c r="D29" s="1">
        <v>16</v>
      </c>
      <c r="E29">
        <v>12</v>
      </c>
      <c r="F29">
        <v>-2</v>
      </c>
      <c r="G29">
        <v>4</v>
      </c>
    </row>
    <row r="30" spans="1:7" x14ac:dyDescent="0.2">
      <c r="A30" s="2" t="s">
        <v>11</v>
      </c>
      <c r="B30" s="14">
        <f t="shared" si="0"/>
        <v>43586</v>
      </c>
      <c r="C30">
        <v>27</v>
      </c>
      <c r="D30" s="1">
        <v>10</v>
      </c>
      <c r="E30">
        <v>9</v>
      </c>
      <c r="F30">
        <v>-1</v>
      </c>
      <c r="G30">
        <v>2</v>
      </c>
    </row>
    <row r="31" spans="1:7" x14ac:dyDescent="0.2">
      <c r="A31" s="2" t="s">
        <v>11</v>
      </c>
      <c r="B31" s="14">
        <f t="shared" si="0"/>
        <v>43617</v>
      </c>
      <c r="C31">
        <v>25</v>
      </c>
      <c r="D31" s="1">
        <v>10</v>
      </c>
      <c r="E31">
        <v>8</v>
      </c>
      <c r="F31">
        <v>-1</v>
      </c>
      <c r="G31">
        <v>2</v>
      </c>
    </row>
    <row r="32" spans="1:7" x14ac:dyDescent="0.2">
      <c r="A32" s="2" t="s">
        <v>11</v>
      </c>
      <c r="B32" s="14">
        <f t="shared" si="0"/>
        <v>43647</v>
      </c>
      <c r="C32">
        <v>21</v>
      </c>
      <c r="D32" s="1">
        <v>7</v>
      </c>
      <c r="E32">
        <v>7</v>
      </c>
      <c r="F32">
        <v>-1</v>
      </c>
      <c r="G32">
        <v>2</v>
      </c>
    </row>
    <row r="33" spans="1:7" x14ac:dyDescent="0.2">
      <c r="A33" s="2" t="s">
        <v>11</v>
      </c>
      <c r="B33" s="14">
        <f t="shared" si="0"/>
        <v>43678</v>
      </c>
      <c r="C33">
        <v>13</v>
      </c>
      <c r="D33" s="1">
        <v>5</v>
      </c>
      <c r="E33">
        <v>4</v>
      </c>
      <c r="F33">
        <v>-4</v>
      </c>
      <c r="G33">
        <v>8</v>
      </c>
    </row>
    <row r="34" spans="1:7" x14ac:dyDescent="0.2">
      <c r="A34" s="2" t="s">
        <v>11</v>
      </c>
      <c r="B34" s="14">
        <f t="shared" si="0"/>
        <v>43709</v>
      </c>
      <c r="C34">
        <v>41</v>
      </c>
      <c r="D34" s="1">
        <v>15</v>
      </c>
      <c r="E34">
        <v>13</v>
      </c>
      <c r="F34">
        <v>-5</v>
      </c>
      <c r="G34">
        <v>7</v>
      </c>
    </row>
    <row r="35" spans="1:7" x14ac:dyDescent="0.2">
      <c r="A35" s="2" t="s">
        <v>11</v>
      </c>
      <c r="B35" s="14">
        <f t="shared" si="0"/>
        <v>43739</v>
      </c>
      <c r="C35">
        <v>47</v>
      </c>
      <c r="D35" s="1">
        <v>18</v>
      </c>
      <c r="E35">
        <v>15</v>
      </c>
      <c r="F35">
        <v>-2</v>
      </c>
      <c r="G35">
        <v>4</v>
      </c>
    </row>
    <row r="36" spans="1:7" x14ac:dyDescent="0.2">
      <c r="A36" s="2" t="s">
        <v>11</v>
      </c>
      <c r="B36" s="14">
        <f t="shared" si="0"/>
        <v>43770</v>
      </c>
      <c r="C36">
        <v>59</v>
      </c>
      <c r="D36" s="1">
        <v>24</v>
      </c>
      <c r="E36">
        <v>18</v>
      </c>
      <c r="F36">
        <v>-6</v>
      </c>
      <c r="G36">
        <v>9</v>
      </c>
    </row>
    <row r="37" spans="1:7" x14ac:dyDescent="0.2">
      <c r="A37" s="2" t="s">
        <v>11</v>
      </c>
      <c r="B37" s="14">
        <f t="shared" si="0"/>
        <v>43800</v>
      </c>
      <c r="C37">
        <v>53</v>
      </c>
      <c r="D37" s="1">
        <v>20</v>
      </c>
      <c r="E37">
        <v>16</v>
      </c>
      <c r="F37">
        <v>-2</v>
      </c>
      <c r="G37">
        <v>4</v>
      </c>
    </row>
    <row r="38" spans="1:7" x14ac:dyDescent="0.2">
      <c r="A38" s="2" t="s">
        <v>11</v>
      </c>
      <c r="B38" s="14">
        <f t="shared" si="0"/>
        <v>43831</v>
      </c>
      <c r="C38">
        <v>61</v>
      </c>
      <c r="D38" s="1">
        <v>24</v>
      </c>
      <c r="E38">
        <v>19</v>
      </c>
      <c r="F38">
        <v>-2</v>
      </c>
      <c r="G38">
        <v>4</v>
      </c>
    </row>
    <row r="39" spans="1:7" x14ac:dyDescent="0.2">
      <c r="A39" s="2" t="s">
        <v>11</v>
      </c>
      <c r="B39" s="14">
        <f t="shared" si="0"/>
        <v>43862</v>
      </c>
      <c r="C39">
        <v>69</v>
      </c>
      <c r="D39" s="1">
        <v>26</v>
      </c>
      <c r="E39">
        <v>21</v>
      </c>
      <c r="F39">
        <v>-2</v>
      </c>
      <c r="G39">
        <v>4</v>
      </c>
    </row>
    <row r="40" spans="1:7" x14ac:dyDescent="0.2">
      <c r="A40" s="2" t="s">
        <v>11</v>
      </c>
      <c r="B40" s="14">
        <f t="shared" si="0"/>
        <v>43891</v>
      </c>
      <c r="C40">
        <v>45</v>
      </c>
      <c r="D40" s="1">
        <v>18</v>
      </c>
      <c r="E40">
        <v>14</v>
      </c>
      <c r="F40">
        <v>-2</v>
      </c>
      <c r="G40">
        <v>4</v>
      </c>
    </row>
    <row r="41" spans="1:7" x14ac:dyDescent="0.2">
      <c r="A41" s="2" t="s">
        <v>11</v>
      </c>
      <c r="B41" s="14">
        <f t="shared" si="0"/>
        <v>43922</v>
      </c>
      <c r="C41">
        <v>57</v>
      </c>
      <c r="D41" s="1">
        <v>20</v>
      </c>
      <c r="E41">
        <v>18</v>
      </c>
      <c r="F41">
        <v>-5</v>
      </c>
      <c r="G41">
        <v>8</v>
      </c>
    </row>
    <row r="42" spans="1:7" x14ac:dyDescent="0.2">
      <c r="A42" s="2" t="s">
        <v>11</v>
      </c>
      <c r="B42" s="14">
        <f t="shared" si="0"/>
        <v>43952</v>
      </c>
      <c r="C42">
        <v>68</v>
      </c>
      <c r="D42" s="1">
        <v>27</v>
      </c>
      <c r="E42">
        <v>21</v>
      </c>
      <c r="F42">
        <v>-3</v>
      </c>
      <c r="G42">
        <v>2</v>
      </c>
    </row>
    <row r="43" spans="1:7" x14ac:dyDescent="0.2">
      <c r="A43" s="2" t="s">
        <v>11</v>
      </c>
      <c r="B43" s="14">
        <f t="shared" si="0"/>
        <v>43983</v>
      </c>
      <c r="C43">
        <v>41</v>
      </c>
      <c r="D43" s="1">
        <v>15</v>
      </c>
      <c r="E43">
        <v>13</v>
      </c>
      <c r="F43">
        <v>-1</v>
      </c>
      <c r="G43">
        <v>2</v>
      </c>
    </row>
    <row r="44" spans="1:7" x14ac:dyDescent="0.2">
      <c r="A44" s="2" t="s">
        <v>11</v>
      </c>
      <c r="B44" s="14">
        <f t="shared" si="0"/>
        <v>44013</v>
      </c>
      <c r="C44">
        <v>56</v>
      </c>
      <c r="D44" s="1">
        <v>22</v>
      </c>
      <c r="E44">
        <v>17</v>
      </c>
      <c r="F44">
        <v>-1</v>
      </c>
      <c r="G44">
        <v>1</v>
      </c>
    </row>
    <row r="45" spans="1:7" x14ac:dyDescent="0.2">
      <c r="A45" s="2" t="s">
        <v>11</v>
      </c>
      <c r="B45" s="14">
        <f t="shared" si="0"/>
        <v>44044</v>
      </c>
      <c r="C45">
        <v>44</v>
      </c>
      <c r="D45" s="1">
        <v>17</v>
      </c>
      <c r="E45">
        <v>14</v>
      </c>
      <c r="F45">
        <v>-2</v>
      </c>
      <c r="G45">
        <v>4</v>
      </c>
    </row>
    <row r="46" spans="1:7" x14ac:dyDescent="0.2">
      <c r="A46" s="2" t="s">
        <v>11</v>
      </c>
      <c r="B46" s="14">
        <f t="shared" si="0"/>
        <v>44075</v>
      </c>
      <c r="C46">
        <v>47</v>
      </c>
      <c r="D46" s="1">
        <v>17</v>
      </c>
      <c r="E46">
        <v>15</v>
      </c>
      <c r="F46">
        <v>-2</v>
      </c>
      <c r="G46">
        <v>4</v>
      </c>
    </row>
    <row r="47" spans="1:7" x14ac:dyDescent="0.2">
      <c r="A47" s="2" t="s">
        <v>11</v>
      </c>
      <c r="B47" s="14">
        <f t="shared" si="0"/>
        <v>44105</v>
      </c>
      <c r="C47">
        <v>40</v>
      </c>
      <c r="D47" s="1">
        <v>17</v>
      </c>
      <c r="E47">
        <v>12</v>
      </c>
      <c r="F47">
        <v>-2</v>
      </c>
      <c r="G47">
        <v>4</v>
      </c>
    </row>
    <row r="48" spans="1:7" x14ac:dyDescent="0.2">
      <c r="A48" s="2" t="s">
        <v>11</v>
      </c>
      <c r="B48" s="14">
        <f t="shared" si="0"/>
        <v>44136</v>
      </c>
      <c r="C48">
        <v>37</v>
      </c>
      <c r="D48" s="1">
        <v>16</v>
      </c>
      <c r="E48">
        <v>12</v>
      </c>
      <c r="F48">
        <v>-2</v>
      </c>
      <c r="G48">
        <v>4</v>
      </c>
    </row>
    <row r="49" spans="1:7" x14ac:dyDescent="0.2">
      <c r="A49" s="2" t="s">
        <v>11</v>
      </c>
      <c r="B49" s="14">
        <f t="shared" si="0"/>
        <v>44166</v>
      </c>
      <c r="C49">
        <v>27</v>
      </c>
      <c r="D49" s="1">
        <v>10</v>
      </c>
      <c r="E49">
        <v>9</v>
      </c>
      <c r="F49">
        <v>-2</v>
      </c>
      <c r="G49">
        <v>4</v>
      </c>
    </row>
    <row r="50" spans="1:7" x14ac:dyDescent="0.2">
      <c r="A50" s="2" t="s">
        <v>12</v>
      </c>
      <c r="B50" s="14">
        <f t="shared" si="0"/>
        <v>43466</v>
      </c>
      <c r="C50">
        <v>22</v>
      </c>
      <c r="D50" s="1">
        <v>9</v>
      </c>
      <c r="E50">
        <v>7</v>
      </c>
      <c r="F50">
        <v>-1</v>
      </c>
      <c r="G50">
        <v>2</v>
      </c>
    </row>
    <row r="51" spans="1:7" x14ac:dyDescent="0.2">
      <c r="A51" s="2" t="s">
        <v>12</v>
      </c>
      <c r="B51" s="14">
        <f t="shared" si="0"/>
        <v>43497</v>
      </c>
      <c r="C51">
        <v>24</v>
      </c>
      <c r="D51" s="1">
        <v>9</v>
      </c>
      <c r="E51">
        <v>8</v>
      </c>
      <c r="F51">
        <v>-1</v>
      </c>
      <c r="G51">
        <v>2</v>
      </c>
    </row>
    <row r="52" spans="1:7" x14ac:dyDescent="0.2">
      <c r="A52" s="2" t="s">
        <v>12</v>
      </c>
      <c r="B52" s="14">
        <f t="shared" si="0"/>
        <v>43525</v>
      </c>
      <c r="C52">
        <v>20</v>
      </c>
      <c r="D52" s="1">
        <v>9</v>
      </c>
      <c r="E52">
        <v>6</v>
      </c>
      <c r="F52">
        <v>-2</v>
      </c>
      <c r="G52">
        <v>3</v>
      </c>
    </row>
    <row r="53" spans="1:7" x14ac:dyDescent="0.2">
      <c r="A53" s="2" t="s">
        <v>12</v>
      </c>
      <c r="B53" s="14">
        <f t="shared" si="0"/>
        <v>43556</v>
      </c>
      <c r="C53">
        <v>19</v>
      </c>
      <c r="D53" s="1">
        <v>8</v>
      </c>
      <c r="E53">
        <v>6</v>
      </c>
      <c r="F53">
        <v>-1</v>
      </c>
      <c r="G53">
        <v>2</v>
      </c>
    </row>
    <row r="54" spans="1:7" x14ac:dyDescent="0.2">
      <c r="A54" s="2" t="s">
        <v>12</v>
      </c>
      <c r="B54" s="14">
        <f t="shared" si="0"/>
        <v>43586</v>
      </c>
      <c r="C54">
        <v>4</v>
      </c>
      <c r="D54" s="1">
        <v>3</v>
      </c>
      <c r="E54">
        <v>2</v>
      </c>
      <c r="F54">
        <v>-1</v>
      </c>
      <c r="G54">
        <v>2</v>
      </c>
    </row>
    <row r="55" spans="1:7" x14ac:dyDescent="0.2">
      <c r="A55" s="2" t="s">
        <v>12</v>
      </c>
      <c r="B55" s="14">
        <f t="shared" si="0"/>
        <v>43617</v>
      </c>
      <c r="C55">
        <v>3</v>
      </c>
      <c r="D55" s="1">
        <v>1</v>
      </c>
      <c r="E55">
        <v>1</v>
      </c>
      <c r="F55">
        <v>-1</v>
      </c>
      <c r="G55">
        <v>2</v>
      </c>
    </row>
    <row r="56" spans="1:7" x14ac:dyDescent="0.2">
      <c r="A56" s="2" t="s">
        <v>12</v>
      </c>
      <c r="B56" s="14">
        <f t="shared" si="0"/>
        <v>43647</v>
      </c>
      <c r="C56">
        <v>22</v>
      </c>
      <c r="D56" s="1">
        <v>10</v>
      </c>
      <c r="E56">
        <v>7</v>
      </c>
      <c r="F56">
        <v>-1</v>
      </c>
      <c r="G56">
        <v>2</v>
      </c>
    </row>
    <row r="57" spans="1:7" x14ac:dyDescent="0.2">
      <c r="A57" s="2" t="s">
        <v>12</v>
      </c>
      <c r="B57" s="14">
        <f t="shared" si="0"/>
        <v>43678</v>
      </c>
      <c r="C57">
        <v>18</v>
      </c>
      <c r="D57" s="1">
        <v>7</v>
      </c>
      <c r="E57">
        <v>6</v>
      </c>
      <c r="F57">
        <v>-1</v>
      </c>
      <c r="G57">
        <v>2</v>
      </c>
    </row>
    <row r="58" spans="1:7" x14ac:dyDescent="0.2">
      <c r="A58" s="2" t="s">
        <v>12</v>
      </c>
      <c r="B58" s="14">
        <f t="shared" si="0"/>
        <v>43709</v>
      </c>
      <c r="C58">
        <v>31</v>
      </c>
      <c r="D58" s="1">
        <v>12</v>
      </c>
      <c r="E58">
        <v>10</v>
      </c>
      <c r="F58">
        <v>-1</v>
      </c>
      <c r="G58">
        <v>2</v>
      </c>
    </row>
    <row r="59" spans="1:7" x14ac:dyDescent="0.2">
      <c r="A59" s="2" t="s">
        <v>12</v>
      </c>
      <c r="B59" s="14">
        <f t="shared" si="0"/>
        <v>43739</v>
      </c>
      <c r="C59">
        <v>33</v>
      </c>
      <c r="D59" s="1">
        <v>12</v>
      </c>
      <c r="E59">
        <v>10</v>
      </c>
      <c r="F59">
        <v>-1</v>
      </c>
      <c r="G59">
        <v>2</v>
      </c>
    </row>
    <row r="60" spans="1:7" x14ac:dyDescent="0.2">
      <c r="A60" s="2" t="s">
        <v>12</v>
      </c>
      <c r="B60" s="14">
        <f t="shared" si="0"/>
        <v>43770</v>
      </c>
      <c r="C60">
        <v>28</v>
      </c>
      <c r="D60" s="1">
        <v>12</v>
      </c>
      <c r="E60">
        <v>9</v>
      </c>
      <c r="F60">
        <v>-1</v>
      </c>
      <c r="G60">
        <v>2</v>
      </c>
    </row>
    <row r="61" spans="1:7" x14ac:dyDescent="0.2">
      <c r="A61" s="2" t="s">
        <v>12</v>
      </c>
      <c r="B61" s="14">
        <f t="shared" si="0"/>
        <v>43800</v>
      </c>
      <c r="C61">
        <v>26</v>
      </c>
      <c r="D61" s="1">
        <v>11</v>
      </c>
      <c r="E61">
        <v>8</v>
      </c>
      <c r="F61">
        <v>-1</v>
      </c>
      <c r="G61">
        <v>2</v>
      </c>
    </row>
    <row r="62" spans="1:7" x14ac:dyDescent="0.2">
      <c r="A62" s="2" t="s">
        <v>12</v>
      </c>
      <c r="B62" s="14">
        <f t="shared" si="0"/>
        <v>43831</v>
      </c>
      <c r="C62">
        <v>19</v>
      </c>
      <c r="D62" s="1">
        <v>7</v>
      </c>
      <c r="E62">
        <v>6</v>
      </c>
      <c r="F62">
        <v>-1</v>
      </c>
      <c r="G62">
        <v>2</v>
      </c>
    </row>
    <row r="63" spans="1:7" x14ac:dyDescent="0.2">
      <c r="A63" s="2" t="s">
        <v>12</v>
      </c>
      <c r="B63" s="14">
        <f t="shared" si="0"/>
        <v>43862</v>
      </c>
      <c r="C63">
        <v>29</v>
      </c>
      <c r="D63" s="1">
        <v>11</v>
      </c>
      <c r="E63">
        <v>9</v>
      </c>
      <c r="F63">
        <v>-1</v>
      </c>
      <c r="G63">
        <v>2</v>
      </c>
    </row>
    <row r="64" spans="1:7" x14ac:dyDescent="0.2">
      <c r="A64" s="2" t="s">
        <v>12</v>
      </c>
      <c r="B64" s="14">
        <f t="shared" si="0"/>
        <v>43891</v>
      </c>
      <c r="C64">
        <v>33</v>
      </c>
      <c r="D64" s="1">
        <v>13</v>
      </c>
      <c r="E64">
        <v>10</v>
      </c>
      <c r="F64">
        <v>-1</v>
      </c>
      <c r="G64">
        <v>2</v>
      </c>
    </row>
    <row r="65" spans="1:7" x14ac:dyDescent="0.2">
      <c r="A65" s="2" t="s">
        <v>12</v>
      </c>
      <c r="B65" s="14">
        <f t="shared" si="0"/>
        <v>43922</v>
      </c>
      <c r="C65">
        <v>42</v>
      </c>
      <c r="D65" s="1">
        <v>17</v>
      </c>
      <c r="E65">
        <v>13</v>
      </c>
      <c r="F65">
        <v>-2</v>
      </c>
      <c r="G65">
        <v>4</v>
      </c>
    </row>
    <row r="66" spans="1:7" x14ac:dyDescent="0.2">
      <c r="A66" s="2" t="s">
        <v>12</v>
      </c>
      <c r="B66" s="14">
        <f t="shared" si="0"/>
        <v>43952</v>
      </c>
      <c r="C66">
        <v>37</v>
      </c>
      <c r="D66" s="1">
        <v>14</v>
      </c>
      <c r="E66">
        <v>12</v>
      </c>
      <c r="F66">
        <v>-2</v>
      </c>
      <c r="G66">
        <v>4</v>
      </c>
    </row>
    <row r="67" spans="1:7" x14ac:dyDescent="0.2">
      <c r="A67" s="2" t="s">
        <v>12</v>
      </c>
      <c r="B67" s="14">
        <f t="shared" si="0"/>
        <v>43983</v>
      </c>
      <c r="C67">
        <v>43</v>
      </c>
      <c r="D67" s="1">
        <v>17</v>
      </c>
      <c r="E67">
        <v>13</v>
      </c>
      <c r="F67">
        <v>-2</v>
      </c>
      <c r="G67">
        <v>4</v>
      </c>
    </row>
    <row r="68" spans="1:7" x14ac:dyDescent="0.2">
      <c r="A68" s="2" t="s">
        <v>12</v>
      </c>
      <c r="B68" s="14">
        <f t="shared" si="0"/>
        <v>44013</v>
      </c>
      <c r="C68">
        <v>48</v>
      </c>
      <c r="D68" s="1">
        <v>18</v>
      </c>
      <c r="E68">
        <v>15</v>
      </c>
      <c r="F68">
        <v>-2</v>
      </c>
      <c r="G68">
        <v>4</v>
      </c>
    </row>
    <row r="69" spans="1:7" x14ac:dyDescent="0.2">
      <c r="A69" s="2" t="s">
        <v>12</v>
      </c>
      <c r="B69" s="14">
        <f t="shared" si="0"/>
        <v>44044</v>
      </c>
      <c r="C69">
        <v>22</v>
      </c>
      <c r="D69" s="1">
        <v>9</v>
      </c>
      <c r="E69">
        <v>7</v>
      </c>
      <c r="F69">
        <v>-1</v>
      </c>
      <c r="G69">
        <v>2</v>
      </c>
    </row>
    <row r="70" spans="1:7" x14ac:dyDescent="0.2">
      <c r="A70" s="2" t="s">
        <v>12</v>
      </c>
      <c r="B70" s="14">
        <f t="shared" si="0"/>
        <v>44075</v>
      </c>
      <c r="C70">
        <v>24</v>
      </c>
      <c r="D70" s="1">
        <v>9</v>
      </c>
      <c r="E70">
        <v>8</v>
      </c>
      <c r="F70">
        <v>-1</v>
      </c>
      <c r="G70">
        <v>0</v>
      </c>
    </row>
    <row r="71" spans="1:7" x14ac:dyDescent="0.2">
      <c r="A71" s="2" t="s">
        <v>12</v>
      </c>
      <c r="B71" s="14">
        <f t="shared" si="0"/>
        <v>44105</v>
      </c>
      <c r="C71">
        <v>20</v>
      </c>
      <c r="D71" s="1">
        <v>9</v>
      </c>
      <c r="E71">
        <v>6</v>
      </c>
      <c r="F71">
        <v>-1</v>
      </c>
      <c r="G71">
        <v>2</v>
      </c>
    </row>
    <row r="72" spans="1:7" x14ac:dyDescent="0.2">
      <c r="A72" s="2" t="s">
        <v>12</v>
      </c>
      <c r="B72" s="14">
        <f t="shared" si="0"/>
        <v>44136</v>
      </c>
      <c r="C72">
        <v>19</v>
      </c>
      <c r="D72" s="1">
        <v>8</v>
      </c>
      <c r="E72">
        <v>6</v>
      </c>
      <c r="F72">
        <v>-1</v>
      </c>
      <c r="G72">
        <v>2</v>
      </c>
    </row>
    <row r="73" spans="1:7" x14ac:dyDescent="0.2">
      <c r="A73" s="2" t="s">
        <v>12</v>
      </c>
      <c r="B73" s="14">
        <f t="shared" si="0"/>
        <v>44166</v>
      </c>
      <c r="C73">
        <v>4</v>
      </c>
      <c r="D73" s="1">
        <v>3</v>
      </c>
      <c r="E73">
        <v>2</v>
      </c>
      <c r="F73">
        <v>-1</v>
      </c>
      <c r="G73">
        <v>0</v>
      </c>
    </row>
    <row r="74" spans="1:7" x14ac:dyDescent="0.2">
      <c r="A74" s="2" t="s">
        <v>13</v>
      </c>
      <c r="B74" s="14">
        <f t="shared" si="0"/>
        <v>43466</v>
      </c>
      <c r="C74">
        <v>11</v>
      </c>
      <c r="D74" s="1">
        <v>5</v>
      </c>
      <c r="E74">
        <v>4</v>
      </c>
      <c r="F74">
        <v>-1</v>
      </c>
      <c r="G74">
        <v>2</v>
      </c>
    </row>
    <row r="75" spans="1:7" x14ac:dyDescent="0.2">
      <c r="A75" s="2" t="s">
        <v>13</v>
      </c>
      <c r="B75" s="14">
        <f t="shared" si="0"/>
        <v>43497</v>
      </c>
      <c r="C75">
        <v>12</v>
      </c>
      <c r="D75" s="1">
        <v>5</v>
      </c>
      <c r="E75">
        <v>4</v>
      </c>
      <c r="F75">
        <v>-1</v>
      </c>
      <c r="G75">
        <v>2</v>
      </c>
    </row>
    <row r="76" spans="1:7" x14ac:dyDescent="0.2">
      <c r="A76" s="2" t="s">
        <v>13</v>
      </c>
      <c r="B76" s="14">
        <f t="shared" si="0"/>
        <v>43525</v>
      </c>
      <c r="C76">
        <v>10</v>
      </c>
      <c r="D76" s="1">
        <v>5</v>
      </c>
      <c r="E76">
        <v>3</v>
      </c>
      <c r="F76">
        <v>-1</v>
      </c>
      <c r="G76">
        <v>0</v>
      </c>
    </row>
    <row r="77" spans="1:7" x14ac:dyDescent="0.2">
      <c r="A77" s="2" t="s">
        <v>13</v>
      </c>
      <c r="B77" s="14">
        <f t="shared" si="0"/>
        <v>43556</v>
      </c>
      <c r="C77">
        <v>10</v>
      </c>
      <c r="D77" s="1">
        <v>4</v>
      </c>
      <c r="E77">
        <v>3</v>
      </c>
      <c r="F77">
        <v>-1</v>
      </c>
      <c r="G77">
        <v>3</v>
      </c>
    </row>
    <row r="78" spans="1:7" x14ac:dyDescent="0.2">
      <c r="A78" s="2" t="s">
        <v>13</v>
      </c>
      <c r="B78" s="14">
        <f t="shared" si="0"/>
        <v>43586</v>
      </c>
      <c r="C78">
        <v>17</v>
      </c>
      <c r="D78" s="1">
        <v>9</v>
      </c>
      <c r="E78">
        <v>6</v>
      </c>
      <c r="F78">
        <v>-1</v>
      </c>
      <c r="G78">
        <v>2</v>
      </c>
    </row>
    <row r="79" spans="1:7" x14ac:dyDescent="0.2">
      <c r="A79" s="2" t="s">
        <v>13</v>
      </c>
      <c r="B79" s="14">
        <f t="shared" si="0"/>
        <v>43617</v>
      </c>
      <c r="C79">
        <v>9</v>
      </c>
      <c r="D79" s="1">
        <v>6</v>
      </c>
      <c r="E79">
        <v>3</v>
      </c>
      <c r="F79">
        <v>-1</v>
      </c>
      <c r="G79">
        <v>2</v>
      </c>
    </row>
    <row r="80" spans="1:7" x14ac:dyDescent="0.2">
      <c r="A80" s="2" t="s">
        <v>13</v>
      </c>
      <c r="B80" s="14">
        <f t="shared" si="0"/>
        <v>43647</v>
      </c>
      <c r="C80">
        <v>26</v>
      </c>
      <c r="D80" s="1">
        <v>11</v>
      </c>
      <c r="E80">
        <v>8</v>
      </c>
      <c r="F80">
        <v>-1</v>
      </c>
      <c r="G80">
        <v>3</v>
      </c>
    </row>
    <row r="81" spans="1:7" x14ac:dyDescent="0.2">
      <c r="A81" s="2" t="s">
        <v>13</v>
      </c>
      <c r="B81" s="14">
        <f t="shared" si="0"/>
        <v>43678</v>
      </c>
      <c r="C81">
        <v>23</v>
      </c>
      <c r="D81" s="1">
        <v>9</v>
      </c>
      <c r="E81">
        <v>7</v>
      </c>
      <c r="F81">
        <v>-1</v>
      </c>
      <c r="G81">
        <v>2</v>
      </c>
    </row>
    <row r="82" spans="1:7" x14ac:dyDescent="0.2">
      <c r="A82" s="2" t="s">
        <v>13</v>
      </c>
      <c r="B82" s="14">
        <f t="shared" si="0"/>
        <v>43709</v>
      </c>
      <c r="C82">
        <v>16</v>
      </c>
      <c r="D82" s="1">
        <v>6</v>
      </c>
      <c r="E82">
        <v>5</v>
      </c>
      <c r="F82">
        <v>-1</v>
      </c>
      <c r="G82">
        <v>3</v>
      </c>
    </row>
    <row r="83" spans="1:7" x14ac:dyDescent="0.2">
      <c r="A83" s="2" t="s">
        <v>13</v>
      </c>
      <c r="B83" s="14">
        <f t="shared" si="0"/>
        <v>43739</v>
      </c>
      <c r="C83">
        <v>17</v>
      </c>
      <c r="D83" s="1">
        <v>6</v>
      </c>
      <c r="E83">
        <v>6</v>
      </c>
      <c r="F83">
        <v>-1</v>
      </c>
      <c r="G83">
        <v>2</v>
      </c>
    </row>
    <row r="84" spans="1:7" x14ac:dyDescent="0.2">
      <c r="A84" s="2" t="s">
        <v>13</v>
      </c>
      <c r="B84" s="14">
        <f t="shared" si="0"/>
        <v>43770</v>
      </c>
      <c r="C84">
        <v>14</v>
      </c>
      <c r="D84" s="1">
        <v>6</v>
      </c>
      <c r="E84">
        <v>5</v>
      </c>
      <c r="F84">
        <v>-1</v>
      </c>
      <c r="G84">
        <v>1</v>
      </c>
    </row>
    <row r="85" spans="1:7" x14ac:dyDescent="0.2">
      <c r="A85" s="2" t="s">
        <v>13</v>
      </c>
      <c r="B85" s="14">
        <f t="shared" si="0"/>
        <v>43800</v>
      </c>
      <c r="C85">
        <v>13</v>
      </c>
      <c r="D85" s="1">
        <v>6</v>
      </c>
      <c r="E85">
        <v>4</v>
      </c>
      <c r="F85">
        <v>-1</v>
      </c>
      <c r="G85">
        <v>1</v>
      </c>
    </row>
    <row r="86" spans="1:7" x14ac:dyDescent="0.2">
      <c r="A86" s="2" t="s">
        <v>13</v>
      </c>
      <c r="B86" s="14">
        <f t="shared" si="0"/>
        <v>43831</v>
      </c>
      <c r="C86">
        <v>13</v>
      </c>
      <c r="D86" s="1">
        <v>7</v>
      </c>
      <c r="E86">
        <v>4</v>
      </c>
      <c r="F86">
        <v>-1</v>
      </c>
      <c r="G86">
        <v>2</v>
      </c>
    </row>
    <row r="87" spans="1:7" x14ac:dyDescent="0.2">
      <c r="A87" s="2" t="s">
        <v>13</v>
      </c>
      <c r="B87" s="14">
        <f t="shared" si="0"/>
        <v>43862</v>
      </c>
      <c r="C87">
        <v>8</v>
      </c>
      <c r="D87" s="1">
        <v>24</v>
      </c>
      <c r="E87">
        <v>3</v>
      </c>
      <c r="F87">
        <v>-1</v>
      </c>
      <c r="G87">
        <v>2</v>
      </c>
    </row>
    <row r="88" spans="1:7" x14ac:dyDescent="0.2">
      <c r="A88" s="2" t="s">
        <v>13</v>
      </c>
      <c r="B88" s="14">
        <f t="shared" si="0"/>
        <v>43891</v>
      </c>
      <c r="C88">
        <v>14</v>
      </c>
      <c r="D88" s="1">
        <v>9</v>
      </c>
      <c r="E88">
        <v>5</v>
      </c>
      <c r="F88">
        <v>-1</v>
      </c>
      <c r="G88">
        <v>2</v>
      </c>
    </row>
    <row r="89" spans="1:7" x14ac:dyDescent="0.2">
      <c r="A89" s="2" t="s">
        <v>13</v>
      </c>
      <c r="B89" s="14">
        <f t="shared" si="0"/>
        <v>43922</v>
      </c>
      <c r="C89">
        <v>14</v>
      </c>
      <c r="D89" s="1">
        <v>7</v>
      </c>
      <c r="E89">
        <v>5</v>
      </c>
      <c r="F89">
        <v>-1</v>
      </c>
      <c r="G89">
        <v>2</v>
      </c>
    </row>
    <row r="90" spans="1:7" x14ac:dyDescent="0.2">
      <c r="A90" s="2" t="s">
        <v>13</v>
      </c>
      <c r="B90" s="14">
        <f t="shared" si="0"/>
        <v>43952</v>
      </c>
      <c r="C90">
        <v>12</v>
      </c>
      <c r="D90" s="1">
        <v>7</v>
      </c>
      <c r="E90">
        <v>4</v>
      </c>
      <c r="F90">
        <v>-1</v>
      </c>
      <c r="G90">
        <v>3</v>
      </c>
    </row>
    <row r="91" spans="1:7" x14ac:dyDescent="0.2">
      <c r="A91" s="2" t="s">
        <v>13</v>
      </c>
      <c r="B91" s="14">
        <f t="shared" ref="B91:B121" si="1">B67</f>
        <v>43983</v>
      </c>
      <c r="C91">
        <v>14</v>
      </c>
      <c r="D91" s="1">
        <v>5</v>
      </c>
      <c r="E91">
        <v>5</v>
      </c>
      <c r="F91">
        <v>-1</v>
      </c>
      <c r="G91">
        <v>2</v>
      </c>
    </row>
    <row r="92" spans="1:7" x14ac:dyDescent="0.2">
      <c r="A92" s="2" t="s">
        <v>13</v>
      </c>
      <c r="B92" s="14">
        <f t="shared" si="1"/>
        <v>44013</v>
      </c>
      <c r="C92">
        <v>20</v>
      </c>
      <c r="D92" s="1">
        <v>8</v>
      </c>
      <c r="E92">
        <v>6</v>
      </c>
      <c r="F92">
        <v>-1</v>
      </c>
      <c r="G92">
        <v>2</v>
      </c>
    </row>
    <row r="93" spans="1:7" x14ac:dyDescent="0.2">
      <c r="A93" s="2" t="s">
        <v>13</v>
      </c>
      <c r="B93" s="14">
        <f t="shared" si="1"/>
        <v>44044</v>
      </c>
      <c r="C93">
        <v>11</v>
      </c>
      <c r="D93" s="1">
        <v>5</v>
      </c>
      <c r="E93">
        <v>4</v>
      </c>
      <c r="F93">
        <v>-1</v>
      </c>
      <c r="G93">
        <v>2</v>
      </c>
    </row>
    <row r="94" spans="1:7" x14ac:dyDescent="0.2">
      <c r="A94" s="2" t="s">
        <v>13</v>
      </c>
      <c r="B94" s="14">
        <f t="shared" si="1"/>
        <v>44075</v>
      </c>
      <c r="C94">
        <v>12</v>
      </c>
      <c r="D94" s="1">
        <v>5</v>
      </c>
      <c r="E94">
        <v>4</v>
      </c>
      <c r="F94">
        <v>-1</v>
      </c>
      <c r="G94">
        <v>2</v>
      </c>
    </row>
    <row r="95" spans="1:7" x14ac:dyDescent="0.2">
      <c r="A95" s="2" t="s">
        <v>13</v>
      </c>
      <c r="B95" s="14">
        <f t="shared" si="1"/>
        <v>44105</v>
      </c>
      <c r="C95">
        <v>10</v>
      </c>
      <c r="D95" s="1">
        <v>5</v>
      </c>
      <c r="E95">
        <v>3</v>
      </c>
      <c r="F95">
        <v>-1</v>
      </c>
      <c r="G95">
        <v>1</v>
      </c>
    </row>
    <row r="96" spans="1:7" x14ac:dyDescent="0.2">
      <c r="A96" s="2" t="s">
        <v>13</v>
      </c>
      <c r="B96" s="14">
        <f t="shared" si="1"/>
        <v>44136</v>
      </c>
      <c r="C96">
        <v>10</v>
      </c>
      <c r="D96" s="1">
        <v>4</v>
      </c>
      <c r="E96">
        <v>3</v>
      </c>
      <c r="F96">
        <v>-1</v>
      </c>
      <c r="G96">
        <v>2</v>
      </c>
    </row>
    <row r="97" spans="1:7" x14ac:dyDescent="0.2">
      <c r="A97" s="2" t="s">
        <v>13</v>
      </c>
      <c r="B97" s="14">
        <f t="shared" si="1"/>
        <v>44166</v>
      </c>
      <c r="C97">
        <v>17</v>
      </c>
      <c r="D97" s="1">
        <v>9</v>
      </c>
      <c r="E97">
        <v>6</v>
      </c>
      <c r="F97">
        <v>-1</v>
      </c>
      <c r="G97">
        <v>2</v>
      </c>
    </row>
    <row r="98" spans="1:7" x14ac:dyDescent="0.2">
      <c r="A98" t="s">
        <v>48</v>
      </c>
      <c r="B98" s="14">
        <f t="shared" si="1"/>
        <v>43466</v>
      </c>
      <c r="D98" s="1">
        <v>62</v>
      </c>
      <c r="E98">
        <v>0</v>
      </c>
      <c r="F98">
        <v>0</v>
      </c>
      <c r="G98">
        <v>0</v>
      </c>
    </row>
    <row r="99" spans="1:7" x14ac:dyDescent="0.2">
      <c r="A99" t="s">
        <v>48</v>
      </c>
      <c r="B99" s="14">
        <f t="shared" si="1"/>
        <v>43497</v>
      </c>
      <c r="D99" s="1">
        <v>64</v>
      </c>
      <c r="E99">
        <v>0</v>
      </c>
      <c r="F99">
        <v>0</v>
      </c>
      <c r="G99">
        <v>0</v>
      </c>
    </row>
    <row r="100" spans="1:7" x14ac:dyDescent="0.2">
      <c r="A100" t="s">
        <v>48</v>
      </c>
      <c r="B100" s="14">
        <f t="shared" si="1"/>
        <v>43525</v>
      </c>
      <c r="D100" s="1">
        <v>63</v>
      </c>
      <c r="E100">
        <v>0</v>
      </c>
      <c r="F100">
        <v>0</v>
      </c>
      <c r="G100">
        <v>0</v>
      </c>
    </row>
    <row r="101" spans="1:7" x14ac:dyDescent="0.2">
      <c r="A101" t="s">
        <v>48</v>
      </c>
      <c r="B101" s="14">
        <f t="shared" si="1"/>
        <v>43556</v>
      </c>
      <c r="D101" s="1">
        <v>57</v>
      </c>
      <c r="E101">
        <v>0</v>
      </c>
      <c r="F101">
        <v>0</v>
      </c>
      <c r="G101">
        <v>0</v>
      </c>
    </row>
    <row r="102" spans="1:7" x14ac:dyDescent="0.2">
      <c r="A102" t="s">
        <v>48</v>
      </c>
      <c r="B102" s="14">
        <f t="shared" si="1"/>
        <v>43586</v>
      </c>
      <c r="D102" s="1">
        <v>46</v>
      </c>
      <c r="E102">
        <v>0</v>
      </c>
      <c r="F102">
        <v>0</v>
      </c>
      <c r="G102">
        <v>0</v>
      </c>
    </row>
    <row r="103" spans="1:7" x14ac:dyDescent="0.2">
      <c r="A103" t="s">
        <v>48</v>
      </c>
      <c r="B103" s="14">
        <f t="shared" si="1"/>
        <v>43617</v>
      </c>
      <c r="D103" s="1">
        <v>57</v>
      </c>
      <c r="E103">
        <v>0</v>
      </c>
      <c r="F103">
        <v>0</v>
      </c>
      <c r="G103">
        <v>0</v>
      </c>
    </row>
    <row r="104" spans="1:7" x14ac:dyDescent="0.2">
      <c r="A104" t="s">
        <v>48</v>
      </c>
      <c r="B104" s="14">
        <f t="shared" si="1"/>
        <v>43647</v>
      </c>
      <c r="D104" s="1">
        <v>59</v>
      </c>
      <c r="E104">
        <v>0</v>
      </c>
      <c r="F104">
        <v>0</v>
      </c>
      <c r="G104">
        <v>0</v>
      </c>
    </row>
    <row r="105" spans="1:7" x14ac:dyDescent="0.2">
      <c r="A105" t="s">
        <v>48</v>
      </c>
      <c r="B105" s="14">
        <f t="shared" si="1"/>
        <v>43678</v>
      </c>
      <c r="D105" s="1">
        <v>59</v>
      </c>
      <c r="E105">
        <v>0</v>
      </c>
      <c r="F105">
        <v>0</v>
      </c>
      <c r="G105">
        <v>0</v>
      </c>
    </row>
    <row r="106" spans="1:7" x14ac:dyDescent="0.2">
      <c r="A106" t="s">
        <v>48</v>
      </c>
      <c r="B106" s="14">
        <f t="shared" si="1"/>
        <v>43709</v>
      </c>
      <c r="D106" s="1">
        <v>68</v>
      </c>
      <c r="E106">
        <v>0</v>
      </c>
      <c r="F106">
        <v>0</v>
      </c>
      <c r="G106">
        <v>0</v>
      </c>
    </row>
    <row r="107" spans="1:7" x14ac:dyDescent="0.2">
      <c r="A107" t="s">
        <v>48</v>
      </c>
      <c r="B107" s="14">
        <f t="shared" si="1"/>
        <v>43739</v>
      </c>
      <c r="D107" s="1">
        <v>61</v>
      </c>
      <c r="E107">
        <v>0</v>
      </c>
      <c r="F107">
        <v>0</v>
      </c>
      <c r="G107">
        <v>0</v>
      </c>
    </row>
    <row r="108" spans="1:7" x14ac:dyDescent="0.2">
      <c r="A108" t="s">
        <v>48</v>
      </c>
      <c r="B108" s="14">
        <f t="shared" si="1"/>
        <v>43770</v>
      </c>
      <c r="D108" s="1">
        <v>69</v>
      </c>
      <c r="E108">
        <v>0</v>
      </c>
      <c r="F108">
        <v>0</v>
      </c>
      <c r="G108">
        <v>0</v>
      </c>
    </row>
    <row r="109" spans="1:7" x14ac:dyDescent="0.2">
      <c r="A109" t="s">
        <v>48</v>
      </c>
      <c r="B109" s="14">
        <f t="shared" si="1"/>
        <v>43800</v>
      </c>
      <c r="D109" s="1">
        <v>74</v>
      </c>
      <c r="E109">
        <v>0</v>
      </c>
      <c r="F109">
        <v>0</v>
      </c>
      <c r="G109">
        <v>0</v>
      </c>
    </row>
    <row r="110" spans="1:7" x14ac:dyDescent="0.2">
      <c r="A110" t="s">
        <v>48</v>
      </c>
      <c r="B110" s="14">
        <f t="shared" si="1"/>
        <v>43831</v>
      </c>
      <c r="D110" s="1">
        <v>58</v>
      </c>
      <c r="E110">
        <v>0</v>
      </c>
      <c r="F110">
        <v>0</v>
      </c>
      <c r="G110">
        <v>0</v>
      </c>
    </row>
    <row r="111" spans="1:7" x14ac:dyDescent="0.2">
      <c r="A111" t="s">
        <v>48</v>
      </c>
      <c r="B111" s="14">
        <f t="shared" si="1"/>
        <v>43862</v>
      </c>
      <c r="D111" s="1">
        <v>89</v>
      </c>
      <c r="E111">
        <v>0</v>
      </c>
      <c r="F111">
        <v>0</v>
      </c>
      <c r="G111">
        <v>0</v>
      </c>
    </row>
    <row r="112" spans="1:7" x14ac:dyDescent="0.2">
      <c r="A112" t="s">
        <v>48</v>
      </c>
      <c r="B112" s="14">
        <f t="shared" si="1"/>
        <v>43891</v>
      </c>
      <c r="D112" s="1">
        <v>69</v>
      </c>
      <c r="E112">
        <v>0</v>
      </c>
      <c r="F112">
        <v>0</v>
      </c>
      <c r="G112">
        <v>0</v>
      </c>
    </row>
    <row r="113" spans="1:7" x14ac:dyDescent="0.2">
      <c r="A113" t="s">
        <v>48</v>
      </c>
      <c r="B113" s="14">
        <f t="shared" si="1"/>
        <v>43922</v>
      </c>
      <c r="D113" s="1">
        <v>69</v>
      </c>
      <c r="E113">
        <v>0</v>
      </c>
      <c r="F113">
        <v>0</v>
      </c>
      <c r="G113">
        <v>0</v>
      </c>
    </row>
    <row r="114" spans="1:7" x14ac:dyDescent="0.2">
      <c r="A114" t="s">
        <v>48</v>
      </c>
      <c r="B114" s="14">
        <f t="shared" si="1"/>
        <v>43952</v>
      </c>
      <c r="D114" s="1">
        <v>80</v>
      </c>
      <c r="E114">
        <v>0</v>
      </c>
      <c r="F114">
        <v>0</v>
      </c>
      <c r="G114">
        <v>0</v>
      </c>
    </row>
    <row r="115" spans="1:7" x14ac:dyDescent="0.2">
      <c r="A115" t="s">
        <v>48</v>
      </c>
      <c r="B115" s="14">
        <f t="shared" si="1"/>
        <v>43983</v>
      </c>
      <c r="D115" s="1">
        <v>70</v>
      </c>
      <c r="E115">
        <v>0</v>
      </c>
      <c r="F115">
        <v>0</v>
      </c>
      <c r="G115">
        <v>0</v>
      </c>
    </row>
    <row r="116" spans="1:7" x14ac:dyDescent="0.2">
      <c r="A116" t="s">
        <v>48</v>
      </c>
      <c r="B116" s="14">
        <f t="shared" si="1"/>
        <v>44013</v>
      </c>
      <c r="D116" s="1">
        <v>88</v>
      </c>
      <c r="E116">
        <v>0</v>
      </c>
      <c r="F116">
        <v>0</v>
      </c>
      <c r="G116">
        <v>0</v>
      </c>
    </row>
    <row r="117" spans="1:7" x14ac:dyDescent="0.2">
      <c r="A117" t="s">
        <v>48</v>
      </c>
      <c r="B117" s="14">
        <f t="shared" si="1"/>
        <v>44044</v>
      </c>
      <c r="D117" s="1">
        <v>50</v>
      </c>
      <c r="E117">
        <v>0</v>
      </c>
      <c r="F117">
        <v>0</v>
      </c>
      <c r="G117">
        <v>0</v>
      </c>
    </row>
    <row r="118" spans="1:7" x14ac:dyDescent="0.2">
      <c r="A118" t="s">
        <v>48</v>
      </c>
      <c r="B118" s="14">
        <f t="shared" si="1"/>
        <v>44075</v>
      </c>
      <c r="D118" s="1">
        <v>55</v>
      </c>
      <c r="E118">
        <v>0</v>
      </c>
      <c r="F118">
        <v>0</v>
      </c>
      <c r="G118">
        <v>0</v>
      </c>
    </row>
    <row r="119" spans="1:7" x14ac:dyDescent="0.2">
      <c r="A119" t="s">
        <v>48</v>
      </c>
      <c r="B119" s="14">
        <f t="shared" si="1"/>
        <v>44105</v>
      </c>
      <c r="D119" s="1">
        <v>63</v>
      </c>
      <c r="E119">
        <v>0</v>
      </c>
      <c r="F119">
        <v>0</v>
      </c>
      <c r="G119">
        <v>0</v>
      </c>
    </row>
    <row r="120" spans="1:7" x14ac:dyDescent="0.2">
      <c r="A120" t="s">
        <v>48</v>
      </c>
      <c r="B120" s="14">
        <f t="shared" si="1"/>
        <v>44136</v>
      </c>
      <c r="D120" s="1">
        <v>55</v>
      </c>
      <c r="E120">
        <v>0</v>
      </c>
      <c r="F120">
        <v>0</v>
      </c>
      <c r="G120">
        <v>0</v>
      </c>
    </row>
    <row r="121" spans="1:7" x14ac:dyDescent="0.2">
      <c r="A121" t="s">
        <v>48</v>
      </c>
      <c r="B121" s="14">
        <f t="shared" si="1"/>
        <v>44166</v>
      </c>
      <c r="D121" s="1">
        <v>54</v>
      </c>
      <c r="E121">
        <v>0</v>
      </c>
      <c r="F121">
        <v>0</v>
      </c>
      <c r="G1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rgb="FF92D050"/>
  </sheetPr>
  <dimension ref="A1:K89"/>
  <sheetViews>
    <sheetView topLeftCell="A34" workbookViewId="0">
      <selection activeCell="D62" sqref="D62"/>
    </sheetView>
  </sheetViews>
  <sheetFormatPr defaultRowHeight="12.75" x14ac:dyDescent="0.2"/>
  <cols>
    <col min="2" max="2" width="13.140625" bestFit="1" customWidth="1"/>
    <col min="3" max="3" width="16.140625" bestFit="1" customWidth="1"/>
    <col min="4" max="7" width="13.5703125" customWidth="1"/>
    <col min="8" max="9" width="13" customWidth="1"/>
  </cols>
  <sheetData>
    <row r="1" spans="1:11" x14ac:dyDescent="0.2">
      <c r="A1" s="4" t="s">
        <v>48</v>
      </c>
      <c r="J1" s="37" t="s">
        <v>148</v>
      </c>
      <c r="K1" s="37" t="s">
        <v>147</v>
      </c>
    </row>
    <row r="2" spans="1:11" x14ac:dyDescent="0.2">
      <c r="A2" s="37" t="s">
        <v>0</v>
      </c>
      <c r="B2" s="37" t="s">
        <v>64</v>
      </c>
      <c r="C2" s="37" t="s">
        <v>70</v>
      </c>
      <c r="D2" s="37" t="s">
        <v>24</v>
      </c>
      <c r="E2" s="37" t="s">
        <v>25</v>
      </c>
      <c r="F2" s="37" t="s">
        <v>26</v>
      </c>
      <c r="G2" s="37" t="s">
        <v>27</v>
      </c>
      <c r="H2" s="37" t="s">
        <v>104</v>
      </c>
      <c r="J2">
        <v>1</v>
      </c>
      <c r="K2" t="str">
        <f>INDEX(Lists!$A$3:$A$6,J2,1)</f>
        <v>England</v>
      </c>
    </row>
    <row r="3" spans="1:11" x14ac:dyDescent="0.2">
      <c r="A3" s="18" t="str">
        <f>Summary!$B$7</f>
        <v>England</v>
      </c>
      <c r="B3" s="18" t="str">
        <f>Summary!$D$6</f>
        <v>Finance</v>
      </c>
      <c r="C3" s="18" t="s">
        <v>69</v>
      </c>
      <c r="D3" s="7">
        <f>SUMIFS(HR!K$2:K$17,HR!$A$2:$A$17,$A$3,HR!$B$2:$B$17,$B$3)</f>
        <v>27</v>
      </c>
      <c r="E3" s="7">
        <f>SUMIFS(HR!L$2:L$17,HR!$A$2:$A$17,$A$3,HR!$B$2:$B$17,$B$3)</f>
        <v>39</v>
      </c>
      <c r="F3" s="7">
        <f>SUMIFS(HR!M$2:M$17,HR!$A$2:$A$17,$A$3,HR!$B$2:$B$17,$B$3)</f>
        <v>55</v>
      </c>
      <c r="G3" s="7">
        <f>SUMIFS(HR!N$2:N$17,HR!$A$2:$A$17,$A$3,HR!$B$2:$B$17,$B$3)</f>
        <v>78</v>
      </c>
      <c r="H3" s="46">
        <f>SUM(D3:G3)</f>
        <v>199</v>
      </c>
    </row>
    <row r="4" spans="1:11" x14ac:dyDescent="0.2">
      <c r="A4" s="18" t="str">
        <f>Summary!$B$7</f>
        <v>England</v>
      </c>
      <c r="B4" s="18" t="str">
        <f>Summary!$D$6</f>
        <v>Finance</v>
      </c>
      <c r="C4" s="18" t="s">
        <v>65</v>
      </c>
      <c r="D4" s="7">
        <f>SUMIFS(HR!O$2:O$17,HR!$A$2:$A$17,$A$3,HR!$B$2:$B$17,$B$3)</f>
        <v>44</v>
      </c>
      <c r="E4" s="7">
        <f>SUMIFS(HR!P$2:P$17,HR!$A$2:$A$17,$A$3,HR!$B$2:$B$17,$B$3)</f>
        <v>47</v>
      </c>
      <c r="F4" s="7">
        <f>SUMIFS(HR!Q$2:Q$17,HR!$A$2:$A$17,$A$3,HR!$B$2:$B$17,$B$3)</f>
        <v>61</v>
      </c>
      <c r="G4" s="7">
        <f>SUMIFS(HR!R$2:R$17,HR!$A$2:$A$17,$A$3,HR!$B$2:$B$17,$B$3)</f>
        <v>86</v>
      </c>
      <c r="H4" s="46">
        <f t="shared" ref="H4:H15" si="0">SUM(D4:G4)</f>
        <v>238</v>
      </c>
    </row>
    <row r="5" spans="1:11" x14ac:dyDescent="0.2">
      <c r="A5" s="18" t="str">
        <f>Summary!$B$7</f>
        <v>England</v>
      </c>
      <c r="B5" s="18" t="str">
        <f>Summary!$D$6</f>
        <v>Finance</v>
      </c>
      <c r="C5" s="18" t="s">
        <v>66</v>
      </c>
      <c r="D5" s="7">
        <f>SUMIFS(HR!S$2:S$17,HR!$A$2:$A$17,$A$3,HR!$B$2:$B$17,$B$3)</f>
        <v>50</v>
      </c>
      <c r="E5" s="7">
        <f>SUMIFS(HR!T$2:T$17,HR!$A$2:$A$17,$A$3,HR!$B$2:$B$17,$B$3)</f>
        <v>50</v>
      </c>
      <c r="F5" s="7">
        <f>SUMIFS(HR!U$2:U$17,HR!$A$2:$A$17,$A$3,HR!$B$2:$B$17,$B$3)</f>
        <v>42</v>
      </c>
      <c r="G5" s="7">
        <f>SUMIFS(HR!V$2:V$17,HR!$A$2:$A$17,$A$3,HR!$B$2:$B$17,$B$3)</f>
        <v>45</v>
      </c>
      <c r="H5" s="46">
        <f t="shared" si="0"/>
        <v>187</v>
      </c>
    </row>
    <row r="6" spans="1:11" x14ac:dyDescent="0.2">
      <c r="A6" s="18" t="str">
        <f>Summary!$B$7</f>
        <v>England</v>
      </c>
      <c r="B6" s="18" t="str">
        <f>Summary!$D$6</f>
        <v>Finance</v>
      </c>
      <c r="C6" s="18" t="s">
        <v>67</v>
      </c>
      <c r="D6" s="8">
        <f>SUMIFS(HR!W$2:W$17,HR!$A$2:$A$17,$A$3,HR!$B$2:$B$17,$B$3)</f>
        <v>4</v>
      </c>
      <c r="E6" s="8">
        <f>SUMIFS(HR!X$2:X$17,HR!$A$2:$A$17,$A$3,HR!$B$2:$B$17,$B$3)</f>
        <v>4</v>
      </c>
      <c r="F6" s="8">
        <f>SUMIFS(HR!Y$2:Y$17,HR!$A$2:$A$17,$A$3,HR!$B$2:$B$17,$B$3)</f>
        <v>4.0999999999999996</v>
      </c>
      <c r="G6" s="8">
        <f>SUMIFS(HR!Z$2:Z$17,HR!$A$2:$A$17,$A$3,HR!$B$2:$B$17,$B$3)</f>
        <v>4.2</v>
      </c>
      <c r="H6" s="46">
        <f t="shared" si="0"/>
        <v>16.3</v>
      </c>
    </row>
    <row r="7" spans="1:11" x14ac:dyDescent="0.2">
      <c r="A7" s="18" t="str">
        <f>Summary!$B$7</f>
        <v>England</v>
      </c>
      <c r="B7" s="18" t="str">
        <f>Summary!$D$6</f>
        <v>Finance</v>
      </c>
      <c r="C7" s="18" t="s">
        <v>19</v>
      </c>
      <c r="D7" s="7">
        <f>SUMIFS(HR!AA$2:AA$17,HR!$A$2:$A$17,$A$3,HR!$B$2:$B$17,$B$3)</f>
        <v>53</v>
      </c>
      <c r="E7" s="7">
        <f>SUMIFS(HR!AB$2:AB$17,HR!$A$2:$A$17,$A$3,HR!$B$2:$B$17,$B$3)</f>
        <v>56</v>
      </c>
      <c r="F7" s="7">
        <f>SUMIFS(HR!AC$2:AC$17,HR!$A$2:$A$17,$A$3,HR!$B$2:$B$17,$B$3)</f>
        <v>67</v>
      </c>
      <c r="G7" s="7">
        <f>SUMIFS(HR!AD$2:AD$17,HR!$A$2:$A$17,$A$3,HR!$B$2:$B$17,$B$3)</f>
        <v>63</v>
      </c>
      <c r="H7" s="46">
        <f t="shared" si="0"/>
        <v>239</v>
      </c>
    </row>
    <row r="8" spans="1:11" x14ac:dyDescent="0.2">
      <c r="A8" s="18" t="str">
        <f>Summary!$B$7</f>
        <v>England</v>
      </c>
      <c r="B8" s="18" t="str">
        <f>Summary!$D$6</f>
        <v>Finance</v>
      </c>
      <c r="C8" s="18" t="s">
        <v>68</v>
      </c>
      <c r="D8" s="7">
        <f>SUMIFS(HR!AE$2:AE$17,HR!$A$2:$A$17,$A$3,HR!$B$2:$B$17,$B$3)</f>
        <v>433</v>
      </c>
      <c r="E8" s="7">
        <f>SUMIFS(HR!AF$2:AF$17,HR!$A$2:$A$17,$A$3,HR!$B$2:$B$17,$B$3)</f>
        <v>399.76923076923077</v>
      </c>
      <c r="F8" s="7">
        <f>SUMIFS(HR!AG$2:AG$17,HR!$A$2:$A$17,$A$3,HR!$B$2:$B$17,$B$3)</f>
        <v>383.4727272727273</v>
      </c>
      <c r="G8" s="7">
        <f>SUMIFS(HR!AH$2:AH$17,HR!$A$2:$A$17,$A$3,HR!$B$2:$B$17,$B$3)</f>
        <v>370.39743589743591</v>
      </c>
      <c r="H8" s="46">
        <f t="shared" si="0"/>
        <v>1586.6393939393938</v>
      </c>
    </row>
    <row r="9" spans="1:11" x14ac:dyDescent="0.2">
      <c r="A9" s="18"/>
      <c r="B9" s="18"/>
      <c r="C9" s="18"/>
      <c r="D9" s="7"/>
      <c r="E9" s="7"/>
      <c r="F9" s="7"/>
      <c r="G9" s="7"/>
      <c r="H9" s="46"/>
    </row>
    <row r="10" spans="1:11" x14ac:dyDescent="0.2">
      <c r="A10" s="18"/>
      <c r="B10" s="18"/>
      <c r="C10" s="18"/>
      <c r="D10" s="7"/>
      <c r="E10" s="7"/>
      <c r="F10" s="7"/>
      <c r="G10" s="7"/>
      <c r="H10" s="46"/>
    </row>
    <row r="11" spans="1:11" x14ac:dyDescent="0.2">
      <c r="A11" s="37" t="s">
        <v>0</v>
      </c>
      <c r="B11" s="37" t="s">
        <v>64</v>
      </c>
      <c r="C11" s="37" t="s">
        <v>70</v>
      </c>
      <c r="D11" s="37" t="s">
        <v>76</v>
      </c>
      <c r="E11" s="37" t="s">
        <v>77</v>
      </c>
      <c r="F11" s="37" t="s">
        <v>78</v>
      </c>
      <c r="G11" s="37" t="s">
        <v>79</v>
      </c>
      <c r="H11" s="37" t="s">
        <v>104</v>
      </c>
    </row>
    <row r="12" spans="1:11" x14ac:dyDescent="0.2">
      <c r="A12" s="18" t="str">
        <f>Summary!$B$7</f>
        <v>England</v>
      </c>
      <c r="B12" s="18" t="s">
        <v>7</v>
      </c>
      <c r="C12" s="18" t="s">
        <v>80</v>
      </c>
      <c r="D12" s="7">
        <f>SUMIFS(HR!AI$2:AI$17,HR!$A$2:$A$17,$A12,HR!$B$2:$B$17,$B12)</f>
        <v>108</v>
      </c>
      <c r="E12" s="7">
        <f>SUMIFS(HR!AJ$2:AJ$17,HR!$A$2:$A$17,$A12,HR!$B$2:$B$17,$B12)</f>
        <v>144</v>
      </c>
      <c r="F12" s="7">
        <f>SUMIFS(HR!AK$2:AK$17,HR!$A$2:$A$17,$A12,HR!$B$2:$B$17,$B12)</f>
        <v>150</v>
      </c>
      <c r="G12" s="7">
        <f>SUMIFS(HR!AL$2:AL$17,HR!$A$2:$A$17,$A12,HR!$B$2:$B$17,$B12)</f>
        <v>156</v>
      </c>
      <c r="H12" s="46">
        <f t="shared" si="0"/>
        <v>558</v>
      </c>
    </row>
    <row r="13" spans="1:11" x14ac:dyDescent="0.2">
      <c r="A13" s="18" t="str">
        <f>Summary!$B$7</f>
        <v>England</v>
      </c>
      <c r="B13" s="18" t="s">
        <v>8</v>
      </c>
      <c r="C13" s="18" t="s">
        <v>80</v>
      </c>
      <c r="D13" s="7">
        <f>SUMIFS(HR!AI$2:AI$17,HR!$A$2:$A$17,$A13,HR!$B$2:$B$17,$B13)</f>
        <v>55</v>
      </c>
      <c r="E13" s="7">
        <f>SUMIFS(HR!AJ$2:AJ$17,HR!$A$2:$A$17,$A13,HR!$B$2:$B$17,$B13)</f>
        <v>53</v>
      </c>
      <c r="F13" s="7">
        <f>SUMIFS(HR!AK$2:AK$17,HR!$A$2:$A$17,$A13,HR!$B$2:$B$17,$B13)</f>
        <v>45</v>
      </c>
      <c r="G13" s="7">
        <f>SUMIFS(HR!AL$2:AL$17,HR!$A$2:$A$17,$A13,HR!$B$2:$B$17,$B13)</f>
        <v>48</v>
      </c>
      <c r="H13" s="46">
        <f t="shared" si="0"/>
        <v>201</v>
      </c>
    </row>
    <row r="14" spans="1:11" x14ac:dyDescent="0.2">
      <c r="A14" s="18" t="str">
        <f>Summary!$B$7</f>
        <v>England</v>
      </c>
      <c r="B14" s="18" t="s">
        <v>9</v>
      </c>
      <c r="C14" s="18" t="s">
        <v>80</v>
      </c>
      <c r="D14" s="7">
        <f>SUMIFS(HR!AI$2:AI$17,HR!$A$2:$A$17,$A14,HR!$B$2:$B$17,$B14)</f>
        <v>33</v>
      </c>
      <c r="E14" s="7">
        <f>SUMIFS(HR!AJ$2:AJ$17,HR!$A$2:$A$17,$A14,HR!$B$2:$B$17,$B14)</f>
        <v>30</v>
      </c>
      <c r="F14" s="7">
        <f>SUMIFS(HR!AK$2:AK$17,HR!$A$2:$A$17,$A14,HR!$B$2:$B$17,$B14)</f>
        <v>32</v>
      </c>
      <c r="G14" s="7">
        <f>SUMIFS(HR!AL$2:AL$17,HR!$A$2:$A$17,$A14,HR!$B$2:$B$17,$B14)</f>
        <v>31</v>
      </c>
      <c r="H14" s="46">
        <f t="shared" si="0"/>
        <v>126</v>
      </c>
    </row>
    <row r="15" spans="1:11" x14ac:dyDescent="0.2">
      <c r="A15" s="18" t="str">
        <f>Summary!$B$7</f>
        <v>England</v>
      </c>
      <c r="B15" s="18" t="s">
        <v>10</v>
      </c>
      <c r="C15" s="18" t="s">
        <v>80</v>
      </c>
      <c r="D15" s="7">
        <f>SUMIFS(HR!AI$2:AI$17,HR!$A$2:$A$17,$A15,HR!$B$2:$B$17,$B15)</f>
        <v>43</v>
      </c>
      <c r="E15" s="7">
        <f>SUMIFS(HR!AJ$2:AJ$17,HR!$A$2:$A$17,$A15,HR!$B$2:$B$17,$B15)</f>
        <v>45</v>
      </c>
      <c r="F15" s="7">
        <f>SUMIFS(HR!AK$2:AK$17,HR!$A$2:$A$17,$A15,HR!$B$2:$B$17,$B15)</f>
        <v>45</v>
      </c>
      <c r="G15" s="7">
        <f>SUMIFS(HR!AL$2:AL$17,HR!$A$2:$A$17,$A15,HR!$B$2:$B$17,$B15)</f>
        <v>42</v>
      </c>
      <c r="H15" s="46">
        <f t="shared" si="0"/>
        <v>175</v>
      </c>
    </row>
    <row r="16" spans="1:11" x14ac:dyDescent="0.2">
      <c r="A16" s="18"/>
      <c r="B16" s="18"/>
      <c r="C16" s="18"/>
      <c r="D16" s="18"/>
      <c r="E16" s="18"/>
      <c r="F16" s="18"/>
      <c r="G16" s="18"/>
    </row>
    <row r="17" spans="1:7" x14ac:dyDescent="0.2">
      <c r="A17" s="18"/>
      <c r="B17" s="18"/>
      <c r="C17" s="18"/>
      <c r="D17" s="18"/>
      <c r="E17" s="18"/>
      <c r="F17" s="18"/>
      <c r="G17" s="18"/>
    </row>
    <row r="18" spans="1:7" x14ac:dyDescent="0.2">
      <c r="A18" s="37" t="s">
        <v>0</v>
      </c>
      <c r="B18" s="37" t="s">
        <v>64</v>
      </c>
      <c r="C18" s="37" t="s">
        <v>95</v>
      </c>
      <c r="D18" s="37" t="s">
        <v>82</v>
      </c>
      <c r="E18" s="18"/>
      <c r="F18" s="18"/>
      <c r="G18" s="18"/>
    </row>
    <row r="19" spans="1:7" x14ac:dyDescent="0.2">
      <c r="A19" s="18" t="str">
        <f>Summary!$B$7</f>
        <v>England</v>
      </c>
      <c r="B19" s="18" t="s">
        <v>7</v>
      </c>
      <c r="C19" s="52">
        <f>SUMIFS(HR!$J$2:$J$17,HR!$A$2:$A$17,$A19,HR!$B$2:$B$17,$B19)/1000</f>
        <v>8.6924400000000013</v>
      </c>
      <c r="D19" s="7">
        <f>SUMIFS(HR!$AM$2:$AM$17,HR!$A$2:$A$17,$A19,HR!$B$2:$B$17,$B19)</f>
        <v>17</v>
      </c>
      <c r="E19" s="18"/>
      <c r="F19" s="18"/>
      <c r="G19" s="18"/>
    </row>
    <row r="20" spans="1:7" x14ac:dyDescent="0.2">
      <c r="A20" s="18" t="str">
        <f>Summary!$B$7</f>
        <v>England</v>
      </c>
      <c r="B20" s="18" t="s">
        <v>8</v>
      </c>
      <c r="C20" s="52">
        <f>SUMIFS(HR!$J$2:$J$17,HR!$A$2:$A$17,$A20,HR!$B$2:$B$17,$B20)/1000</f>
        <v>3.1448499999999999</v>
      </c>
      <c r="D20" s="7">
        <f>SUMIFS(HR!$AM$2:$AM$17,HR!$A$2:$A$17,$A20,HR!$B$2:$B$17,$B20)</f>
        <v>12</v>
      </c>
      <c r="E20" s="18"/>
      <c r="F20" s="18"/>
      <c r="G20" s="18"/>
    </row>
    <row r="21" spans="1:7" x14ac:dyDescent="0.2">
      <c r="A21" s="18" t="str">
        <f>Summary!$B$7</f>
        <v>England</v>
      </c>
      <c r="B21" s="18" t="s">
        <v>9</v>
      </c>
      <c r="C21" s="52">
        <f>SUMIFS(HR!$J$2:$J$17,HR!$A$2:$A$17,$A21,HR!$B$2:$B$17,$B21)/1000</f>
        <v>6.5474100000000002</v>
      </c>
      <c r="D21" s="7">
        <f>SUMIFS(HR!$AM$2:$AM$17,HR!$A$2:$A$17,$A21,HR!$B$2:$B$17,$B21)</f>
        <v>7</v>
      </c>
      <c r="E21" s="18"/>
      <c r="F21" s="18"/>
      <c r="G21" s="18"/>
    </row>
    <row r="22" spans="1:7" x14ac:dyDescent="0.2">
      <c r="A22" s="18" t="str">
        <f>Summary!$B$7</f>
        <v>England</v>
      </c>
      <c r="B22" s="18" t="s">
        <v>10</v>
      </c>
      <c r="C22" s="52">
        <f>SUMIFS(HR!$J$2:$J$17,HR!$A$2:$A$17,$A22,HR!$B$2:$B$17,$B22)/1000</f>
        <v>5.6045200000000008</v>
      </c>
      <c r="D22" s="7">
        <f>SUMIFS(HR!$AM$2:$AM$17,HR!$A$2:$A$17,$A22,HR!$B$2:$B$17,$B22)</f>
        <v>4</v>
      </c>
      <c r="E22" s="18"/>
      <c r="F22" s="18"/>
      <c r="G22" s="18"/>
    </row>
    <row r="23" spans="1:7" x14ac:dyDescent="0.2">
      <c r="A23" s="18"/>
      <c r="B23" s="18" t="s">
        <v>104</v>
      </c>
      <c r="C23" s="53">
        <f>AVERAGE(C19:C22)</f>
        <v>5.9973050000000008</v>
      </c>
      <c r="D23" s="7">
        <f>SUM(D19:D22)</f>
        <v>40</v>
      </c>
      <c r="E23" s="18"/>
      <c r="F23" s="18"/>
      <c r="G23" s="18"/>
    </row>
    <row r="24" spans="1:7" x14ac:dyDescent="0.2">
      <c r="A24" s="18"/>
      <c r="B24" s="18"/>
      <c r="C24" s="18"/>
      <c r="D24" s="18"/>
      <c r="E24" s="18"/>
      <c r="F24" s="18"/>
      <c r="G24" s="18"/>
    </row>
    <row r="25" spans="1:7" x14ac:dyDescent="0.2">
      <c r="A25" s="18"/>
      <c r="B25" s="18"/>
      <c r="C25" s="27"/>
      <c r="D25" s="27"/>
      <c r="E25" s="27"/>
      <c r="F25" s="27"/>
      <c r="G25" s="18"/>
    </row>
    <row r="26" spans="1:7" x14ac:dyDescent="0.2">
      <c r="A26" s="37" t="s">
        <v>0</v>
      </c>
      <c r="B26" s="37" t="s">
        <v>64</v>
      </c>
      <c r="C26" s="37" t="s">
        <v>81</v>
      </c>
      <c r="D26" s="37" t="s">
        <v>82</v>
      </c>
      <c r="E26" s="37" t="s">
        <v>83</v>
      </c>
      <c r="F26" s="27"/>
      <c r="G26" s="18"/>
    </row>
    <row r="27" spans="1:7" x14ac:dyDescent="0.2">
      <c r="A27" s="18" t="str">
        <f>Summary!$B$7</f>
        <v>England</v>
      </c>
      <c r="B27" s="19">
        <f>Lists!H2</f>
        <v>43831</v>
      </c>
      <c r="C27" s="20">
        <f>IF(C$42,SUMIFS(Staff!C$2:C$121,Staff!$A$2:$A$121,$A27,Staff!$B$2:$B$121,$B27),NA())</f>
        <v>58</v>
      </c>
      <c r="D27" s="20">
        <f>IF(D$42,SUMIFS(Staff!D$2:D$121,Staff!$A$2:$A$121,$A27,Staff!$B$2:$B$121,$B27),NA())</f>
        <v>21</v>
      </c>
      <c r="E27" s="20">
        <f>IF(E$42,SUMIFS(Staff!E$2:E$121,Staff!$A$2:$A$121,$A27,Staff!$B$2:$B$121,$B27),NA())</f>
        <v>18</v>
      </c>
      <c r="F27" s="18"/>
      <c r="G27" s="18"/>
    </row>
    <row r="28" spans="1:7" x14ac:dyDescent="0.2">
      <c r="A28" s="18" t="str">
        <f>Summary!$B$7</f>
        <v>England</v>
      </c>
      <c r="B28" s="19">
        <f>Lists!H3</f>
        <v>43862</v>
      </c>
      <c r="C28" s="20">
        <f>IF(C$42,SUMIFS(Staff!C$2:C$121,Staff!$A$2:$A$121,$A28,Staff!$B$2:$B$121,$B28),NA())</f>
        <v>80</v>
      </c>
      <c r="D28" s="20">
        <f>IF(D$42,SUMIFS(Staff!D$2:D$121,Staff!$A$2:$A$121,$A28,Staff!$B$2:$B$121,$B28),NA())</f>
        <v>31</v>
      </c>
      <c r="E28" s="20">
        <f>IF(E$42,SUMIFS(Staff!E$2:E$121,Staff!$A$2:$A$121,$A28,Staff!$B$2:$B$121,$B28),NA())</f>
        <v>24</v>
      </c>
      <c r="F28" s="18"/>
      <c r="G28" s="18"/>
    </row>
    <row r="29" spans="1:7" x14ac:dyDescent="0.2">
      <c r="A29" s="18" t="str">
        <f>Summary!$B$7</f>
        <v>England</v>
      </c>
      <c r="B29" s="19">
        <f>Lists!H4</f>
        <v>43891</v>
      </c>
      <c r="C29" s="20">
        <f>IF(C$42,SUMIFS(Staff!C$2:C$121,Staff!$A$2:$A$121,$A29,Staff!$B$2:$B$121,$B29),NA())</f>
        <v>74</v>
      </c>
      <c r="D29" s="20">
        <f>IF(D$42,SUMIFS(Staff!D$2:D$121,Staff!$A$2:$A$121,$A29,Staff!$B$2:$B$121,$B29),NA())</f>
        <v>31</v>
      </c>
      <c r="E29" s="20">
        <f>IF(E$42,SUMIFS(Staff!E$2:E$121,Staff!$A$2:$A$121,$A29,Staff!$B$2:$B$121,$B29),NA())</f>
        <v>23</v>
      </c>
      <c r="F29" s="18"/>
      <c r="G29" s="18"/>
    </row>
    <row r="30" spans="1:7" x14ac:dyDescent="0.2">
      <c r="A30" s="18" t="str">
        <f>Summary!$B$7</f>
        <v>England</v>
      </c>
      <c r="B30" s="19">
        <f>Lists!H5</f>
        <v>43922</v>
      </c>
      <c r="C30" s="20">
        <f>IF(C$42,SUMIFS(Staff!C$2:C$121,Staff!$A$2:$A$121,$A30,Staff!$B$2:$B$121,$B30),NA())</f>
        <v>70</v>
      </c>
      <c r="D30" s="20">
        <f>IF(D$42,SUMIFS(Staff!D$2:D$121,Staff!$A$2:$A$121,$A30,Staff!$B$2:$B$121,$B30),NA())</f>
        <v>27</v>
      </c>
      <c r="E30" s="20">
        <f>IF(E$42,SUMIFS(Staff!E$2:E$121,Staff!$A$2:$A$121,$A30,Staff!$B$2:$B$121,$B30),NA())</f>
        <v>21</v>
      </c>
      <c r="F30" s="18"/>
      <c r="G30" s="18"/>
    </row>
    <row r="31" spans="1:7" x14ac:dyDescent="0.2">
      <c r="A31" s="18" t="str">
        <f>Summary!$B$7</f>
        <v>England</v>
      </c>
      <c r="B31" s="19">
        <f>Lists!H6</f>
        <v>43952</v>
      </c>
      <c r="C31" s="20">
        <f>IF(C$42,SUMIFS(Staff!C$2:C$121,Staff!$A$2:$A$121,$A31,Staff!$B$2:$B$121,$B31),NA())</f>
        <v>87</v>
      </c>
      <c r="D31" s="20">
        <f>IF(D$42,SUMIFS(Staff!D$2:D$121,Staff!$A$2:$A$121,$A31,Staff!$B$2:$B$121,$B31),NA())</f>
        <v>33</v>
      </c>
      <c r="E31" s="20">
        <f>IF(E$42,SUMIFS(Staff!E$2:E$121,Staff!$A$2:$A$121,$A31,Staff!$B$2:$B$121,$B31),NA())</f>
        <v>27</v>
      </c>
      <c r="F31" s="18"/>
      <c r="G31" s="18"/>
    </row>
    <row r="32" spans="1:7" x14ac:dyDescent="0.2">
      <c r="A32" s="18" t="str">
        <f>Summary!$B$7</f>
        <v>England</v>
      </c>
      <c r="B32" s="19">
        <f>Lists!H7</f>
        <v>43983</v>
      </c>
      <c r="C32" s="20">
        <f>IF(C$42,SUMIFS(Staff!C$2:C$121,Staff!$A$2:$A$121,$A32,Staff!$B$2:$B$121,$B32),NA())</f>
        <v>93</v>
      </c>
      <c r="D32" s="20">
        <f>IF(D$42,SUMIFS(Staff!D$2:D$121,Staff!$A$2:$A$121,$A32,Staff!$B$2:$B$121,$B32),NA())</f>
        <v>34</v>
      </c>
      <c r="E32" s="20">
        <f>IF(E$42,SUMIFS(Staff!E$2:E$121,Staff!$A$2:$A$121,$A32,Staff!$B$2:$B$121,$B32),NA())</f>
        <v>28</v>
      </c>
      <c r="F32" s="18"/>
      <c r="G32" s="18"/>
    </row>
    <row r="33" spans="1:7" x14ac:dyDescent="0.2">
      <c r="A33" s="18" t="str">
        <f>Summary!$B$7</f>
        <v>England</v>
      </c>
      <c r="B33" s="19">
        <f>Lists!H8</f>
        <v>44013</v>
      </c>
      <c r="C33" s="20">
        <f>IF(C$42,SUMIFS(Staff!C$2:C$121,Staff!$A$2:$A$121,$A33,Staff!$B$2:$B$121,$B33),NA())</f>
        <v>100</v>
      </c>
      <c r="D33" s="20">
        <f>IF(D$42,SUMIFS(Staff!D$2:D$121,Staff!$A$2:$A$121,$A33,Staff!$B$2:$B$121,$B33),NA())</f>
        <v>42</v>
      </c>
      <c r="E33" s="20">
        <f>IF(E$42,SUMIFS(Staff!E$2:E$121,Staff!$A$2:$A$121,$A33,Staff!$B$2:$B$121,$B33),NA())</f>
        <v>30</v>
      </c>
      <c r="F33" s="18"/>
      <c r="G33" s="18"/>
    </row>
    <row r="34" spans="1:7" x14ac:dyDescent="0.2">
      <c r="A34" s="18" t="str">
        <f>Summary!$B$7</f>
        <v>England</v>
      </c>
      <c r="B34" s="19">
        <f>Lists!H9</f>
        <v>44044</v>
      </c>
      <c r="C34" s="20">
        <f>IF(C$42,SUMIFS(Staff!C$2:C$121,Staff!$A$2:$A$121,$A34,Staff!$B$2:$B$121,$B34),NA())</f>
        <v>58</v>
      </c>
      <c r="D34" s="20">
        <f>IF(D$42,SUMIFS(Staff!D$2:D$121,Staff!$A$2:$A$121,$A34,Staff!$B$2:$B$121,$B34),NA())</f>
        <v>21</v>
      </c>
      <c r="E34" s="20">
        <f>IF(E$42,SUMIFS(Staff!E$2:E$121,Staff!$A$2:$A$121,$A34,Staff!$B$2:$B$121,$B34),NA())</f>
        <v>18</v>
      </c>
      <c r="F34" s="18"/>
      <c r="G34" s="18"/>
    </row>
    <row r="35" spans="1:7" x14ac:dyDescent="0.2">
      <c r="A35" s="18" t="str">
        <f>Summary!$B$7</f>
        <v>England</v>
      </c>
      <c r="B35" s="19">
        <f>Lists!H10</f>
        <v>44075</v>
      </c>
      <c r="C35" s="20">
        <f>IF(C$42,SUMIFS(Staff!C$2:C$121,Staff!$A$2:$A$121,$A35,Staff!$B$2:$B$121,$B35),NA())</f>
        <v>67</v>
      </c>
      <c r="D35" s="20">
        <f>IF(D$42,SUMIFS(Staff!D$2:D$121,Staff!$A$2:$A$121,$A35,Staff!$B$2:$B$121,$B35),NA())</f>
        <v>26</v>
      </c>
      <c r="E35" s="20">
        <f>IF(E$42,SUMIFS(Staff!E$2:E$121,Staff!$A$2:$A$121,$A35,Staff!$B$2:$B$121,$B35),NA())</f>
        <v>21</v>
      </c>
      <c r="F35" s="18"/>
      <c r="G35" s="18"/>
    </row>
    <row r="36" spans="1:7" x14ac:dyDescent="0.2">
      <c r="A36" s="18" t="str">
        <f>Summary!$B$7</f>
        <v>England</v>
      </c>
      <c r="B36" s="19">
        <f>Lists!H11</f>
        <v>44105</v>
      </c>
      <c r="C36" s="20">
        <f>IF(C$42,SUMIFS(Staff!C$2:C$121,Staff!$A$2:$A$121,$A36,Staff!$B$2:$B$121,$B36),NA())</f>
        <v>84</v>
      </c>
      <c r="D36" s="20">
        <f>IF(D$42,SUMIFS(Staff!D$2:D$121,Staff!$A$2:$A$121,$A36,Staff!$B$2:$B$121,$B36),NA())</f>
        <v>34</v>
      </c>
      <c r="E36" s="20">
        <f>IF(E$42,SUMIFS(Staff!E$2:E$121,Staff!$A$2:$A$121,$A36,Staff!$B$2:$B$121,$B36),NA())</f>
        <v>26</v>
      </c>
      <c r="F36" s="18"/>
      <c r="G36" s="18"/>
    </row>
    <row r="37" spans="1:7" x14ac:dyDescent="0.2">
      <c r="A37" s="18" t="str">
        <f>Summary!$B$7</f>
        <v>England</v>
      </c>
      <c r="B37" s="19">
        <f>Lists!H12</f>
        <v>44136</v>
      </c>
      <c r="C37" s="20">
        <f>IF(C$42,SUMIFS(Staff!C$2:C$121,Staff!$A$2:$A$121,$A37,Staff!$B$2:$B$121,$B37),NA())</f>
        <v>75</v>
      </c>
      <c r="D37" s="20">
        <f>IF(D$42,SUMIFS(Staff!D$2:D$121,Staff!$A$2:$A$121,$A37,Staff!$B$2:$B$121,$B37),NA())</f>
        <v>29</v>
      </c>
      <c r="E37" s="20">
        <f>IF(E$42,SUMIFS(Staff!E$2:E$121,Staff!$A$2:$A$121,$A37,Staff!$B$2:$B$121,$B37),NA())</f>
        <v>23</v>
      </c>
      <c r="F37" s="18"/>
      <c r="G37" s="18"/>
    </row>
    <row r="38" spans="1:7" x14ac:dyDescent="0.2">
      <c r="A38" s="18" t="str">
        <f>Summary!$B$7</f>
        <v>England</v>
      </c>
      <c r="B38" s="19">
        <f>Lists!H13</f>
        <v>44166</v>
      </c>
      <c r="C38" s="20">
        <f>IF(C$42,SUMIFS(Staff!C$2:C$121,Staff!$A$2:$A$121,$A38,Staff!$B$2:$B$121,$B38),NA())</f>
        <v>87</v>
      </c>
      <c r="D38" s="20">
        <f>IF(D$42,SUMIFS(Staff!D$2:D$121,Staff!$A$2:$A$121,$A38,Staff!$B$2:$B$121,$B38),NA())</f>
        <v>35</v>
      </c>
      <c r="E38" s="20">
        <f>IF(E$42,SUMIFS(Staff!E$2:E$121,Staff!$A$2:$A$121,$A38,Staff!$B$2:$B$121,$B38),NA())</f>
        <v>27</v>
      </c>
      <c r="F38" s="18"/>
      <c r="G38" s="18"/>
    </row>
    <row r="39" spans="1:7" x14ac:dyDescent="0.2">
      <c r="A39" s="18"/>
      <c r="B39" s="20"/>
      <c r="C39" s="20"/>
      <c r="D39" s="20"/>
      <c r="E39" s="20"/>
      <c r="F39" s="18"/>
      <c r="G39" s="18"/>
    </row>
    <row r="40" spans="1:7" x14ac:dyDescent="0.2">
      <c r="A40" s="18"/>
      <c r="B40" s="20" t="s">
        <v>118</v>
      </c>
      <c r="C40" s="20">
        <f t="shared" ref="C40:D40" si="1">SUM(C27:C39)</f>
        <v>933</v>
      </c>
      <c r="D40" s="20">
        <f t="shared" si="1"/>
        <v>364</v>
      </c>
      <c r="E40" s="20">
        <f>SUM(E27:E39)</f>
        <v>286</v>
      </c>
      <c r="F40" s="18"/>
      <c r="G40" s="18"/>
    </row>
    <row r="41" spans="1:7" x14ac:dyDescent="0.2">
      <c r="A41" s="18"/>
      <c r="B41" s="20"/>
      <c r="C41" s="20"/>
      <c r="D41" s="20"/>
      <c r="E41" s="20"/>
      <c r="F41" s="18"/>
      <c r="G41" s="18"/>
    </row>
    <row r="42" spans="1:7" ht="15" x14ac:dyDescent="0.25">
      <c r="A42" s="18"/>
      <c r="B42" s="21" t="s">
        <v>91</v>
      </c>
      <c r="C42" s="22" t="b">
        <v>1</v>
      </c>
      <c r="D42" s="22" t="b">
        <v>1</v>
      </c>
      <c r="E42" s="22" t="b">
        <v>1</v>
      </c>
      <c r="F42" s="18"/>
      <c r="G42" s="18"/>
    </row>
    <row r="43" spans="1:7" x14ac:dyDescent="0.2">
      <c r="A43" s="18"/>
      <c r="B43" s="18"/>
      <c r="C43" s="18"/>
      <c r="D43" s="18"/>
      <c r="E43" s="18"/>
      <c r="F43" s="18"/>
      <c r="G43" s="18"/>
    </row>
    <row r="44" spans="1:7" x14ac:dyDescent="0.2">
      <c r="A44" s="18"/>
      <c r="B44" s="18"/>
      <c r="C44" s="18"/>
      <c r="D44" s="18"/>
      <c r="E44" s="18"/>
      <c r="F44" s="18"/>
      <c r="G44" s="18"/>
    </row>
    <row r="45" spans="1:7" x14ac:dyDescent="0.2">
      <c r="A45" s="37" t="s">
        <v>0</v>
      </c>
      <c r="B45" s="37" t="s">
        <v>64</v>
      </c>
      <c r="C45" s="37" t="s">
        <v>5</v>
      </c>
      <c r="D45" s="37" t="s">
        <v>88</v>
      </c>
      <c r="E45" s="37" t="s">
        <v>89</v>
      </c>
      <c r="F45" s="27"/>
      <c r="G45" s="18"/>
    </row>
    <row r="46" spans="1:7" x14ac:dyDescent="0.2">
      <c r="A46" s="3" t="str">
        <f>Summary!$B$7</f>
        <v>England</v>
      </c>
      <c r="B46" s="18" t="s">
        <v>7</v>
      </c>
      <c r="C46" s="7">
        <f>SUMIFS(HR!F$2:F$17,HR!$A$2:$A$17,$A46,HR!$B$2:$B$17,$B46)</f>
        <v>65455</v>
      </c>
      <c r="D46" s="7">
        <f>SUMIFS(HR!G$2:G$17,HR!$A$2:$A$17,$A46,HR!$B$2:$B$17,$B46)</f>
        <v>6872.7749999999996</v>
      </c>
      <c r="E46" s="7">
        <f>SUMIFS(HR!H$2:H$17,HR!$A$2:$A$17,$A46,HR!$B$2:$B$17,$B46)</f>
        <v>3272.75</v>
      </c>
      <c r="F46" s="7"/>
      <c r="G46" s="18"/>
    </row>
    <row r="47" spans="1:7" x14ac:dyDescent="0.2">
      <c r="A47" s="3" t="str">
        <f>Summary!$B$7</f>
        <v>England</v>
      </c>
      <c r="B47" s="18" t="s">
        <v>8</v>
      </c>
      <c r="C47" s="7">
        <f>SUMIFS(HR!F$2:F$17,HR!$A$2:$A$17,$A47,HR!$B$2:$B$17,$B47)</f>
        <v>48978</v>
      </c>
      <c r="D47" s="7">
        <f>SUMIFS(HR!G$2:G$17,HR!$A$2:$A$17,$A47,HR!$B$2:$B$17,$B47)</f>
        <v>5142.6899999999996</v>
      </c>
      <c r="E47" s="7">
        <f>SUMIFS(HR!H$2:H$17,HR!$A$2:$A$17,$A47,HR!$B$2:$B$17,$B47)</f>
        <v>979.56000000000006</v>
      </c>
      <c r="F47" s="7"/>
      <c r="G47" s="18"/>
    </row>
    <row r="48" spans="1:7" x14ac:dyDescent="0.2">
      <c r="A48" s="3" t="str">
        <f>Summary!$B$7</f>
        <v>England</v>
      </c>
      <c r="B48" s="18" t="s">
        <v>9</v>
      </c>
      <c r="C48" s="7">
        <f>SUMIFS(HR!F$2:F$17,HR!$A$2:$A$17,$A48,HR!$B$2:$B$17,$B48)</f>
        <v>46550</v>
      </c>
      <c r="D48" s="7">
        <f>SUMIFS(HR!G$2:G$17,HR!$A$2:$A$17,$A48,HR!$B$2:$B$17,$B48)</f>
        <v>4887.75</v>
      </c>
      <c r="E48" s="7">
        <f>SUMIFS(HR!H$2:H$17,HR!$A$2:$A$17,$A48,HR!$B$2:$B$17,$B48)</f>
        <v>931</v>
      </c>
      <c r="F48" s="7"/>
      <c r="G48" s="18"/>
    </row>
    <row r="49" spans="1:7" x14ac:dyDescent="0.2">
      <c r="A49" s="3" t="str">
        <f>Summary!$B$7</f>
        <v>England</v>
      </c>
      <c r="B49" s="18" t="s">
        <v>10</v>
      </c>
      <c r="C49" s="7">
        <f>SUMIFS(HR!F$2:F$17,HR!$A$2:$A$17,$A49,HR!$B$2:$B$17,$B49)</f>
        <v>49864</v>
      </c>
      <c r="D49" s="7">
        <f>SUMIFS(HR!G$2:G$17,HR!$A$2:$A$17,$A49,HR!$B$2:$B$17,$B49)</f>
        <v>5235.72</v>
      </c>
      <c r="E49" s="7">
        <f>SUMIFS(HR!H$2:H$17,HR!$A$2:$A$17,$A49,HR!$B$2:$B$17,$B49)</f>
        <v>2493.2000000000003</v>
      </c>
      <c r="F49" s="7"/>
      <c r="G49" s="18"/>
    </row>
    <row r="50" spans="1:7" x14ac:dyDescent="0.2">
      <c r="A50" s="18"/>
      <c r="B50" s="27" t="s">
        <v>117</v>
      </c>
      <c r="C50" s="51">
        <f>AVERAGE(C46:C49)</f>
        <v>52711.75</v>
      </c>
      <c r="D50" s="51">
        <f>AVERAGE(D46:D49)</f>
        <v>5534.7337500000003</v>
      </c>
      <c r="E50" s="51">
        <f>AVERAGE(E46:E49)</f>
        <v>1919.1275000000001</v>
      </c>
      <c r="F50" s="18"/>
      <c r="G50" s="18"/>
    </row>
    <row r="51" spans="1:7" x14ac:dyDescent="0.2">
      <c r="A51" s="18"/>
      <c r="B51" s="18"/>
      <c r="C51" s="18"/>
      <c r="D51" s="18"/>
      <c r="E51" s="18"/>
      <c r="F51" s="18"/>
      <c r="G51" s="18"/>
    </row>
    <row r="52" spans="1:7" x14ac:dyDescent="0.2">
      <c r="A52" s="18"/>
      <c r="B52" s="18"/>
      <c r="C52" s="18"/>
      <c r="D52" s="18"/>
      <c r="E52" s="18"/>
      <c r="F52" s="18"/>
      <c r="G52" s="18"/>
    </row>
    <row r="53" spans="1:7" x14ac:dyDescent="0.2">
      <c r="A53" s="37" t="s">
        <v>0</v>
      </c>
      <c r="B53" s="37" t="s">
        <v>64</v>
      </c>
      <c r="C53" s="37" t="s">
        <v>90</v>
      </c>
      <c r="D53" s="37" t="s">
        <v>98</v>
      </c>
      <c r="E53" s="18"/>
      <c r="F53" s="18"/>
      <c r="G53" s="18"/>
    </row>
    <row r="54" spans="1:7" x14ac:dyDescent="0.2">
      <c r="A54" s="3" t="str">
        <f>Summary!$B$7</f>
        <v>England</v>
      </c>
      <c r="B54" s="18" t="s">
        <v>7</v>
      </c>
      <c r="C54" s="7">
        <f>SUMIFS(HR!I$2:I$17,HR!$A$2:$A$17,$A54,HR!$B$2:$B$17,$B54)</f>
        <v>22</v>
      </c>
      <c r="D54" s="32">
        <f>SUMIFS(HR!AN2:AN17,HR!$A$2:$A$17,$A54,HR!$B$2:$B$17,$B54)</f>
        <v>4.5</v>
      </c>
      <c r="E54" s="18"/>
      <c r="F54" s="18"/>
      <c r="G54" s="18"/>
    </row>
    <row r="55" spans="1:7" x14ac:dyDescent="0.2">
      <c r="A55" s="3" t="str">
        <f>Summary!$B$7</f>
        <v>England</v>
      </c>
      <c r="B55" s="18" t="s">
        <v>8</v>
      </c>
      <c r="C55" s="7">
        <f>SUMIFS(HR!I$2:I$17,HR!$A$2:$A$17,$A55,HR!$B$2:$B$17,$B55)</f>
        <v>32</v>
      </c>
      <c r="D55" s="32">
        <f>SUMIFS(HR!AN3:AN18,HR!$A$2:$A$17,$A55,HR!$B$2:$B$17,$B55)</f>
        <v>4.2</v>
      </c>
      <c r="E55" s="18"/>
      <c r="F55" s="18"/>
      <c r="G55" s="18"/>
    </row>
    <row r="56" spans="1:7" x14ac:dyDescent="0.2">
      <c r="A56" s="3" t="str">
        <f>Summary!$B$7</f>
        <v>England</v>
      </c>
      <c r="B56" s="18" t="s">
        <v>9</v>
      </c>
      <c r="C56" s="7">
        <f>SUMIFS(HR!I$2:I$17,HR!$A$2:$A$17,$A56,HR!$B$2:$B$17,$B56)</f>
        <v>15</v>
      </c>
      <c r="D56" s="32">
        <f>SUMIFS(HR!AN4:AN19,HR!$A$2:$A$17,$A56,HR!$B$2:$B$17,$B56)</f>
        <v>4</v>
      </c>
      <c r="E56" s="18"/>
      <c r="F56" s="18"/>
      <c r="G56" s="18"/>
    </row>
    <row r="57" spans="1:7" x14ac:dyDescent="0.2">
      <c r="A57" s="3" t="str">
        <f>Summary!$B$7</f>
        <v>England</v>
      </c>
      <c r="B57" s="18" t="s">
        <v>10</v>
      </c>
      <c r="C57" s="7">
        <f>SUMIFS(HR!I$2:I$17,HR!$A$2:$A$17,$A57,HR!$B$2:$B$17,$B57)</f>
        <v>6</v>
      </c>
      <c r="D57" s="32">
        <f>SUMIFS(HR!AN5:AN20,HR!$A$2:$A$17,$A57,HR!$B$2:$B$17,$B57)</f>
        <v>3.8</v>
      </c>
      <c r="E57" s="18"/>
      <c r="F57" s="18"/>
      <c r="G57" s="18"/>
    </row>
    <row r="58" spans="1:7" x14ac:dyDescent="0.2">
      <c r="A58" s="3"/>
      <c r="B58" s="18" t="s">
        <v>117</v>
      </c>
      <c r="C58" s="50">
        <f>AVERAGE(C54:C57)</f>
        <v>18.75</v>
      </c>
      <c r="D58" s="50">
        <f>AVERAGE(D54:D57)</f>
        <v>4.125</v>
      </c>
      <c r="E58" s="18"/>
      <c r="F58" s="18"/>
      <c r="G58" s="18"/>
    </row>
    <row r="59" spans="1:7" x14ac:dyDescent="0.2">
      <c r="A59" s="18"/>
      <c r="B59" s="18"/>
      <c r="C59" s="18"/>
      <c r="D59" s="18"/>
      <c r="E59" s="18"/>
      <c r="F59" s="18"/>
      <c r="G59" s="18"/>
    </row>
    <row r="60" spans="1:7" x14ac:dyDescent="0.2">
      <c r="A60" s="18"/>
      <c r="B60" s="18"/>
      <c r="C60" s="18"/>
      <c r="D60" s="18"/>
      <c r="E60" s="18"/>
      <c r="F60" s="18"/>
      <c r="G60" s="18"/>
    </row>
    <row r="61" spans="1:7" x14ac:dyDescent="0.2">
      <c r="A61" s="37" t="s">
        <v>0</v>
      </c>
      <c r="B61" s="37" t="s">
        <v>14</v>
      </c>
      <c r="C61" s="37" t="s">
        <v>86</v>
      </c>
      <c r="D61" s="37" t="s">
        <v>87</v>
      </c>
      <c r="E61" s="18"/>
      <c r="F61" s="18"/>
      <c r="G61" s="18"/>
    </row>
    <row r="62" spans="1:7" x14ac:dyDescent="0.2">
      <c r="A62" s="3" t="str">
        <f>Summary!$B$7</f>
        <v>England</v>
      </c>
      <c r="B62" s="19">
        <f>Lists!H2</f>
        <v>43831</v>
      </c>
      <c r="C62" s="18">
        <f>SUMIFS(Staff!F$2:F$121,Staff!$A$2:$A$121,$A62,Staff!$B$2:$B$121,$B62)</f>
        <v>-2</v>
      </c>
      <c r="D62" s="18">
        <f>SUMIFS(Staff!G$2:G$121,Staff!$A$2:$A$121,$A62,Staff!$B$2:$B$121,$B62)</f>
        <v>7</v>
      </c>
      <c r="E62" s="18"/>
      <c r="F62" s="18"/>
      <c r="G62" s="18"/>
    </row>
    <row r="63" spans="1:7" x14ac:dyDescent="0.2">
      <c r="A63" s="3" t="str">
        <f>Summary!$B$7</f>
        <v>England</v>
      </c>
      <c r="B63" s="19">
        <f>Lists!H3</f>
        <v>43862</v>
      </c>
      <c r="C63" s="18">
        <f>SUMIFS(Staff!F$2:F$121,Staff!$A$2:$A$121,$A63,Staff!$B$2:$B$121,$B63)</f>
        <v>-3</v>
      </c>
      <c r="D63" s="18">
        <f>SUMIFS(Staff!G$2:G$121,Staff!$A$2:$A$121,$A63,Staff!$B$2:$B$121,$B63)</f>
        <v>4</v>
      </c>
      <c r="E63" s="18"/>
      <c r="F63" s="18"/>
      <c r="G63" s="18"/>
    </row>
    <row r="64" spans="1:7" x14ac:dyDescent="0.2">
      <c r="A64" s="3" t="str">
        <f>Summary!$B$7</f>
        <v>England</v>
      </c>
      <c r="B64" s="19">
        <f>Lists!H4</f>
        <v>43891</v>
      </c>
      <c r="C64" s="18">
        <f>SUMIFS(Staff!F$2:F$121,Staff!$A$2:$A$121,$A64,Staff!$B$2:$B$121,$B64)</f>
        <v>0</v>
      </c>
      <c r="D64" s="18">
        <f>SUMIFS(Staff!G$2:G$121,Staff!$A$2:$A$121,$A64,Staff!$B$2:$B$121,$B64)</f>
        <v>2</v>
      </c>
      <c r="E64" s="18"/>
      <c r="F64" s="18"/>
      <c r="G64" s="18"/>
    </row>
    <row r="65" spans="1:7" x14ac:dyDescent="0.2">
      <c r="A65" s="3" t="str">
        <f>Summary!$B$7</f>
        <v>England</v>
      </c>
      <c r="B65" s="19">
        <f>Lists!H5</f>
        <v>43922</v>
      </c>
      <c r="C65" s="18">
        <f>SUMIFS(Staff!F$2:F$121,Staff!$A$2:$A$121,$A65,Staff!$B$2:$B$121,$B65)</f>
        <v>-3</v>
      </c>
      <c r="D65" s="18">
        <f>SUMIFS(Staff!G$2:G$121,Staff!$A$2:$A$121,$A65,Staff!$B$2:$B$121,$B65)</f>
        <v>3</v>
      </c>
      <c r="E65" s="18"/>
      <c r="F65" s="18"/>
      <c r="G65" s="18"/>
    </row>
    <row r="66" spans="1:7" x14ac:dyDescent="0.2">
      <c r="A66" s="3" t="str">
        <f>Summary!$B$7</f>
        <v>England</v>
      </c>
      <c r="B66" s="19">
        <f>Lists!H6</f>
        <v>43952</v>
      </c>
      <c r="C66" s="18">
        <f>SUMIFS(Staff!F$2:F$121,Staff!$A$2:$A$121,$A66,Staff!$B$2:$B$121,$B66)</f>
        <v>-3</v>
      </c>
      <c r="D66" s="18">
        <f>SUMIFS(Staff!G$2:G$121,Staff!$A$2:$A$121,$A66,Staff!$B$2:$B$121,$B66)</f>
        <v>3</v>
      </c>
      <c r="E66" s="18"/>
      <c r="F66" s="18"/>
      <c r="G66" s="18"/>
    </row>
    <row r="67" spans="1:7" x14ac:dyDescent="0.2">
      <c r="A67" s="3" t="str">
        <f>Summary!$B$7</f>
        <v>England</v>
      </c>
      <c r="B67" s="19">
        <f>Lists!H7</f>
        <v>43983</v>
      </c>
      <c r="C67" s="18">
        <f>SUMIFS(Staff!F$2:F$121,Staff!$A$2:$A$121,$A67,Staff!$B$2:$B$121,$B67)</f>
        <v>-3</v>
      </c>
      <c r="D67" s="18">
        <f>SUMIFS(Staff!G$2:G$121,Staff!$A$2:$A$121,$A67,Staff!$B$2:$B$121,$B67)</f>
        <v>2</v>
      </c>
      <c r="E67" s="18"/>
      <c r="F67" s="18"/>
      <c r="G67" s="18"/>
    </row>
    <row r="68" spans="1:7" x14ac:dyDescent="0.2">
      <c r="A68" s="3" t="str">
        <f>Summary!$B$7</f>
        <v>England</v>
      </c>
      <c r="B68" s="19">
        <f>Lists!H8</f>
        <v>44013</v>
      </c>
      <c r="C68" s="18">
        <f>SUMIFS(Staff!F$2:F$121,Staff!$A$2:$A$121,$A68,Staff!$B$2:$B$121,$B68)</f>
        <v>-3</v>
      </c>
      <c r="D68" s="18">
        <f>SUMIFS(Staff!G$2:G$121,Staff!$A$2:$A$121,$A68,Staff!$B$2:$B$121,$B68)</f>
        <v>2</v>
      </c>
      <c r="E68" s="18"/>
      <c r="F68" s="18"/>
      <c r="G68" s="18"/>
    </row>
    <row r="69" spans="1:7" x14ac:dyDescent="0.2">
      <c r="A69" s="3" t="str">
        <f>Summary!$B$7</f>
        <v>England</v>
      </c>
      <c r="B69" s="19">
        <f>Lists!H9</f>
        <v>44044</v>
      </c>
      <c r="C69" s="18">
        <f>SUMIFS(Staff!F$2:F$121,Staff!$A$2:$A$121,$A69,Staff!$B$2:$B$121,$B69)</f>
        <v>-2</v>
      </c>
      <c r="D69" s="18">
        <f>SUMIFS(Staff!G$2:G$121,Staff!$A$2:$A$121,$A69,Staff!$B$2:$B$121,$B69)</f>
        <v>4</v>
      </c>
      <c r="E69" s="18"/>
      <c r="F69" s="18"/>
      <c r="G69" s="18"/>
    </row>
    <row r="70" spans="1:7" x14ac:dyDescent="0.2">
      <c r="A70" s="3" t="str">
        <f>Summary!$B$7</f>
        <v>England</v>
      </c>
      <c r="B70" s="19">
        <f>Lists!H10</f>
        <v>44075</v>
      </c>
      <c r="C70" s="18">
        <f>SUMIFS(Staff!F$2:F$121,Staff!$A$2:$A$121,$A70,Staff!$B$2:$B$121,$B70)</f>
        <v>-3</v>
      </c>
      <c r="D70" s="18">
        <f>SUMIFS(Staff!G$2:G$121,Staff!$A$2:$A$121,$A70,Staff!$B$2:$B$121,$B70)</f>
        <v>1</v>
      </c>
      <c r="E70" s="18"/>
      <c r="F70" s="18"/>
      <c r="G70" s="18"/>
    </row>
    <row r="71" spans="1:7" x14ac:dyDescent="0.2">
      <c r="A71" s="3" t="str">
        <f>Summary!$B$7</f>
        <v>England</v>
      </c>
      <c r="B71" s="19">
        <f>Lists!H11</f>
        <v>44105</v>
      </c>
      <c r="C71" s="18">
        <f>SUMIFS(Staff!F$2:F$121,Staff!$A$2:$A$121,$A71,Staff!$B$2:$B$121,$B71)</f>
        <v>-3</v>
      </c>
      <c r="D71" s="18">
        <f>SUMIFS(Staff!G$2:G$121,Staff!$A$2:$A$121,$A71,Staff!$B$2:$B$121,$B71)</f>
        <v>4</v>
      </c>
      <c r="E71" s="18"/>
      <c r="F71" s="18"/>
      <c r="G71" s="18"/>
    </row>
    <row r="72" spans="1:7" x14ac:dyDescent="0.2">
      <c r="A72" s="3" t="str">
        <f>Summary!$B$7</f>
        <v>England</v>
      </c>
      <c r="B72" s="19">
        <f>Lists!H12</f>
        <v>44136</v>
      </c>
      <c r="C72" s="18">
        <f>SUMIFS(Staff!F$2:F$121,Staff!$A$2:$A$121,$A72,Staff!$B$2:$B$121,$B72)</f>
        <v>-3</v>
      </c>
      <c r="D72" s="18">
        <f>SUMIFS(Staff!G$2:G$121,Staff!$A$2:$A$121,$A72,Staff!$B$2:$B$121,$B72)</f>
        <v>1</v>
      </c>
      <c r="E72" s="18"/>
      <c r="F72" s="18"/>
      <c r="G72" s="18"/>
    </row>
    <row r="73" spans="1:7" x14ac:dyDescent="0.2">
      <c r="A73" s="3" t="str">
        <f>Summary!$B$7</f>
        <v>England</v>
      </c>
      <c r="B73" s="19">
        <f>Lists!H13</f>
        <v>44166</v>
      </c>
      <c r="C73" s="18">
        <f>SUMIFS(Staff!F$2:F$121,Staff!$A$2:$A$121,$A73,Staff!$B$2:$B$121,$B73)</f>
        <v>-3</v>
      </c>
      <c r="D73" s="18">
        <f>SUMIFS(Staff!G$2:G$121,Staff!$A$2:$A$121,$A73,Staff!$B$2:$B$121,$B73)</f>
        <v>2</v>
      </c>
      <c r="E73" s="18"/>
      <c r="F73" s="18"/>
      <c r="G73" s="18"/>
    </row>
    <row r="74" spans="1:7" x14ac:dyDescent="0.2">
      <c r="A74" s="3"/>
      <c r="B74" s="19">
        <f>Lists!H14</f>
        <v>0</v>
      </c>
      <c r="C74" s="27">
        <f t="shared" ref="C74:D74" si="2">SUM(C62:C73)</f>
        <v>-31</v>
      </c>
      <c r="D74" s="27">
        <f t="shared" si="2"/>
        <v>35</v>
      </c>
      <c r="E74" s="18"/>
      <c r="F74" s="18"/>
      <c r="G74" s="18"/>
    </row>
    <row r="77" spans="1:7" x14ac:dyDescent="0.2">
      <c r="A77" s="37" t="s">
        <v>0</v>
      </c>
      <c r="B77" s="37" t="s">
        <v>64</v>
      </c>
      <c r="C77" s="33" t="s">
        <v>99</v>
      </c>
      <c r="D77" s="33" t="s">
        <v>100</v>
      </c>
      <c r="E77" s="33" t="s">
        <v>101</v>
      </c>
      <c r="F77" s="33" t="s">
        <v>102</v>
      </c>
      <c r="G77" s="29" t="s">
        <v>103</v>
      </c>
    </row>
    <row r="78" spans="1:7" x14ac:dyDescent="0.2">
      <c r="A78" s="3" t="str">
        <f>Summary!$B$7</f>
        <v>England</v>
      </c>
      <c r="B78" s="18" t="s">
        <v>7</v>
      </c>
      <c r="C78" s="7">
        <f>SUMIFS(HR!AO$2:AO$17,HR!$A$2:$A$17,$A78,HR!$B$2:$B$17,$B78)</f>
        <v>21.6</v>
      </c>
      <c r="D78" s="7">
        <f>SUMIFS(HR!AP$2:AP$17,HR!$A$2:$A$17,$A78,HR!$B$2:$B$17,$B78)</f>
        <v>32.4</v>
      </c>
      <c r="E78" s="7">
        <f>SUMIFS(HR!AQ$2:AQ$17,HR!$A$2:$A$17,$A78,HR!$B$2:$B$17,$B78)</f>
        <v>32.4</v>
      </c>
      <c r="F78" s="7">
        <f>SUMIFS(HR!AR$2:AR$17,HR!$A$2:$A$17,$A78,HR!$B$2:$B$17,$B78)</f>
        <v>10.8</v>
      </c>
      <c r="G78" s="7">
        <f>SUMIFS(HR!AS$2:AS$17,HR!$A$2:$A$17,$A78,HR!$B$2:$B$17,$B78)</f>
        <v>10.8</v>
      </c>
    </row>
    <row r="79" spans="1:7" x14ac:dyDescent="0.2">
      <c r="A79" s="3" t="str">
        <f>Summary!$B$7</f>
        <v>England</v>
      </c>
      <c r="B79" s="18" t="s">
        <v>8</v>
      </c>
      <c r="C79" s="7">
        <f>SUMIFS(HR!AO$2:AO$17,HR!$A$2:$A$17,$A79,HR!$B$2:$B$17,$B79)</f>
        <v>13.75</v>
      </c>
      <c r="D79" s="7">
        <f>SUMIFS(HR!AP$2:AP$17,HR!$A$2:$A$17,$A79,HR!$B$2:$B$17,$B79)</f>
        <v>6.6</v>
      </c>
      <c r="E79" s="7">
        <f>SUMIFS(HR!AQ$2:AQ$17,HR!$A$2:$A$17,$A79,HR!$B$2:$B$17,$B79)</f>
        <v>11</v>
      </c>
      <c r="F79" s="7">
        <f>SUMIFS(HR!AR$2:AR$17,HR!$A$2:$A$17,$A79,HR!$B$2:$B$17,$B79)</f>
        <v>12.1</v>
      </c>
      <c r="G79" s="7">
        <f>SUMIFS(HR!AS$2:AS$17,HR!$A$2:$A$17,$A79,HR!$B$2:$B$17,$B79)</f>
        <v>11.549999999999997</v>
      </c>
    </row>
    <row r="80" spans="1:7" x14ac:dyDescent="0.2">
      <c r="A80" s="3" t="str">
        <f>Summary!$B$7</f>
        <v>England</v>
      </c>
      <c r="B80" s="18" t="s">
        <v>9</v>
      </c>
      <c r="C80" s="7">
        <f>SUMIFS(HR!AO$2:AO$17,HR!$A$2:$A$17,$A80,HR!$B$2:$B$17,$B80)</f>
        <v>2.64</v>
      </c>
      <c r="D80" s="7">
        <f>SUMIFS(HR!AP$2:AP$17,HR!$A$2:$A$17,$A80,HR!$B$2:$B$17,$B80)</f>
        <v>6.6000000000000005</v>
      </c>
      <c r="E80" s="7">
        <f>SUMIFS(HR!AQ$2:AQ$17,HR!$A$2:$A$17,$A80,HR!$B$2:$B$17,$B80)</f>
        <v>6.2700000000000005</v>
      </c>
      <c r="F80" s="7">
        <f>SUMIFS(HR!AR$2:AR$17,HR!$A$2:$A$17,$A80,HR!$B$2:$B$17,$B80)</f>
        <v>4.62</v>
      </c>
      <c r="G80" s="7">
        <f>SUMIFS(HR!AS$2:AS$17,HR!$A$2:$A$17,$A80,HR!$B$2:$B$17,$B80)</f>
        <v>12.869999999999997</v>
      </c>
    </row>
    <row r="81" spans="1:7" x14ac:dyDescent="0.2">
      <c r="A81" s="3" t="str">
        <f>Summary!$B$7</f>
        <v>England</v>
      </c>
      <c r="B81" s="18" t="s">
        <v>10</v>
      </c>
      <c r="C81" s="7">
        <f>SUMIFS(HR!AO$2:AO$17,HR!$A$2:$A$17,$A81,HR!$B$2:$B$17,$B81)</f>
        <v>14.190000000000001</v>
      </c>
      <c r="D81" s="7">
        <f>SUMIFS(HR!AP$2:AP$17,HR!$A$2:$A$17,$A81,HR!$B$2:$B$17,$B81)</f>
        <v>12.469999999999999</v>
      </c>
      <c r="E81" s="7">
        <f>SUMIFS(HR!AQ$2:AQ$17,HR!$A$2:$A$17,$A81,HR!$B$2:$B$17,$B81)</f>
        <v>3.0100000000000002</v>
      </c>
      <c r="F81" s="7">
        <f>SUMIFS(HR!AR$2:AR$17,HR!$A$2:$A$17,$A81,HR!$B$2:$B$17,$B81)</f>
        <v>3.8699999999999997</v>
      </c>
      <c r="G81" s="7">
        <f>SUMIFS(HR!AS$2:AS$17,HR!$A$2:$A$17,$A81,HR!$B$2:$B$17,$B81)</f>
        <v>9.4600000000000044</v>
      </c>
    </row>
    <row r="83" spans="1:7" ht="15" x14ac:dyDescent="0.25">
      <c r="A83" s="37" t="s">
        <v>0</v>
      </c>
      <c r="B83" s="39" t="s">
        <v>115</v>
      </c>
      <c r="C83" s="39" t="s">
        <v>114</v>
      </c>
      <c r="D83" s="39" t="s">
        <v>116</v>
      </c>
    </row>
    <row r="84" spans="1:7" ht="15" x14ac:dyDescent="0.25">
      <c r="A84" t="s">
        <v>6</v>
      </c>
      <c r="B84" s="42">
        <v>27</v>
      </c>
      <c r="C84" s="41">
        <v>0.09</v>
      </c>
      <c r="D84" s="41">
        <v>0.88</v>
      </c>
    </row>
    <row r="85" spans="1:7" ht="15" x14ac:dyDescent="0.25">
      <c r="A85" t="s">
        <v>11</v>
      </c>
      <c r="B85" s="42">
        <v>28</v>
      </c>
      <c r="C85" s="41">
        <v>7.0000000000000007E-2</v>
      </c>
      <c r="D85" s="41">
        <v>0.84</v>
      </c>
    </row>
    <row r="86" spans="1:7" ht="15" x14ac:dyDescent="0.25">
      <c r="A86" t="s">
        <v>12</v>
      </c>
      <c r="B86" s="42">
        <v>29</v>
      </c>
      <c r="C86" s="41">
        <v>0.08</v>
      </c>
      <c r="D86" s="41">
        <v>0.82</v>
      </c>
    </row>
    <row r="87" spans="1:7" ht="15" x14ac:dyDescent="0.25">
      <c r="A87" t="s">
        <v>13</v>
      </c>
      <c r="B87" s="42">
        <v>30</v>
      </c>
      <c r="C87" s="41">
        <v>0.1</v>
      </c>
      <c r="D87" s="41">
        <v>0.91</v>
      </c>
    </row>
    <row r="88" spans="1:7" x14ac:dyDescent="0.2">
      <c r="C88" s="35"/>
      <c r="D88" s="35"/>
    </row>
    <row r="89" spans="1:7" x14ac:dyDescent="0.2">
      <c r="A89" s="3" t="str">
        <f>Summary!$B$7</f>
        <v>England</v>
      </c>
      <c r="B89">
        <f>SUMIFS(B84:B87,$A$84:$A$87,$A$89)</f>
        <v>27</v>
      </c>
      <c r="C89" s="35">
        <f t="shared" ref="C89:D89" si="3">SUMIFS(C84:C87,$A$84:$A$87,$A$89)</f>
        <v>0.09</v>
      </c>
      <c r="D89" s="35">
        <f t="shared" si="3"/>
        <v>0.88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tabColor rgb="FF92D050"/>
  </sheetPr>
  <dimension ref="A1:G46"/>
  <sheetViews>
    <sheetView workbookViewId="0">
      <selection activeCell="C9" sqref="C9"/>
    </sheetView>
  </sheetViews>
  <sheetFormatPr defaultRowHeight="15" x14ac:dyDescent="0.25"/>
  <cols>
    <col min="1" max="1" width="15.7109375" style="38" bestFit="1" customWidth="1"/>
    <col min="2" max="2" width="11.7109375" style="38" bestFit="1" customWidth="1"/>
    <col min="3" max="4" width="9.5703125" style="38" bestFit="1" customWidth="1"/>
    <col min="5" max="6" width="9.140625" style="38"/>
    <col min="7" max="7" width="9.5703125" style="38" bestFit="1" customWidth="1"/>
    <col min="8" max="16384" width="9.140625" style="38"/>
  </cols>
  <sheetData>
    <row r="1" spans="1:7" x14ac:dyDescent="0.25">
      <c r="A1" s="39" t="s">
        <v>115</v>
      </c>
      <c r="B1" s="39">
        <v>2016</v>
      </c>
    </row>
    <row r="2" spans="1:7" x14ac:dyDescent="0.25">
      <c r="A2" s="38" t="s">
        <v>113</v>
      </c>
      <c r="B2" s="43">
        <v>15</v>
      </c>
      <c r="E2" s="42"/>
      <c r="G2" s="40"/>
    </row>
    <row r="3" spans="1:7" x14ac:dyDescent="0.25">
      <c r="A3" s="38" t="s">
        <v>107</v>
      </c>
      <c r="B3" s="43">
        <v>30</v>
      </c>
      <c r="E3" s="42"/>
      <c r="G3" s="40"/>
    </row>
    <row r="4" spans="1:7" x14ac:dyDescent="0.25">
      <c r="A4" s="38" t="s">
        <v>45</v>
      </c>
      <c r="B4" s="43">
        <f>Calcs!B89</f>
        <v>27</v>
      </c>
      <c r="E4" s="42"/>
      <c r="G4" s="40"/>
    </row>
    <row r="5" spans="1:7" x14ac:dyDescent="0.25">
      <c r="A5" s="38" t="s">
        <v>112</v>
      </c>
      <c r="B5" s="43">
        <v>32</v>
      </c>
      <c r="E5" s="42"/>
      <c r="G5" s="40"/>
    </row>
    <row r="6" spans="1:7" x14ac:dyDescent="0.25">
      <c r="E6" s="42"/>
    </row>
    <row r="8" spans="1:7" x14ac:dyDescent="0.25">
      <c r="A8" s="38" t="s">
        <v>111</v>
      </c>
      <c r="B8" s="42">
        <f>B5</f>
        <v>32</v>
      </c>
    </row>
    <row r="9" spans="1:7" x14ac:dyDescent="0.25">
      <c r="A9" s="38" t="s">
        <v>110</v>
      </c>
      <c r="B9" s="38">
        <v>2</v>
      </c>
    </row>
    <row r="11" spans="1:7" x14ac:dyDescent="0.25">
      <c r="A11" s="39" t="s">
        <v>109</v>
      </c>
      <c r="B11" s="39" t="s">
        <v>45</v>
      </c>
      <c r="C11" s="39" t="s">
        <v>108</v>
      </c>
      <c r="D11" s="39" t="s">
        <v>107</v>
      </c>
    </row>
    <row r="12" spans="1:7" x14ac:dyDescent="0.25">
      <c r="A12" s="38" t="s">
        <v>106</v>
      </c>
      <c r="B12" s="45">
        <v>0</v>
      </c>
      <c r="C12" s="45">
        <f>B2</f>
        <v>15</v>
      </c>
      <c r="D12" s="45">
        <f>MAX(B3-C12,0)</f>
        <v>15</v>
      </c>
    </row>
    <row r="13" spans="1:7" x14ac:dyDescent="0.25">
      <c r="A13" s="38" t="s">
        <v>45</v>
      </c>
      <c r="B13" s="45">
        <f>B4</f>
        <v>27</v>
      </c>
      <c r="C13" s="45">
        <f>MAX($B$2-MAX(0,$B$4),0)</f>
        <v>0</v>
      </c>
      <c r="D13" s="45">
        <f>MAX(MIN($B3-$B2,$B3-$B4),0)</f>
        <v>3</v>
      </c>
    </row>
    <row r="14" spans="1:7" x14ac:dyDescent="0.25">
      <c r="A14" s="38" t="s">
        <v>105</v>
      </c>
      <c r="B14" s="45">
        <f>B12</f>
        <v>0</v>
      </c>
      <c r="C14" s="45">
        <f>C12</f>
        <v>15</v>
      </c>
      <c r="D14" s="45">
        <f>D12</f>
        <v>15</v>
      </c>
    </row>
    <row r="17" spans="1:5" x14ac:dyDescent="0.25">
      <c r="A17" s="39" t="s">
        <v>114</v>
      </c>
      <c r="B17" s="39">
        <v>2016</v>
      </c>
    </row>
    <row r="18" spans="1:5" x14ac:dyDescent="0.25">
      <c r="A18" s="38" t="s">
        <v>113</v>
      </c>
      <c r="B18" s="44">
        <v>0.05</v>
      </c>
      <c r="E18" s="41"/>
    </row>
    <row r="19" spans="1:5" x14ac:dyDescent="0.25">
      <c r="A19" s="38" t="s">
        <v>107</v>
      </c>
      <c r="B19" s="44">
        <v>7.0000000000000007E-2</v>
      </c>
      <c r="E19" s="41"/>
    </row>
    <row r="20" spans="1:5" x14ac:dyDescent="0.25">
      <c r="A20" s="38" t="s">
        <v>45</v>
      </c>
      <c r="B20" s="44">
        <f>Calcs!C89</f>
        <v>0.09</v>
      </c>
      <c r="E20" s="41"/>
    </row>
    <row r="21" spans="1:5" x14ac:dyDescent="0.25">
      <c r="A21" s="38" t="s">
        <v>112</v>
      </c>
      <c r="B21" s="44">
        <v>0.08</v>
      </c>
      <c r="E21" s="41"/>
    </row>
    <row r="24" spans="1:5" x14ac:dyDescent="0.25">
      <c r="A24" s="38" t="s">
        <v>111</v>
      </c>
      <c r="B24" s="44">
        <f>B21</f>
        <v>0.08</v>
      </c>
    </row>
    <row r="25" spans="1:5" x14ac:dyDescent="0.25">
      <c r="A25" s="38" t="s">
        <v>110</v>
      </c>
      <c r="B25" s="38">
        <v>2</v>
      </c>
    </row>
    <row r="27" spans="1:5" x14ac:dyDescent="0.25">
      <c r="A27" s="39" t="s">
        <v>109</v>
      </c>
      <c r="B27" s="39" t="s">
        <v>45</v>
      </c>
      <c r="C27" s="39" t="s">
        <v>108</v>
      </c>
      <c r="D27" s="39" t="s">
        <v>107</v>
      </c>
    </row>
    <row r="28" spans="1:5" x14ac:dyDescent="0.25">
      <c r="A28" s="38" t="s">
        <v>106</v>
      </c>
      <c r="B28" s="35">
        <v>0</v>
      </c>
      <c r="C28" s="35">
        <f>B18</f>
        <v>0.05</v>
      </c>
      <c r="D28" s="35">
        <f>MAX(B19-C28,0)</f>
        <v>2.0000000000000004E-2</v>
      </c>
    </row>
    <row r="29" spans="1:5" x14ac:dyDescent="0.25">
      <c r="A29" s="38" t="s">
        <v>45</v>
      </c>
      <c r="B29" s="35">
        <f>B20</f>
        <v>0.09</v>
      </c>
      <c r="C29" s="35">
        <f>MAX($B$2-MAX(0,$B$4),0)</f>
        <v>0</v>
      </c>
      <c r="D29" s="35">
        <f>MAX(MIN($B19-$B18,$B19-$B20),0)</f>
        <v>0</v>
      </c>
    </row>
    <row r="30" spans="1:5" x14ac:dyDescent="0.25">
      <c r="A30" s="38" t="s">
        <v>105</v>
      </c>
      <c r="B30" s="35">
        <f>B28</f>
        <v>0</v>
      </c>
      <c r="C30" s="35">
        <f>C28</f>
        <v>0.05</v>
      </c>
      <c r="D30" s="35">
        <f>D28</f>
        <v>2.0000000000000004E-2</v>
      </c>
    </row>
    <row r="33" spans="1:5" x14ac:dyDescent="0.25">
      <c r="A33" s="39" t="s">
        <v>116</v>
      </c>
      <c r="B33" s="39">
        <v>2016</v>
      </c>
    </row>
    <row r="34" spans="1:5" x14ac:dyDescent="0.25">
      <c r="A34" s="38" t="s">
        <v>108</v>
      </c>
      <c r="B34" s="41">
        <v>0.5</v>
      </c>
      <c r="E34" s="41"/>
    </row>
    <row r="35" spans="1:5" x14ac:dyDescent="0.25">
      <c r="A35" s="38" t="s">
        <v>107</v>
      </c>
      <c r="B35" s="41">
        <v>0.75</v>
      </c>
      <c r="E35" s="41"/>
    </row>
    <row r="36" spans="1:5" x14ac:dyDescent="0.25">
      <c r="A36" s="38" t="s">
        <v>45</v>
      </c>
      <c r="B36" s="41">
        <f>Calcs!D89</f>
        <v>0.88</v>
      </c>
      <c r="E36" s="41"/>
    </row>
    <row r="37" spans="1:5" x14ac:dyDescent="0.25">
      <c r="A37" s="38" t="s">
        <v>112</v>
      </c>
      <c r="B37" s="41">
        <v>0.85</v>
      </c>
      <c r="E37" s="41"/>
    </row>
    <row r="40" spans="1:5" x14ac:dyDescent="0.25">
      <c r="A40" s="38" t="s">
        <v>111</v>
      </c>
      <c r="B40" s="44">
        <f>B37</f>
        <v>0.85</v>
      </c>
    </row>
    <row r="41" spans="1:5" x14ac:dyDescent="0.25">
      <c r="A41" s="38" t="s">
        <v>110</v>
      </c>
      <c r="B41" s="38">
        <v>2</v>
      </c>
    </row>
    <row r="43" spans="1:5" x14ac:dyDescent="0.25">
      <c r="A43" s="39" t="s">
        <v>109</v>
      </c>
      <c r="B43" s="39" t="s">
        <v>45</v>
      </c>
      <c r="C43" s="39" t="s">
        <v>108</v>
      </c>
      <c r="D43" s="39" t="s">
        <v>107</v>
      </c>
    </row>
    <row r="44" spans="1:5" x14ac:dyDescent="0.25">
      <c r="A44" s="38" t="s">
        <v>106</v>
      </c>
      <c r="B44" s="35">
        <v>0</v>
      </c>
      <c r="C44" s="35">
        <f>B34</f>
        <v>0.5</v>
      </c>
      <c r="D44" s="35">
        <f>MAX(B35-C44,0)</f>
        <v>0.25</v>
      </c>
    </row>
    <row r="45" spans="1:5" x14ac:dyDescent="0.25">
      <c r="A45" s="38" t="s">
        <v>45</v>
      </c>
      <c r="B45" s="35">
        <f>B36</f>
        <v>0.88</v>
      </c>
      <c r="C45" s="35">
        <f>MAX($B$2-MAX(0,$B$4),0)</f>
        <v>0</v>
      </c>
      <c r="D45" s="35">
        <f>MAX(MIN($B35-$B34,$B35-$B36),0)</f>
        <v>0</v>
      </c>
    </row>
    <row r="46" spans="1:5" x14ac:dyDescent="0.25">
      <c r="A46" s="38" t="s">
        <v>105</v>
      </c>
      <c r="B46" s="35">
        <f>B44</f>
        <v>0</v>
      </c>
      <c r="C46" s="35">
        <f>C44</f>
        <v>0.5</v>
      </c>
      <c r="D46" s="35">
        <f>D44</f>
        <v>0.25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35C3E-AA71-44E9-849A-13A3D2F145CD}">
  <sheetPr codeName="Sheet8">
    <tabColor theme="1"/>
  </sheetPr>
  <dimension ref="B1:J62"/>
  <sheetViews>
    <sheetView topLeftCell="A20" workbookViewId="0">
      <selection activeCell="J38" sqref="J38"/>
    </sheetView>
  </sheetViews>
  <sheetFormatPr defaultRowHeight="12.75" x14ac:dyDescent="0.2"/>
  <cols>
    <col min="1" max="1" width="5.28515625" customWidth="1"/>
    <col min="2" max="2" width="13.5703125" customWidth="1"/>
    <col min="3" max="3" width="10" customWidth="1"/>
    <col min="4" max="4" width="13.5703125" customWidth="1"/>
    <col min="5" max="6" width="17" customWidth="1"/>
    <col min="7" max="8" width="13.7109375" customWidth="1"/>
    <col min="9" max="9" width="2.42578125" customWidth="1"/>
    <col min="10" max="45" width="10" customWidth="1"/>
  </cols>
  <sheetData>
    <row r="1" spans="2:10" x14ac:dyDescent="0.2">
      <c r="B1" s="65" t="s">
        <v>146</v>
      </c>
      <c r="C1" s="65" t="s">
        <v>147</v>
      </c>
      <c r="D1" s="65" t="s">
        <v>150</v>
      </c>
      <c r="E1" s="30" t="s">
        <v>24</v>
      </c>
      <c r="F1" s="30" t="s">
        <v>25</v>
      </c>
      <c r="G1" s="30" t="s">
        <v>26</v>
      </c>
      <c r="H1" s="30" t="s">
        <v>27</v>
      </c>
      <c r="J1" s="30" t="s">
        <v>133</v>
      </c>
    </row>
    <row r="2" spans="2:10" x14ac:dyDescent="0.2">
      <c r="B2" s="18" t="s">
        <v>69</v>
      </c>
      <c r="C2" t="str">
        <f>Calcs!$K$2</f>
        <v>England</v>
      </c>
      <c r="D2" s="18" t="str">
        <f>Summary!$D$6</f>
        <v>Finance</v>
      </c>
      <c r="E2" s="45">
        <f>SUMPRODUCT((HR!$C$1:$AS$1=E1)*(HR!$A$2:$A$18=$C2)*(HR!$B$2:$B$18=$D$2)*(HR!$C$2:$AS$18))</f>
        <v>27</v>
      </c>
      <c r="F2" s="45">
        <f>SUMPRODUCT((HR!$C$1:$AS$1=F1)*(HR!$A$2:$A$18=$C2)*(HR!$B$2:$B$18=$D$2)*(HR!$C$2:$AS$18))</f>
        <v>39</v>
      </c>
      <c r="G2" s="45">
        <f>SUMPRODUCT((HR!$C$1:$AS$1=G1)*(HR!$A$2:$A$18=$C2)*(HR!$B$2:$B$18=$D$2)*(HR!$C$2:$AS$18))</f>
        <v>55</v>
      </c>
      <c r="H2" s="45">
        <f>SUMPRODUCT((HR!$C$1:$AS$1=H1)*(HR!$A$2:$A$18=$C2)*(HR!$B$2:$B$18=$D$2)*(HR!$C$2:$AS$18))</f>
        <v>78</v>
      </c>
    </row>
    <row r="4" spans="2:10" x14ac:dyDescent="0.2">
      <c r="B4" t="s">
        <v>133</v>
      </c>
      <c r="E4" s="66">
        <f>E2-Calcs!D3</f>
        <v>0</v>
      </c>
      <c r="F4" s="66">
        <f>F2-Calcs!E3</f>
        <v>0</v>
      </c>
      <c r="G4" s="66">
        <f>G2-Calcs!F3</f>
        <v>0</v>
      </c>
      <c r="H4" s="66">
        <f>H2-Calcs!G3</f>
        <v>0</v>
      </c>
      <c r="J4" s="66">
        <f>SUM(E4:I4)</f>
        <v>0</v>
      </c>
    </row>
    <row r="5" spans="2:10" x14ac:dyDescent="0.2">
      <c r="E5" s="66"/>
      <c r="F5" s="66"/>
      <c r="G5" s="66"/>
      <c r="H5" s="66"/>
      <c r="J5" s="66"/>
    </row>
    <row r="6" spans="2:10" x14ac:dyDescent="0.2">
      <c r="B6" s="65" t="s">
        <v>146</v>
      </c>
      <c r="C6" s="65" t="s">
        <v>147</v>
      </c>
      <c r="D6" s="65" t="s">
        <v>150</v>
      </c>
      <c r="E6" s="30" t="s">
        <v>20</v>
      </c>
      <c r="F6" s="30" t="s">
        <v>21</v>
      </c>
      <c r="G6" s="30" t="s">
        <v>22</v>
      </c>
      <c r="H6" s="30" t="s">
        <v>23</v>
      </c>
      <c r="J6" s="30" t="s">
        <v>133</v>
      </c>
    </row>
    <row r="7" spans="2:10" x14ac:dyDescent="0.2">
      <c r="B7" s="18" t="str">
        <f>Summary!$D$6</f>
        <v>Finance</v>
      </c>
      <c r="C7" t="str">
        <f>Calcs!$K$2</f>
        <v>England</v>
      </c>
      <c r="D7" s="18" t="str">
        <f>Summary!$D$6</f>
        <v>Finance</v>
      </c>
      <c r="E7" s="45">
        <f>SUMPRODUCT((HR!$C$1:$AS$1=E6)*(HR!$A$2:$A$18=$C7)*(HR!$B$2:$B$18=$D$2)*(HR!$C$2:$AS$18))</f>
        <v>44</v>
      </c>
      <c r="F7" s="45">
        <f>SUMPRODUCT((HR!$C$1:$AS$1=F6)*(HR!$A$2:$A$18=$C7)*(HR!$B$2:$B$18=$D$2)*(HR!$C$2:$AS$18))</f>
        <v>47</v>
      </c>
      <c r="G7" s="45">
        <f>SUMPRODUCT((HR!$C$1:$AS$1=G6)*(HR!$A$2:$A$18=$C7)*(HR!$B$2:$B$18=$D$2)*(HR!$C$2:$AS$18))</f>
        <v>61</v>
      </c>
      <c r="H7" s="45">
        <f>SUMPRODUCT((HR!$C$1:$AS$1=H6)*(HR!$A$2:$A$18=$C7)*(HR!$B$2:$B$18=$D$2)*(HR!$C$2:$AS$18))</f>
        <v>86</v>
      </c>
    </row>
    <row r="9" spans="2:10" x14ac:dyDescent="0.2">
      <c r="B9" t="s">
        <v>133</v>
      </c>
      <c r="E9" s="66">
        <f>E7-Calcs!D4</f>
        <v>0</v>
      </c>
      <c r="F9" s="66">
        <f>F7-Calcs!E4</f>
        <v>0</v>
      </c>
      <c r="G9" s="66">
        <f>G7-Calcs!F4</f>
        <v>0</v>
      </c>
      <c r="H9" s="66">
        <f>H7-Calcs!G4</f>
        <v>0</v>
      </c>
      <c r="J9" s="66">
        <f>SUM(E9:I9)</f>
        <v>0</v>
      </c>
    </row>
    <row r="11" spans="2:10" x14ac:dyDescent="0.2">
      <c r="B11" s="65" t="s">
        <v>146</v>
      </c>
      <c r="C11" s="65" t="s">
        <v>147</v>
      </c>
      <c r="D11" s="65" t="s">
        <v>150</v>
      </c>
      <c r="E11" s="30" t="s">
        <v>28</v>
      </c>
      <c r="F11" s="30" t="s">
        <v>29</v>
      </c>
      <c r="G11" s="30" t="s">
        <v>30</v>
      </c>
      <c r="H11" s="30" t="s">
        <v>31</v>
      </c>
      <c r="J11" s="30" t="s">
        <v>133</v>
      </c>
    </row>
    <row r="12" spans="2:10" x14ac:dyDescent="0.2">
      <c r="B12" s="18" t="str">
        <f>Summary!$D$6</f>
        <v>Finance</v>
      </c>
      <c r="C12" t="str">
        <f>Calcs!$K$2</f>
        <v>England</v>
      </c>
      <c r="D12" s="18" t="str">
        <f>Summary!$D$6</f>
        <v>Finance</v>
      </c>
      <c r="E12" s="45">
        <f>SUMPRODUCT((HR!$C$1:$AS$1=E11)*(HR!$A$2:$A$18=$C12)*(HR!$B$2:$B$18=$D$2)*(HR!$C$2:$AS$18))</f>
        <v>50</v>
      </c>
      <c r="F12" s="45">
        <f>SUMPRODUCT((HR!$C$1:$AS$1=F11)*(HR!$A$2:$A$18=$C12)*(HR!$B$2:$B$18=$D$2)*(HR!$C$2:$AS$18))</f>
        <v>50</v>
      </c>
      <c r="G12" s="45">
        <f>SUMPRODUCT((HR!$C$1:$AS$1=G11)*(HR!$A$2:$A$18=$C12)*(HR!$B$2:$B$18=$D$2)*(HR!$C$2:$AS$18))</f>
        <v>42</v>
      </c>
      <c r="H12" s="45">
        <f>SUMPRODUCT((HR!$C$1:$AS$1=H11)*(HR!$A$2:$A$18=$C12)*(HR!$B$2:$B$18=$D$2)*(HR!$C$2:$AS$18))</f>
        <v>45</v>
      </c>
    </row>
    <row r="14" spans="2:10" x14ac:dyDescent="0.2">
      <c r="B14" t="s">
        <v>133</v>
      </c>
      <c r="E14" s="66">
        <f>E12-Calcs!D5</f>
        <v>0</v>
      </c>
      <c r="F14" s="66">
        <f>F12-Calcs!E5</f>
        <v>0</v>
      </c>
      <c r="G14" s="66">
        <f>G12-Calcs!F5</f>
        <v>0</v>
      </c>
      <c r="H14" s="66">
        <f>H12-Calcs!G5</f>
        <v>0</v>
      </c>
      <c r="J14" s="66">
        <f>SUM(E14:I14)</f>
        <v>0</v>
      </c>
    </row>
    <row r="15" spans="2:10" x14ac:dyDescent="0.2">
      <c r="B15" s="18"/>
      <c r="C15" s="45"/>
      <c r="D15" s="18"/>
    </row>
    <row r="16" spans="2:10" x14ac:dyDescent="0.2">
      <c r="B16" s="65" t="s">
        <v>146</v>
      </c>
      <c r="C16" s="65" t="s">
        <v>147</v>
      </c>
      <c r="D16" s="65" t="s">
        <v>150</v>
      </c>
      <c r="E16" s="30" t="s">
        <v>32</v>
      </c>
      <c r="F16" s="30" t="s">
        <v>33</v>
      </c>
      <c r="G16" s="30" t="s">
        <v>34</v>
      </c>
      <c r="H16" s="30" t="s">
        <v>35</v>
      </c>
      <c r="J16" s="30" t="s">
        <v>133</v>
      </c>
    </row>
    <row r="17" spans="2:10" x14ac:dyDescent="0.2">
      <c r="B17" s="18" t="str">
        <f>Summary!$D$6</f>
        <v>Finance</v>
      </c>
      <c r="C17" t="str">
        <f>Calcs!$K$2</f>
        <v>England</v>
      </c>
      <c r="D17" s="18" t="str">
        <f>Summary!$D$6</f>
        <v>Finance</v>
      </c>
      <c r="E17" s="45">
        <f>SUMPRODUCT((HR!$C$1:$AS$1=E16)*(HR!$A$2:$A$18=$C17)*(HR!$B$2:$B$18=$D$2)*(HR!$C$2:$AS$18))</f>
        <v>4</v>
      </c>
      <c r="F17" s="45">
        <f>SUMPRODUCT((HR!$C$1:$AS$1=F16)*(HR!$A$2:$A$18=$C17)*(HR!$B$2:$B$18=$D$2)*(HR!$C$2:$AS$18))</f>
        <v>4</v>
      </c>
      <c r="G17" s="45">
        <f>SUMPRODUCT((HR!$C$1:$AS$1=G16)*(HR!$A$2:$A$18=$C17)*(HR!$B$2:$B$18=$D$2)*(HR!$C$2:$AS$18))</f>
        <v>4.0999999999999996</v>
      </c>
      <c r="H17" s="45">
        <f>SUMPRODUCT((HR!$C$1:$AS$1=H16)*(HR!$A$2:$A$18=$C17)*(HR!$B$2:$B$18=$D$2)*(HR!$C$2:$AS$18))</f>
        <v>4.2</v>
      </c>
    </row>
    <row r="19" spans="2:10" x14ac:dyDescent="0.2">
      <c r="B19" t="s">
        <v>133</v>
      </c>
      <c r="E19" s="66">
        <f>E17-Calcs!D6</f>
        <v>0</v>
      </c>
      <c r="F19" s="66">
        <f>F17-Calcs!E6</f>
        <v>0</v>
      </c>
      <c r="G19" s="66">
        <f>G17-Calcs!F6</f>
        <v>0</v>
      </c>
      <c r="H19" s="66">
        <f>H17-Calcs!G6</f>
        <v>0</v>
      </c>
      <c r="J19" s="66">
        <f>SUM(E19:I19)</f>
        <v>0</v>
      </c>
    </row>
    <row r="21" spans="2:10" x14ac:dyDescent="0.2">
      <c r="B21" s="65" t="s">
        <v>146</v>
      </c>
      <c r="C21" s="65" t="s">
        <v>147</v>
      </c>
      <c r="D21" s="65" t="s">
        <v>150</v>
      </c>
      <c r="E21" s="29" t="s">
        <v>36</v>
      </c>
      <c r="F21" s="29" t="s">
        <v>37</v>
      </c>
      <c r="G21" s="29" t="s">
        <v>38</v>
      </c>
      <c r="H21" s="29" t="s">
        <v>39</v>
      </c>
      <c r="J21" s="30" t="s">
        <v>133</v>
      </c>
    </row>
    <row r="22" spans="2:10" x14ac:dyDescent="0.2">
      <c r="B22" s="18" t="str">
        <f>Summary!$D$6</f>
        <v>Finance</v>
      </c>
      <c r="C22" t="str">
        <f>Calcs!$K$2</f>
        <v>England</v>
      </c>
      <c r="D22" s="18" t="str">
        <f>Summary!$D$6</f>
        <v>Finance</v>
      </c>
      <c r="E22" s="45">
        <f>SUMPRODUCT((HR!$C$1:$AS$1=E21)*(HR!$A$2:$A$18=$C22)*(HR!$B$2:$B$18=$D$2)*(HR!$C$2:$AS$18))</f>
        <v>53</v>
      </c>
      <c r="F22" s="45">
        <f>SUMPRODUCT((HR!$C$1:$AS$1=F21)*(HR!$A$2:$A$18=$C22)*(HR!$B$2:$B$18=$D$2)*(HR!$C$2:$AS$18))</f>
        <v>56</v>
      </c>
      <c r="G22" s="45">
        <f>SUMPRODUCT((HR!$C$1:$AS$1=G21)*(HR!$A$2:$A$18=$C22)*(HR!$B$2:$B$18=$D$2)*(HR!$C$2:$AS$18))</f>
        <v>67</v>
      </c>
      <c r="H22" s="45">
        <f>SUMPRODUCT((HR!$C$1:$AS$1=H21)*(HR!$A$2:$A$18=$C22)*(HR!$B$2:$B$18=$D$2)*(HR!$C$2:$AS$18))</f>
        <v>63</v>
      </c>
    </row>
    <row r="24" spans="2:10" x14ac:dyDescent="0.2">
      <c r="B24" t="s">
        <v>133</v>
      </c>
      <c r="E24" s="66">
        <f>E22-Calcs!D7</f>
        <v>0</v>
      </c>
      <c r="F24" s="66">
        <f>F22-Calcs!E7</f>
        <v>0</v>
      </c>
      <c r="G24" s="66">
        <f>G22-Calcs!F7</f>
        <v>0</v>
      </c>
      <c r="H24" s="66">
        <f>H22-Calcs!G7</f>
        <v>0</v>
      </c>
      <c r="J24" s="66">
        <f>SUM(E24:I24)</f>
        <v>0</v>
      </c>
    </row>
    <row r="26" spans="2:10" x14ac:dyDescent="0.2">
      <c r="B26" s="65" t="s">
        <v>146</v>
      </c>
      <c r="C26" s="65" t="s">
        <v>147</v>
      </c>
      <c r="D26" s="65" t="s">
        <v>150</v>
      </c>
      <c r="E26" s="29" t="s">
        <v>40</v>
      </c>
      <c r="F26" s="29" t="s">
        <v>41</v>
      </c>
      <c r="G26" s="29" t="s">
        <v>42</v>
      </c>
      <c r="H26" s="29" t="s">
        <v>43</v>
      </c>
      <c r="J26" s="30" t="s">
        <v>133</v>
      </c>
    </row>
    <row r="27" spans="2:10" x14ac:dyDescent="0.2">
      <c r="B27" s="18" t="str">
        <f>Summary!$D$6</f>
        <v>Finance</v>
      </c>
      <c r="C27" t="str">
        <f>Calcs!$K$2</f>
        <v>England</v>
      </c>
      <c r="D27" s="18" t="str">
        <f>Summary!$D$6</f>
        <v>Finance</v>
      </c>
      <c r="E27" s="45">
        <f>SUMPRODUCT((HR!$C$1:$AS$1=E26)*(HR!$A$2:$A$18=$C27)*(HR!$B$2:$B$18=$D$2)*(HR!$C$2:$AS$18))</f>
        <v>433</v>
      </c>
      <c r="F27" s="45">
        <f>SUMPRODUCT((HR!$C$1:$AS$1=F26)*(HR!$A$2:$A$18=$C27)*(HR!$B$2:$B$18=$D$2)*(HR!$C$2:$AS$18))</f>
        <v>399.76923076923077</v>
      </c>
      <c r="G27" s="45">
        <f>SUMPRODUCT((HR!$C$1:$AS$1=G26)*(HR!$A$2:$A$18=$C27)*(HR!$B$2:$B$18=$D$2)*(HR!$C$2:$AS$18))</f>
        <v>383.4727272727273</v>
      </c>
      <c r="H27" s="45">
        <f>SUMPRODUCT((HR!$C$1:$AS$1=H26)*(HR!$A$2:$A$18=$C27)*(HR!$B$2:$B$18=$D$2)*(HR!$C$2:$AS$18))</f>
        <v>370.39743589743591</v>
      </c>
    </row>
    <row r="29" spans="2:10" x14ac:dyDescent="0.2">
      <c r="B29" t="s">
        <v>133</v>
      </c>
      <c r="E29" s="66">
        <f>E27-Calcs!D8</f>
        <v>0</v>
      </c>
      <c r="F29" s="66">
        <f>F27-Calcs!E8</f>
        <v>0</v>
      </c>
      <c r="G29" s="66">
        <f>G27-Calcs!F8</f>
        <v>0</v>
      </c>
      <c r="H29" s="66">
        <f>H27-Calcs!G8</f>
        <v>0</v>
      </c>
      <c r="J29" s="66">
        <f>SUM(E29:I29)</f>
        <v>0</v>
      </c>
    </row>
    <row r="31" spans="2:10" x14ac:dyDescent="0.2">
      <c r="B31" s="65" t="s">
        <v>146</v>
      </c>
      <c r="C31" s="65" t="s">
        <v>147</v>
      </c>
      <c r="D31" s="65" t="s">
        <v>150</v>
      </c>
      <c r="E31" s="29" t="s">
        <v>76</v>
      </c>
      <c r="F31" s="29" t="s">
        <v>77</v>
      </c>
      <c r="G31" s="29" t="s">
        <v>78</v>
      </c>
      <c r="H31" s="29" t="s">
        <v>79</v>
      </c>
      <c r="J31" s="30" t="s">
        <v>133</v>
      </c>
    </row>
    <row r="32" spans="2:10" x14ac:dyDescent="0.2">
      <c r="B32" s="18" t="str">
        <f>Summary!$D$6</f>
        <v>Finance</v>
      </c>
      <c r="C32" t="str">
        <f>Calcs!$K$2</f>
        <v>England</v>
      </c>
      <c r="D32" s="18" t="str">
        <f>Summary!$D$6</f>
        <v>Finance</v>
      </c>
      <c r="E32" s="45">
        <f>SUMPRODUCT((HR!$C$1:$AS$1=E31)*(HR!$A$2:$A$18=$C32)*(HR!$B$2:$B$18=$D$2)*(HR!$C$2:$AS$18))</f>
        <v>55</v>
      </c>
      <c r="F32" s="45">
        <f>SUMPRODUCT((HR!$C$1:$AS$1=F31)*(HR!$A$2:$A$18=$C32)*(HR!$B$2:$B$18=$D$2)*(HR!$C$2:$AS$18))</f>
        <v>53</v>
      </c>
      <c r="G32" s="45">
        <f>SUMPRODUCT((HR!$C$1:$AS$1=G31)*(HR!$A$2:$A$18=$C32)*(HR!$B$2:$B$18=$D$2)*(HR!$C$2:$AS$18))</f>
        <v>45</v>
      </c>
      <c r="H32" s="45">
        <f>SUMPRODUCT((HR!$C$1:$AS$1=H31)*(HR!$A$2:$A$18=$C32)*(HR!$B$2:$B$18=$D$2)*(HR!$C$2:$AS$18))</f>
        <v>48</v>
      </c>
    </row>
    <row r="34" spans="2:10" x14ac:dyDescent="0.2">
      <c r="B34" t="s">
        <v>133</v>
      </c>
      <c r="E34" s="66">
        <f>E32-SUMIFS(Calcs!D$12:D$16,Calcs!$B$12:$B$16,$D32)</f>
        <v>0</v>
      </c>
      <c r="F34" s="66">
        <f>F32-SUMIFS(Calcs!E$12:E$16,Calcs!$B$12:$B$16,$D32)</f>
        <v>0</v>
      </c>
      <c r="G34" s="66">
        <f>G32-SUMIFS(Calcs!F$12:F$16,Calcs!$B$12:$B$16,$D32)</f>
        <v>0</v>
      </c>
      <c r="H34" s="66">
        <f>H32-SUMIFS(Calcs!G$12:G$16,Calcs!$B$12:$B$16,$D32)</f>
        <v>0</v>
      </c>
      <c r="J34" s="66">
        <f>SUM(E34:I34)</f>
        <v>0</v>
      </c>
    </row>
    <row r="37" spans="2:10" x14ac:dyDescent="0.2">
      <c r="B37" s="65" t="s">
        <v>146</v>
      </c>
      <c r="C37" s="65" t="s">
        <v>147</v>
      </c>
      <c r="D37" s="65" t="s">
        <v>150</v>
      </c>
      <c r="E37" s="37" t="s">
        <v>95</v>
      </c>
      <c r="F37" s="37" t="s">
        <v>82</v>
      </c>
    </row>
    <row r="38" spans="2:10" x14ac:dyDescent="0.2">
      <c r="B38" s="18" t="str">
        <f>Summary!$D$6</f>
        <v>Finance</v>
      </c>
      <c r="C38" t="str">
        <f>Calcs!$K$2</f>
        <v>England</v>
      </c>
      <c r="D38" s="18"/>
      <c r="E38" s="45">
        <f>SUMPRODUCT((HR!$C$1:$AS$1=E37)*(HR!$A$2:$A$18=$C38)*(HR!$C$2:$AS$18))/COUNTA(Nation)</f>
        <v>5997.3050000000003</v>
      </c>
      <c r="F38" s="45">
        <f>SUMPRODUCT((HR!$C$1:$AS$1=F37)*(HR!$A$2:$A$18=$C38)*(HR!$C$2:$AS$18))</f>
        <v>40</v>
      </c>
    </row>
    <row r="40" spans="2:10" x14ac:dyDescent="0.2">
      <c r="B40" t="s">
        <v>133</v>
      </c>
      <c r="E40" s="66">
        <f>(E38/1000-Calcs!C23)</f>
        <v>-8.8817841970012523E-16</v>
      </c>
      <c r="F40" s="66">
        <f>F38-Calcs!D23</f>
        <v>0</v>
      </c>
      <c r="J40" s="45">
        <f>SUM(D40:I40)</f>
        <v>-8.8817841970012523E-16</v>
      </c>
    </row>
    <row r="43" spans="2:10" x14ac:dyDescent="0.2">
      <c r="B43" s="65" t="s">
        <v>147</v>
      </c>
      <c r="C43" s="37" t="s">
        <v>143</v>
      </c>
      <c r="D43" s="37" t="s">
        <v>81</v>
      </c>
      <c r="E43" s="55" t="s">
        <v>82</v>
      </c>
      <c r="F43" s="37" t="s">
        <v>85</v>
      </c>
      <c r="G43" s="37" t="s">
        <v>86</v>
      </c>
      <c r="H43" s="37" t="s">
        <v>87</v>
      </c>
    </row>
    <row r="44" spans="2:10" x14ac:dyDescent="0.2">
      <c r="B44" s="18" t="str">
        <f>Summary!$B$7</f>
        <v>England</v>
      </c>
      <c r="C44" s="19">
        <f>Lists!H2</f>
        <v>43831</v>
      </c>
      <c r="D44">
        <f>SUMIFS(Staff!C$2:C$122,Staff!$A$2:$A$122,$B44,Staff!$B$2:$B$122,$C44)</f>
        <v>58</v>
      </c>
      <c r="E44">
        <f>SUMIFS(Staff!D$2:D$122,Staff!$A$2:$A$122,$B44,Staff!$B$2:$B$122,$C44)</f>
        <v>21</v>
      </c>
      <c r="F44">
        <f>SUMIFS(Staff!E$2:E$122,Staff!$A$2:$A$122,$B44,Staff!$B$2:$B$122,$C44)</f>
        <v>18</v>
      </c>
      <c r="G44">
        <f>SUMIFS(Staff!F$2:F$122,Staff!$A$2:$A$122,$B44,Staff!$B$2:$B$122,$C44)</f>
        <v>-2</v>
      </c>
      <c r="H44">
        <f>SUMIFS(Staff!G$2:G$122,Staff!$A$2:$A$122,$B44,Staff!$B$2:$B$122,$C44)</f>
        <v>7</v>
      </c>
    </row>
    <row r="45" spans="2:10" x14ac:dyDescent="0.2">
      <c r="B45" s="18" t="str">
        <f>Summary!$B$7</f>
        <v>England</v>
      </c>
      <c r="C45" s="19">
        <f>Lists!H3</f>
        <v>43862</v>
      </c>
      <c r="D45">
        <f>SUMIFS(Staff!C$2:C$122,Staff!$A$2:$A$122,$B45,Staff!$B$2:$B$122,$C45)</f>
        <v>80</v>
      </c>
      <c r="E45">
        <f>SUMIFS(Staff!D$2:D$122,Staff!$A$2:$A$122,$B45,Staff!$B$2:$B$122,$C45)</f>
        <v>31</v>
      </c>
      <c r="F45">
        <f>SUMIFS(Staff!E$2:E$122,Staff!$A$2:$A$122,$B45,Staff!$B$2:$B$122,$C45)</f>
        <v>24</v>
      </c>
      <c r="G45">
        <f>SUMIFS(Staff!F$2:F$122,Staff!$A$2:$A$122,$B45,Staff!$B$2:$B$122,$C45)</f>
        <v>-3</v>
      </c>
      <c r="H45">
        <f>SUMIFS(Staff!G$2:G$122,Staff!$A$2:$A$122,$B45,Staff!$B$2:$B$122,$C45)</f>
        <v>4</v>
      </c>
    </row>
    <row r="46" spans="2:10" x14ac:dyDescent="0.2">
      <c r="B46" s="18" t="str">
        <f>Summary!$B$7</f>
        <v>England</v>
      </c>
      <c r="C46" s="19">
        <f>Lists!H4</f>
        <v>43891</v>
      </c>
      <c r="D46">
        <f>SUMIFS(Staff!C$2:C$122,Staff!$A$2:$A$122,$B46,Staff!$B$2:$B$122,$C46)</f>
        <v>74</v>
      </c>
      <c r="E46">
        <f>SUMIFS(Staff!D$2:D$122,Staff!$A$2:$A$122,$B46,Staff!$B$2:$B$122,$C46)</f>
        <v>31</v>
      </c>
      <c r="F46">
        <f>SUMIFS(Staff!E$2:E$122,Staff!$A$2:$A$122,$B46,Staff!$B$2:$B$122,$C46)</f>
        <v>23</v>
      </c>
      <c r="G46">
        <f>SUMIFS(Staff!F$2:F$122,Staff!$A$2:$A$122,$B46,Staff!$B$2:$B$122,$C46)</f>
        <v>0</v>
      </c>
      <c r="H46">
        <f>SUMIFS(Staff!G$2:G$122,Staff!$A$2:$A$122,$B46,Staff!$B$2:$B$122,$C46)</f>
        <v>2</v>
      </c>
    </row>
    <row r="47" spans="2:10" x14ac:dyDescent="0.2">
      <c r="B47" s="18" t="str">
        <f>Summary!$B$7</f>
        <v>England</v>
      </c>
      <c r="C47" s="19">
        <f>Lists!H5</f>
        <v>43922</v>
      </c>
      <c r="D47">
        <f>SUMIFS(Staff!C$2:C$122,Staff!$A$2:$A$122,$B47,Staff!$B$2:$B$122,$C47)</f>
        <v>70</v>
      </c>
      <c r="E47">
        <f>SUMIFS(Staff!D$2:D$122,Staff!$A$2:$A$122,$B47,Staff!$B$2:$B$122,$C47)</f>
        <v>27</v>
      </c>
      <c r="F47">
        <f>SUMIFS(Staff!E$2:E$122,Staff!$A$2:$A$122,$B47,Staff!$B$2:$B$122,$C47)</f>
        <v>21</v>
      </c>
      <c r="G47">
        <f>SUMIFS(Staff!F$2:F$122,Staff!$A$2:$A$122,$B47,Staff!$B$2:$B$122,$C47)</f>
        <v>-3</v>
      </c>
      <c r="H47">
        <f>SUMIFS(Staff!G$2:G$122,Staff!$A$2:$A$122,$B47,Staff!$B$2:$B$122,$C47)</f>
        <v>3</v>
      </c>
    </row>
    <row r="48" spans="2:10" x14ac:dyDescent="0.2">
      <c r="B48" s="18" t="str">
        <f>Summary!$B$7</f>
        <v>England</v>
      </c>
      <c r="C48" s="19">
        <f>Lists!H6</f>
        <v>43952</v>
      </c>
      <c r="D48">
        <f>SUMIFS(Staff!C$2:C$122,Staff!$A$2:$A$122,$B48,Staff!$B$2:$B$122,$C48)</f>
        <v>87</v>
      </c>
      <c r="E48">
        <f>SUMIFS(Staff!D$2:D$122,Staff!$A$2:$A$122,$B48,Staff!$B$2:$B$122,$C48)</f>
        <v>33</v>
      </c>
      <c r="F48">
        <f>SUMIFS(Staff!E$2:E$122,Staff!$A$2:$A$122,$B48,Staff!$B$2:$B$122,$C48)</f>
        <v>27</v>
      </c>
      <c r="G48">
        <f>SUMIFS(Staff!F$2:F$122,Staff!$A$2:$A$122,$B48,Staff!$B$2:$B$122,$C48)</f>
        <v>-3</v>
      </c>
      <c r="H48">
        <f>SUMIFS(Staff!G$2:G$122,Staff!$A$2:$A$122,$B48,Staff!$B$2:$B$122,$C48)</f>
        <v>3</v>
      </c>
    </row>
    <row r="49" spans="2:10" x14ac:dyDescent="0.2">
      <c r="B49" s="18" t="str">
        <f>Summary!$B$7</f>
        <v>England</v>
      </c>
      <c r="C49" s="19">
        <f>Lists!H7</f>
        <v>43983</v>
      </c>
      <c r="D49">
        <f>SUMIFS(Staff!C$2:C$122,Staff!$A$2:$A$122,$B49,Staff!$B$2:$B$122,$C49)</f>
        <v>93</v>
      </c>
      <c r="E49">
        <f>SUMIFS(Staff!D$2:D$122,Staff!$A$2:$A$122,$B49,Staff!$B$2:$B$122,$C49)</f>
        <v>34</v>
      </c>
      <c r="F49">
        <f>SUMIFS(Staff!E$2:E$122,Staff!$A$2:$A$122,$B49,Staff!$B$2:$B$122,$C49)</f>
        <v>28</v>
      </c>
      <c r="G49">
        <f>SUMIFS(Staff!F$2:F$122,Staff!$A$2:$A$122,$B49,Staff!$B$2:$B$122,$C49)</f>
        <v>-3</v>
      </c>
      <c r="H49">
        <f>SUMIFS(Staff!G$2:G$122,Staff!$A$2:$A$122,$B49,Staff!$B$2:$B$122,$C49)</f>
        <v>2</v>
      </c>
    </row>
    <row r="50" spans="2:10" x14ac:dyDescent="0.2">
      <c r="B50" s="18" t="str">
        <f>Summary!$B$7</f>
        <v>England</v>
      </c>
      <c r="C50" s="19">
        <f>Lists!H8</f>
        <v>44013</v>
      </c>
      <c r="D50">
        <f>SUMIFS(Staff!C$2:C$122,Staff!$A$2:$A$122,$B50,Staff!$B$2:$B$122,$C50)</f>
        <v>100</v>
      </c>
      <c r="E50">
        <f>SUMIFS(Staff!D$2:D$122,Staff!$A$2:$A$122,$B50,Staff!$B$2:$B$122,$C50)</f>
        <v>42</v>
      </c>
      <c r="F50">
        <f>SUMIFS(Staff!E$2:E$122,Staff!$A$2:$A$122,$B50,Staff!$B$2:$B$122,$C50)</f>
        <v>30</v>
      </c>
      <c r="G50">
        <f>SUMIFS(Staff!F$2:F$122,Staff!$A$2:$A$122,$B50,Staff!$B$2:$B$122,$C50)</f>
        <v>-3</v>
      </c>
      <c r="H50">
        <f>SUMIFS(Staff!G$2:G$122,Staff!$A$2:$A$122,$B50,Staff!$B$2:$B$122,$C50)</f>
        <v>2</v>
      </c>
    </row>
    <row r="51" spans="2:10" x14ac:dyDescent="0.2">
      <c r="B51" s="18" t="str">
        <f>Summary!$B$7</f>
        <v>England</v>
      </c>
      <c r="C51" s="19">
        <f>Lists!H9</f>
        <v>44044</v>
      </c>
      <c r="D51">
        <f>SUMIFS(Staff!C$2:C$122,Staff!$A$2:$A$122,$B51,Staff!$B$2:$B$122,$C51)</f>
        <v>58</v>
      </c>
      <c r="E51">
        <f>SUMIFS(Staff!D$2:D$122,Staff!$A$2:$A$122,$B51,Staff!$B$2:$B$122,$C51)</f>
        <v>21</v>
      </c>
      <c r="F51">
        <f>SUMIFS(Staff!E$2:E$122,Staff!$A$2:$A$122,$B51,Staff!$B$2:$B$122,$C51)</f>
        <v>18</v>
      </c>
      <c r="G51">
        <f>SUMIFS(Staff!F$2:F$122,Staff!$A$2:$A$122,$B51,Staff!$B$2:$B$122,$C51)</f>
        <v>-2</v>
      </c>
      <c r="H51">
        <f>SUMIFS(Staff!G$2:G$122,Staff!$A$2:$A$122,$B51,Staff!$B$2:$B$122,$C51)</f>
        <v>4</v>
      </c>
    </row>
    <row r="52" spans="2:10" x14ac:dyDescent="0.2">
      <c r="B52" s="18" t="str">
        <f>Summary!$B$7</f>
        <v>England</v>
      </c>
      <c r="C52" s="19">
        <f>Lists!H10</f>
        <v>44075</v>
      </c>
      <c r="D52">
        <f>SUMIFS(Staff!C$2:C$122,Staff!$A$2:$A$122,$B52,Staff!$B$2:$B$122,$C52)</f>
        <v>67</v>
      </c>
      <c r="E52">
        <f>SUMIFS(Staff!D$2:D$122,Staff!$A$2:$A$122,$B52,Staff!$B$2:$B$122,$C52)</f>
        <v>26</v>
      </c>
      <c r="F52">
        <f>SUMIFS(Staff!E$2:E$122,Staff!$A$2:$A$122,$B52,Staff!$B$2:$B$122,$C52)</f>
        <v>21</v>
      </c>
      <c r="G52">
        <f>SUMIFS(Staff!F$2:F$122,Staff!$A$2:$A$122,$B52,Staff!$B$2:$B$122,$C52)</f>
        <v>-3</v>
      </c>
      <c r="H52">
        <f>SUMIFS(Staff!G$2:G$122,Staff!$A$2:$A$122,$B52,Staff!$B$2:$B$122,$C52)</f>
        <v>1</v>
      </c>
    </row>
    <row r="53" spans="2:10" x14ac:dyDescent="0.2">
      <c r="B53" s="18" t="str">
        <f>Summary!$B$7</f>
        <v>England</v>
      </c>
      <c r="C53" s="19">
        <f>Lists!H11</f>
        <v>44105</v>
      </c>
      <c r="D53">
        <f>SUMIFS(Staff!C$2:C$122,Staff!$A$2:$A$122,$B53,Staff!$B$2:$B$122,$C53)</f>
        <v>84</v>
      </c>
      <c r="E53">
        <f>SUMIFS(Staff!D$2:D$122,Staff!$A$2:$A$122,$B53,Staff!$B$2:$B$122,$C53)</f>
        <v>34</v>
      </c>
      <c r="F53">
        <f>SUMIFS(Staff!E$2:E$122,Staff!$A$2:$A$122,$B53,Staff!$B$2:$B$122,$C53)</f>
        <v>26</v>
      </c>
      <c r="G53">
        <f>SUMIFS(Staff!F$2:F$122,Staff!$A$2:$A$122,$B53,Staff!$B$2:$B$122,$C53)</f>
        <v>-3</v>
      </c>
      <c r="H53">
        <f>SUMIFS(Staff!G$2:G$122,Staff!$A$2:$A$122,$B53,Staff!$B$2:$B$122,$C53)</f>
        <v>4</v>
      </c>
    </row>
    <row r="54" spans="2:10" x14ac:dyDescent="0.2">
      <c r="B54" s="18" t="str">
        <f>Summary!$B$7</f>
        <v>England</v>
      </c>
      <c r="C54" s="19">
        <f>Lists!H12</f>
        <v>44136</v>
      </c>
      <c r="D54">
        <f>SUMIFS(Staff!C$2:C$122,Staff!$A$2:$A$122,$B54,Staff!$B$2:$B$122,$C54)</f>
        <v>75</v>
      </c>
      <c r="E54">
        <f>SUMIFS(Staff!D$2:D$122,Staff!$A$2:$A$122,$B54,Staff!$B$2:$B$122,$C54)</f>
        <v>29</v>
      </c>
      <c r="F54">
        <f>SUMIFS(Staff!E$2:E$122,Staff!$A$2:$A$122,$B54,Staff!$B$2:$B$122,$C54)</f>
        <v>23</v>
      </c>
      <c r="G54">
        <f>SUMIFS(Staff!F$2:F$122,Staff!$A$2:$A$122,$B54,Staff!$B$2:$B$122,$C54)</f>
        <v>-3</v>
      </c>
      <c r="H54">
        <f>SUMIFS(Staff!G$2:G$122,Staff!$A$2:$A$122,$B54,Staff!$B$2:$B$122,$C54)</f>
        <v>1</v>
      </c>
    </row>
    <row r="55" spans="2:10" x14ac:dyDescent="0.2">
      <c r="B55" s="18" t="str">
        <f>Summary!$B$7</f>
        <v>England</v>
      </c>
      <c r="C55" s="19">
        <f>Lists!H13</f>
        <v>44166</v>
      </c>
      <c r="D55">
        <f>SUMIFS(Staff!C$2:C$122,Staff!$A$2:$A$122,$B55,Staff!$B$2:$B$122,$C55)</f>
        <v>87</v>
      </c>
      <c r="E55">
        <f>SUMIFS(Staff!D$2:D$122,Staff!$A$2:$A$122,$B55,Staff!$B$2:$B$122,$C55)</f>
        <v>35</v>
      </c>
      <c r="F55">
        <f>SUMIFS(Staff!E$2:E$122,Staff!$A$2:$A$122,$B55,Staff!$B$2:$B$122,$C55)</f>
        <v>27</v>
      </c>
      <c r="G55">
        <f>SUMIFS(Staff!F$2:F$122,Staff!$A$2:$A$122,$B55,Staff!$B$2:$B$122,$C55)</f>
        <v>-3</v>
      </c>
      <c r="H55">
        <f>SUMIFS(Staff!G$2:G$122,Staff!$A$2:$A$122,$B55,Staff!$B$2:$B$122,$C55)</f>
        <v>2</v>
      </c>
    </row>
    <row r="56" spans="2:10" x14ac:dyDescent="0.2">
      <c r="C56" s="19"/>
    </row>
    <row r="57" spans="2:10" x14ac:dyDescent="0.2">
      <c r="B57" t="s">
        <v>104</v>
      </c>
      <c r="D57">
        <f>SUM(D44:D56)</f>
        <v>933</v>
      </c>
      <c r="E57">
        <f t="shared" ref="E57:H57" si="0">SUM(E44:E56)</f>
        <v>364</v>
      </c>
      <c r="F57">
        <f t="shared" si="0"/>
        <v>286</v>
      </c>
      <c r="G57">
        <f t="shared" si="0"/>
        <v>-31</v>
      </c>
      <c r="H57">
        <f t="shared" si="0"/>
        <v>35</v>
      </c>
    </row>
    <row r="59" spans="2:10" x14ac:dyDescent="0.2">
      <c r="B59" t="s">
        <v>133</v>
      </c>
      <c r="D59">
        <f>D57-Calcs!C40</f>
        <v>0</v>
      </c>
      <c r="E59">
        <f>E57-Calcs!D40</f>
        <v>0</v>
      </c>
      <c r="F59">
        <f>F57-Calcs!E40</f>
        <v>0</v>
      </c>
      <c r="G59">
        <f>G57-Calcs!C74</f>
        <v>0</v>
      </c>
      <c r="H59">
        <f>H57-Calcs!D74</f>
        <v>0</v>
      </c>
      <c r="J59">
        <f>SUM(D59:I59)</f>
        <v>0</v>
      </c>
    </row>
    <row r="62" spans="2:10" x14ac:dyDescent="0.2">
      <c r="B62" t="s">
        <v>151</v>
      </c>
      <c r="D62" t="str">
        <f>IF(J62=0,Lists!J2,Lists!J3)</f>
        <v>Model OK</v>
      </c>
      <c r="J62" s="45">
        <f>ROUND(SUM(J2:J61),2)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rgb="FFC00000"/>
  </sheetPr>
  <dimension ref="A5:R57"/>
  <sheetViews>
    <sheetView showGridLines="0" showRowColHeaders="0" tabSelected="1" zoomScale="90" zoomScaleNormal="90" workbookViewId="0">
      <selection activeCell="V16" sqref="V16"/>
    </sheetView>
  </sheetViews>
  <sheetFormatPr defaultRowHeight="12.75" x14ac:dyDescent="0.2"/>
  <cols>
    <col min="2" max="2" width="25.85546875" customWidth="1"/>
    <col min="3" max="3" width="10.140625" customWidth="1"/>
    <col min="4" max="4" width="23.28515625" customWidth="1"/>
    <col min="5" max="5" width="6.28515625" customWidth="1"/>
    <col min="6" max="6" width="3.5703125" customWidth="1"/>
    <col min="7" max="10" width="10.5703125" customWidth="1"/>
    <col min="11" max="11" width="11.28515625" bestFit="1" customWidth="1"/>
    <col min="12" max="12" width="12.28515625" customWidth="1"/>
    <col min="13" max="13" width="1.5703125" customWidth="1"/>
    <col min="15" max="16" width="9.140625" customWidth="1"/>
    <col min="19" max="19" width="9.140625" customWidth="1"/>
  </cols>
  <sheetData>
    <row r="5" spans="2:18" ht="12.75" customHeight="1" x14ac:dyDescent="0.2">
      <c r="R5" s="49" t="s">
        <v>0</v>
      </c>
    </row>
    <row r="6" spans="2:18" x14ac:dyDescent="0.2">
      <c r="C6" s="28" t="s">
        <v>96</v>
      </c>
      <c r="D6" s="28" t="s">
        <v>8</v>
      </c>
      <c r="E6" s="28"/>
    </row>
    <row r="7" spans="2:18" x14ac:dyDescent="0.2">
      <c r="B7" s="5" t="s">
        <v>6</v>
      </c>
      <c r="C7" s="16"/>
      <c r="G7" s="5" t="str">
        <f>B7&amp;" "&amp;D6&amp;" Metrics"</f>
        <v>England Finance Metrics</v>
      </c>
    </row>
    <row r="8" spans="2:18" x14ac:dyDescent="0.2">
      <c r="B8" s="5" t="s">
        <v>74</v>
      </c>
      <c r="C8" s="16" t="s">
        <v>80</v>
      </c>
      <c r="D8" s="15" t="s">
        <v>84</v>
      </c>
      <c r="E8" s="15"/>
      <c r="G8" s="6" t="s">
        <v>15</v>
      </c>
      <c r="H8" s="6" t="s">
        <v>16</v>
      </c>
      <c r="I8" s="6" t="s">
        <v>17</v>
      </c>
      <c r="J8" s="6" t="s">
        <v>18</v>
      </c>
      <c r="K8" s="17" t="s">
        <v>104</v>
      </c>
      <c r="L8" s="17" t="s">
        <v>75</v>
      </c>
    </row>
    <row r="9" spans="2:18" x14ac:dyDescent="0.2">
      <c r="B9" s="11" t="s">
        <v>7</v>
      </c>
      <c r="C9" s="11">
        <f>SUMIFS(HR!AI$2:AI$17,HR!$A$2:$A$17,$B$7,HR!$B$2:$B$17,$B$9)</f>
        <v>108</v>
      </c>
      <c r="D9" s="68"/>
      <c r="E9" s="69"/>
      <c r="G9" s="10" t="s">
        <v>71</v>
      </c>
      <c r="H9" s="11"/>
      <c r="I9" s="11"/>
      <c r="J9" s="11"/>
      <c r="K9" s="11"/>
    </row>
    <row r="10" spans="2:18" x14ac:dyDescent="0.2">
      <c r="E10" s="15"/>
      <c r="G10" s="13">
        <f>Calcs!D3</f>
        <v>27</v>
      </c>
      <c r="H10" s="13">
        <f>Calcs!E3</f>
        <v>39</v>
      </c>
      <c r="I10" s="13">
        <f>Calcs!F3</f>
        <v>55</v>
      </c>
      <c r="J10" s="13">
        <f>Calcs!G3</f>
        <v>78</v>
      </c>
      <c r="K10" s="54">
        <f>SUM(G10:J10)/4</f>
        <v>49.75</v>
      </c>
      <c r="L10" s="9"/>
    </row>
    <row r="11" spans="2:18" x14ac:dyDescent="0.2">
      <c r="B11" s="11" t="s">
        <v>8</v>
      </c>
      <c r="C11" s="11">
        <f>SUMIFS(HR!AI$2:AI$17,HR!$A$2:$A$17,$B$7,HR!$B$2:$B$17,$B11)</f>
        <v>55</v>
      </c>
      <c r="D11" s="68"/>
      <c r="E11" s="69"/>
      <c r="K11" s="1"/>
    </row>
    <row r="12" spans="2:18" x14ac:dyDescent="0.2">
      <c r="E12" s="15"/>
      <c r="G12" s="10" t="s">
        <v>145</v>
      </c>
      <c r="H12" s="11"/>
      <c r="I12" s="11"/>
      <c r="J12" s="11"/>
      <c r="K12" s="48"/>
    </row>
    <row r="13" spans="2:18" x14ac:dyDescent="0.2">
      <c r="B13" s="11" t="s">
        <v>9</v>
      </c>
      <c r="C13" s="11">
        <f>SUMIFS(HR!AI$2:AI$17,HR!$A$2:$A$17,$B$7,HR!$B$2:$B$17,$B13)</f>
        <v>33</v>
      </c>
      <c r="D13" s="68"/>
      <c r="E13" s="69"/>
      <c r="G13" s="13">
        <f>Calcs!D4</f>
        <v>44</v>
      </c>
      <c r="H13" s="13">
        <f>Calcs!E4</f>
        <v>47</v>
      </c>
      <c r="I13" s="13">
        <f>Calcs!F4</f>
        <v>61</v>
      </c>
      <c r="J13" s="13">
        <f>Calcs!G4</f>
        <v>86</v>
      </c>
      <c r="K13" s="54">
        <f>SUM(G13:J13)/4</f>
        <v>59.5</v>
      </c>
      <c r="L13" s="9"/>
    </row>
    <row r="14" spans="2:18" x14ac:dyDescent="0.2">
      <c r="E14" s="15"/>
      <c r="K14" s="1"/>
    </row>
    <row r="15" spans="2:18" x14ac:dyDescent="0.2">
      <c r="B15" s="11" t="s">
        <v>10</v>
      </c>
      <c r="C15" s="11">
        <f>SUMIFS(HR!AI$2:AI$17,HR!$A$2:$A$17,$B$7,HR!$B$2:$B$17,$B15)</f>
        <v>43</v>
      </c>
      <c r="D15" s="68"/>
      <c r="E15" s="69"/>
      <c r="G15" s="10" t="s">
        <v>94</v>
      </c>
      <c r="H15" s="11"/>
      <c r="I15" s="11"/>
      <c r="J15" s="11"/>
      <c r="K15" s="48"/>
    </row>
    <row r="16" spans="2:18" x14ac:dyDescent="0.2">
      <c r="E16" s="15"/>
      <c r="G16" s="13">
        <f>Calcs!D5</f>
        <v>50</v>
      </c>
      <c r="H16" s="13">
        <f>Calcs!E5</f>
        <v>50</v>
      </c>
      <c r="I16" s="13">
        <f>Calcs!F5</f>
        <v>42</v>
      </c>
      <c r="J16" s="13">
        <f>Calcs!G5</f>
        <v>45</v>
      </c>
      <c r="K16" s="12">
        <f>Calcs!H12</f>
        <v>558</v>
      </c>
    </row>
    <row r="17" spans="1:11" x14ac:dyDescent="0.2">
      <c r="A17" s="18"/>
      <c r="B17" s="27" t="str">
        <f>B7&amp;" Average Spend Per Hire $000s"</f>
        <v>England Average Spend Per Hire $000s</v>
      </c>
      <c r="C17" s="18"/>
      <c r="D17" s="18"/>
      <c r="E17" s="70"/>
      <c r="K17" s="1"/>
    </row>
    <row r="18" spans="1:11" x14ac:dyDescent="0.2">
      <c r="A18" s="18"/>
      <c r="B18" s="18"/>
      <c r="C18" s="18"/>
      <c r="D18" s="18"/>
      <c r="E18" s="70"/>
      <c r="G18" s="10" t="s">
        <v>72</v>
      </c>
      <c r="H18" s="11"/>
      <c r="I18" s="11"/>
      <c r="J18" s="11"/>
      <c r="K18" s="48"/>
    </row>
    <row r="19" spans="1:11" x14ac:dyDescent="0.2">
      <c r="A19" s="18"/>
      <c r="B19" s="18"/>
      <c r="C19" s="18"/>
      <c r="D19" s="18"/>
      <c r="E19" s="70"/>
      <c r="G19" s="13">
        <f>Calcs!D6</f>
        <v>4</v>
      </c>
      <c r="H19" s="13">
        <f>Calcs!E6</f>
        <v>4</v>
      </c>
      <c r="I19" s="13">
        <f>Calcs!F6</f>
        <v>4.0999999999999996</v>
      </c>
      <c r="J19" s="13">
        <f>Calcs!G6</f>
        <v>4.2</v>
      </c>
      <c r="K19" s="47">
        <f>SUM(G19:J19)/4</f>
        <v>4.0750000000000002</v>
      </c>
    </row>
    <row r="20" spans="1:11" x14ac:dyDescent="0.2">
      <c r="A20" s="18"/>
      <c r="B20" s="18"/>
      <c r="C20" s="18"/>
      <c r="D20" s="18"/>
      <c r="E20" s="70"/>
      <c r="K20" s="1"/>
    </row>
    <row r="21" spans="1:11" x14ac:dyDescent="0.2">
      <c r="A21" s="18"/>
      <c r="B21" s="18"/>
      <c r="C21" s="18"/>
      <c r="D21" s="18"/>
      <c r="E21" s="70"/>
      <c r="G21" s="10" t="s">
        <v>73</v>
      </c>
      <c r="H21" s="11"/>
      <c r="I21" s="11"/>
      <c r="J21" s="11"/>
      <c r="K21" s="48"/>
    </row>
    <row r="22" spans="1:11" x14ac:dyDescent="0.2">
      <c r="A22" s="18"/>
      <c r="B22" s="18"/>
      <c r="C22" s="18"/>
      <c r="D22" s="18"/>
      <c r="E22" s="70"/>
      <c r="G22" s="13">
        <f>Calcs!D7</f>
        <v>53</v>
      </c>
      <c r="H22" s="13">
        <f>Calcs!E7</f>
        <v>56</v>
      </c>
      <c r="I22" s="13">
        <f>Calcs!F7</f>
        <v>67</v>
      </c>
      <c r="J22" s="13">
        <f>Calcs!G7</f>
        <v>63</v>
      </c>
      <c r="K22" s="54">
        <f>SUM(G22:J22)/4</f>
        <v>59.75</v>
      </c>
    </row>
    <row r="23" spans="1:11" x14ac:dyDescent="0.2">
      <c r="A23" s="18"/>
      <c r="B23" s="18"/>
      <c r="C23" s="18"/>
      <c r="D23" s="18"/>
      <c r="E23" s="70"/>
    </row>
    <row r="24" spans="1:11" x14ac:dyDescent="0.2">
      <c r="A24" s="18"/>
      <c r="B24" s="18"/>
      <c r="C24" s="18"/>
      <c r="D24" s="18"/>
      <c r="E24" s="70"/>
      <c r="G24" s="10" t="s">
        <v>3</v>
      </c>
      <c r="H24" s="11"/>
      <c r="I24" s="11"/>
      <c r="J24" s="11"/>
      <c r="K24" s="11"/>
    </row>
    <row r="25" spans="1:11" x14ac:dyDescent="0.2">
      <c r="A25" s="18"/>
      <c r="B25" s="18"/>
      <c r="C25" s="18"/>
      <c r="D25" s="18"/>
      <c r="E25" s="70"/>
      <c r="G25" s="12">
        <f>Calcs!D8</f>
        <v>433</v>
      </c>
      <c r="H25" s="12">
        <f>Calcs!E8</f>
        <v>399.76923076923077</v>
      </c>
      <c r="I25" s="12">
        <f>Calcs!F8</f>
        <v>383.4727272727273</v>
      </c>
      <c r="J25" s="12">
        <f>Calcs!G8</f>
        <v>370.39743589743591</v>
      </c>
      <c r="K25" s="12">
        <f>AVERAGE(G25:J25)</f>
        <v>396.65984848484845</v>
      </c>
    </row>
    <row r="26" spans="1:11" x14ac:dyDescent="0.2">
      <c r="A26" s="18"/>
      <c r="B26" s="18"/>
      <c r="C26" s="18"/>
      <c r="D26" s="18"/>
      <c r="E26" s="70"/>
    </row>
    <row r="27" spans="1:11" x14ac:dyDescent="0.2">
      <c r="E27" s="15"/>
    </row>
    <row r="28" spans="1:11" x14ac:dyDescent="0.2">
      <c r="E28" s="15"/>
    </row>
    <row r="29" spans="1:11" x14ac:dyDescent="0.2">
      <c r="E29" s="15"/>
    </row>
    <row r="30" spans="1:11" x14ac:dyDescent="0.2">
      <c r="E30" s="15"/>
    </row>
    <row r="31" spans="1:11" x14ac:dyDescent="0.2">
      <c r="E31" s="15"/>
    </row>
    <row r="32" spans="1:11" x14ac:dyDescent="0.2">
      <c r="E32" s="15"/>
    </row>
    <row r="57" spans="2:3" x14ac:dyDescent="0.2">
      <c r="B57" s="67" t="s">
        <v>155</v>
      </c>
      <c r="C57" s="67" t="str">
        <f>Check!D62</f>
        <v>Model OK</v>
      </c>
    </row>
  </sheetData>
  <mergeCells count="4">
    <mergeCell ref="D15:E15"/>
    <mergeCell ref="D13:E13"/>
    <mergeCell ref="D11:E11"/>
    <mergeCell ref="D9:E9"/>
  </mergeCells>
  <conditionalFormatting sqref="K16">
    <cfRule type="iconSet" priority="20">
      <iconSet iconSet="3Flags">
        <cfvo type="percent" val="0"/>
        <cfvo type="num" val="50"/>
        <cfvo type="num" val="75"/>
      </iconSet>
    </cfRule>
  </conditionalFormatting>
  <conditionalFormatting sqref="G19:K19">
    <cfRule type="iconSet" priority="11">
      <iconSet iconSet="3Flags">
        <cfvo type="percent" val="0"/>
        <cfvo type="num" val="3"/>
        <cfvo type="num" val="4.2"/>
      </iconSet>
    </cfRule>
  </conditionalFormatting>
  <conditionalFormatting sqref="G25:J25">
    <cfRule type="iconSet" priority="9">
      <iconSet iconSet="3Flags" reverse="1">
        <cfvo type="percent" val="0"/>
        <cfvo type="num" val="200"/>
        <cfvo type="num" val="250"/>
      </iconSet>
    </cfRule>
  </conditionalFormatting>
  <conditionalFormatting sqref="K25">
    <cfRule type="iconSet" priority="8">
      <iconSet iconSet="3Flags" reverse="1">
        <cfvo type="percent" val="0"/>
        <cfvo type="num" val="200"/>
        <cfvo type="num" val="250"/>
      </iconSet>
    </cfRule>
  </conditionalFormatting>
  <conditionalFormatting sqref="G22:J22">
    <cfRule type="iconSet" priority="7">
      <iconSet iconSet="3Flags" reverse="1">
        <cfvo type="percent" val="0"/>
        <cfvo type="num" val="75"/>
        <cfvo type="num" val="80"/>
      </iconSet>
    </cfRule>
  </conditionalFormatting>
  <conditionalFormatting sqref="K22">
    <cfRule type="iconSet" priority="6">
      <iconSet iconSet="3Flags" reverse="1">
        <cfvo type="percent" val="0"/>
        <cfvo type="num" val="75"/>
        <cfvo type="num" val="80"/>
      </iconSet>
    </cfRule>
  </conditionalFormatting>
  <conditionalFormatting sqref="G13:J13">
    <cfRule type="iconSet" priority="5">
      <iconSet iconSet="3Flags">
        <cfvo type="percent" val="0"/>
        <cfvo type="num" val="30"/>
        <cfvo type="num" val="40"/>
      </iconSet>
    </cfRule>
  </conditionalFormatting>
  <conditionalFormatting sqref="K13">
    <cfRule type="iconSet" priority="4">
      <iconSet iconSet="3Flags">
        <cfvo type="percent" val="0"/>
        <cfvo type="num" val="30"/>
        <cfvo type="num" val="40"/>
      </iconSet>
    </cfRule>
  </conditionalFormatting>
  <conditionalFormatting sqref="G10:J10">
    <cfRule type="iconSet" priority="3">
      <iconSet iconSet="3Flags">
        <cfvo type="percent" val="0"/>
        <cfvo type="num" val="30"/>
        <cfvo type="num" val="40"/>
      </iconSet>
    </cfRule>
  </conditionalFormatting>
  <conditionalFormatting sqref="K10">
    <cfRule type="iconSet" priority="2">
      <iconSet iconSet="3Flags">
        <cfvo type="percent" val="0"/>
        <cfvo type="num" val="30"/>
        <cfvo type="num" val="40"/>
      </iconSet>
    </cfRule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52" r:id="rId4" name="ComboBox1">
          <controlPr defaultSize="0" autoLine="0" linkedCell="B7" listFillRange="Nation" r:id="rId5">
            <anchor moveWithCells="1">
              <from>
                <xdr:col>18</xdr:col>
                <xdr:colOff>257175</xdr:colOff>
                <xdr:row>3</xdr:row>
                <xdr:rowOff>114300</xdr:rowOff>
              </from>
              <to>
                <xdr:col>20</xdr:col>
                <xdr:colOff>381000</xdr:colOff>
                <xdr:row>5</xdr:row>
                <xdr:rowOff>57150</xdr:rowOff>
              </to>
            </anchor>
          </controlPr>
        </control>
      </mc:Choice>
      <mc:Fallback>
        <control shapeId="2052" r:id="rId4" name="ComboBox1"/>
      </mc:Fallback>
    </mc:AlternateContent>
    <mc:AlternateContent xmlns:mc="http://schemas.openxmlformats.org/markup-compatibility/2006">
      <mc:Choice Requires="x14">
        <control shapeId="2053" r:id="rId6" name="ComboBox2">
          <controlPr defaultSize="0" autoLine="0" autoPict="0" linkedCell="D6" listFillRange="Dept" r:id="rId7">
            <anchor moveWithCells="1">
              <from>
                <xdr:col>3</xdr:col>
                <xdr:colOff>447675</xdr:colOff>
                <xdr:row>5</xdr:row>
                <xdr:rowOff>9525</xdr:rowOff>
              </from>
              <to>
                <xdr:col>4</xdr:col>
                <xdr:colOff>390525</xdr:colOff>
                <xdr:row>6</xdr:row>
                <xdr:rowOff>114300</xdr:rowOff>
              </to>
            </anchor>
          </controlPr>
        </control>
      </mc:Choice>
      <mc:Fallback>
        <control shapeId="2053" r:id="rId6" name="ComboBox2"/>
      </mc:Fallback>
    </mc:AlternateContent>
    <mc:AlternateContent xmlns:mc="http://schemas.openxmlformats.org/markup-compatibility/2006">
      <mc:Choice Requires="x14">
        <control shapeId="2049" r:id="rId8" name="Check Box 1">
          <controlPr defaultSize="0" autoFill="0" autoLine="0" autoPict="0">
            <anchor moveWithCells="1">
              <from>
                <xdr:col>14</xdr:col>
                <xdr:colOff>200025</xdr:colOff>
                <xdr:row>5</xdr:row>
                <xdr:rowOff>133350</xdr:rowOff>
              </from>
              <to>
                <xdr:col>15</xdr:col>
                <xdr:colOff>323850</xdr:colOff>
                <xdr:row>7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0" r:id="rId9" name="Check Box 2">
          <controlPr defaultSize="0" autoFill="0" autoLine="0" autoPict="0">
            <anchor moveWithCells="1">
              <from>
                <xdr:col>16</xdr:col>
                <xdr:colOff>76200</xdr:colOff>
                <xdr:row>5</xdr:row>
                <xdr:rowOff>133350</xdr:rowOff>
              </from>
              <to>
                <xdr:col>17</xdr:col>
                <xdr:colOff>409575</xdr:colOff>
                <xdr:row>7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1" r:id="rId10" name="Check Box 3">
          <controlPr defaultSize="0" autoFill="0" autoLine="0" autoPict="0">
            <anchor moveWithCells="1">
              <from>
                <xdr:col>18</xdr:col>
                <xdr:colOff>66675</xdr:colOff>
                <xdr:row>5</xdr:row>
                <xdr:rowOff>133350</xdr:rowOff>
              </from>
              <to>
                <xdr:col>19</xdr:col>
                <xdr:colOff>190500</xdr:colOff>
                <xdr:row>7</xdr:row>
                <xdr:rowOff>38100</xdr:rowOff>
              </to>
            </anchor>
          </controlPr>
        </control>
      </mc:Choice>
    </mc:AlternateContent>
  </control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7DBEAE1-9955-4B8B-9F1D-6BB900C1971F}">
            <xm:f>$C$57=Lists!$J$3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B57:T57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lineWeight="2.25" displayEmptyCellsAs="gap" markers="1" high="1" last="1" xr2:uid="{00000000-0003-0000-0500-000000000000}">
          <x14:colorSeries theme="9" tint="-0.249977111117893"/>
          <x14:colorNegative theme="4"/>
          <x14:colorAxis rgb="FF000000"/>
          <x14:colorMarkers theme="1" tint="4.9989318521683403E-2"/>
          <x14:colorFirst theme="4" tint="-0.249977111117893"/>
          <x14:colorLast theme="4" tint="-0.249977111117893"/>
          <x14:colorHigh theme="1"/>
          <x14:colorLow theme="4" tint="-0.249977111117893"/>
          <x14:sparklines>
            <x14:sparkline>
              <xm:f>Calcs!D15:G15</xm:f>
              <xm:sqref>D15</xm:sqref>
            </x14:sparkline>
          </x14:sparklines>
        </x14:sparklineGroup>
        <x14:sparklineGroup lineWeight="2.25" displayEmptyCellsAs="gap" markers="1" negative="1" xr2:uid="{00000000-0003-0000-0500-000001000000}">
          <x14:colorSeries theme="9" tint="-0.249977111117893"/>
          <x14:colorNegative theme="1"/>
          <x14:colorAxis rgb="FF000000"/>
          <x14:colorMarkers theme="1" tint="4.9989318521683403E-2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Calcs!D13:G13</xm:f>
              <xm:sqref>D11</xm:sqref>
            </x14:sparkline>
          </x14:sparklines>
        </x14:sparklineGroup>
        <x14:sparklineGroup lineWeight="2.25" displayEmptyCellsAs="gap" markers="1" xr2:uid="{00000000-0003-0000-0500-000002000000}">
          <x14:colorSeries theme="9" tint="-0.249977111117893"/>
          <x14:colorNegative theme="4"/>
          <x14:colorAxis rgb="FF000000"/>
          <x14:colorMarkers theme="2" tint="-0.89999084444715716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Calcs!D12:G12</xm:f>
              <xm:sqref>D9</xm:sqref>
            </x14:sparkline>
          </x14:sparklines>
        </x14:sparklineGroup>
        <x14:sparklineGroup type="column" displayEmptyCellsAs="gap" xr2:uid="{00000000-0003-0000-0500-000003000000}">
          <x14:colorSeries theme="9" tint="-0.249977111117893"/>
          <x14:colorNegative theme="4"/>
          <x14:colorAxis rgb="FF000000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Summary!G10:J10</xm:f>
              <xm:sqref>L10</xm:sqref>
            </x14:sparkline>
          </x14:sparklines>
        </x14:sparklineGroup>
        <x14:sparklineGroup type="column" displayEmptyCellsAs="gap" xr2:uid="{00000000-0003-0000-0500-000004000000}">
          <x14:colorSeries theme="9" tint="-0.249977111117893"/>
          <x14:colorNegative theme="4"/>
          <x14:colorAxis rgb="FF000000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Summary!G13:J13</xm:f>
              <xm:sqref>L13</xm:sqref>
            </x14:sparkline>
          </x14:sparklines>
        </x14:sparklineGroup>
        <x14:sparklineGroup type="column" displayEmptyCellsAs="gap" xr2:uid="{00000000-0003-0000-0500-000005000000}">
          <x14:colorSeries theme="9" tint="-0.249977111117893"/>
          <x14:colorNegative theme="4"/>
          <x14:colorAxis rgb="FF000000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Summary!G16:J16</xm:f>
              <xm:sqref>L16</xm:sqref>
            </x14:sparkline>
          </x14:sparklines>
        </x14:sparklineGroup>
        <x14:sparklineGroup type="column" displayEmptyCellsAs="gap" xr2:uid="{00000000-0003-0000-0500-000006000000}">
          <x14:colorSeries theme="9" tint="-0.249977111117893"/>
          <x14:colorNegative theme="4"/>
          <x14:colorAxis rgb="FF000000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Summary!G19:J19</xm:f>
              <xm:sqref>L19</xm:sqref>
            </x14:sparkline>
          </x14:sparklines>
        </x14:sparklineGroup>
        <x14:sparklineGroup type="column" displayEmptyCellsAs="gap" xr2:uid="{00000000-0003-0000-0500-000007000000}">
          <x14:colorSeries theme="9" tint="-0.249977111117893"/>
          <x14:colorNegative theme="4"/>
          <x14:colorAxis rgb="FF000000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Summary!G25:J25</xm:f>
              <xm:sqref>L25</xm:sqref>
            </x14:sparkline>
          </x14:sparklines>
        </x14:sparklineGroup>
        <x14:sparklineGroup type="column" displayEmptyCellsAs="gap" xr2:uid="{00000000-0003-0000-0500-000008000000}">
          <x14:colorSeries theme="9" tint="-0.249977111117893"/>
          <x14:colorNegative theme="4"/>
          <x14:colorAxis rgb="FF000000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Summary!G22:J22</xm:f>
              <xm:sqref>L22</xm:sqref>
            </x14:sparkline>
          </x14:sparklines>
        </x14:sparklineGroup>
        <x14:sparklineGroup lineWeight="2.25" displayEmptyCellsAs="gap" markers="1" xr2:uid="{00000000-0003-0000-0500-000009000000}">
          <x14:colorSeries theme="9" tint="-0.249977111117893"/>
          <x14:colorNegative theme="4"/>
          <x14:colorAxis rgb="FF000000"/>
          <x14:colorMarkers theme="1" tint="4.9989318521683403E-2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Calcs!D14:G14</xm:f>
              <xm:sqref>D13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Model</vt:lpstr>
      <vt:lpstr>Lists</vt:lpstr>
      <vt:lpstr>HR</vt:lpstr>
      <vt:lpstr>Staff</vt:lpstr>
      <vt:lpstr>Calcs</vt:lpstr>
      <vt:lpstr>Chart</vt:lpstr>
      <vt:lpstr>Check</vt:lpstr>
      <vt:lpstr>Summary</vt:lpstr>
      <vt:lpstr>Dept</vt:lpstr>
      <vt:lpstr>Nation</vt:lpstr>
    </vt:vector>
  </TitlesOfParts>
  <Company>Queensland Rail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Small, Marcus</dc:creator>
  <cp:lastModifiedBy>marcus small</cp:lastModifiedBy>
  <dcterms:created xsi:type="dcterms:W3CDTF">2014-06-17T01:26:18Z</dcterms:created>
  <dcterms:modified xsi:type="dcterms:W3CDTF">2020-05-21T23:07:08Z</dcterms:modified>
</cp:coreProperties>
</file>