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ukolov\Documents\repo\posh-sandbox\supercalc\xlsm\"/>
    </mc:Choice>
  </mc:AlternateContent>
  <bookViews>
    <workbookView xWindow="0" yWindow="0" windowWidth="14400" windowHeight="6255"/>
  </bookViews>
  <sheets>
    <sheet name="A" sheetId="1" r:id="rId1"/>
  </sheets>
  <definedNames>
    <definedName name="Print_Area" localSheetId="0">#REF!</definedName>
    <definedName name="Sheet_Title" localSheetId="0">"A"</definedName>
  </definedNames>
  <calcPr calcId="162913" iterate="1"/>
  <webPublishing css="0" allowPng="1" codePage="1252"/>
</workbook>
</file>

<file path=xl/calcChain.xml><?xml version="1.0" encoding="utf-8"?>
<calcChain xmlns="http://schemas.openxmlformats.org/spreadsheetml/2006/main">
  <c r="N523" i="1" l="1"/>
  <c r="H522" i="1"/>
  <c r="F516" i="1"/>
  <c r="H511" i="1"/>
  <c r="F511" i="1"/>
  <c r="J512" i="1" s="1"/>
  <c r="H516" i="1" s="1"/>
  <c r="J479" i="1"/>
  <c r="F479" i="1"/>
  <c r="H463" i="1"/>
  <c r="H449" i="1"/>
  <c r="H434" i="1"/>
  <c r="H420" i="1"/>
  <c r="F420" i="1"/>
  <c r="L418" i="1"/>
  <c r="J418" i="1"/>
  <c r="N419" i="1" s="1"/>
  <c r="F418" i="1"/>
  <c r="H406" i="1"/>
  <c r="F406" i="1"/>
  <c r="J404" i="1"/>
  <c r="H404" i="1"/>
  <c r="D404" i="1"/>
  <c r="L383" i="1"/>
  <c r="J383" i="1"/>
  <c r="H383" i="1"/>
  <c r="F383" i="1"/>
  <c r="D383" i="1"/>
  <c r="F381" i="1"/>
  <c r="D381" i="1"/>
  <c r="J359" i="1"/>
  <c r="H359" i="1"/>
  <c r="H357" i="1"/>
  <c r="L358" i="1" s="1"/>
  <c r="D330" i="1"/>
  <c r="H322" i="1" s="1"/>
  <c r="H303" i="1"/>
  <c r="H280" i="1"/>
  <c r="N192" i="1"/>
  <c r="L192" i="1"/>
  <c r="H184" i="1"/>
  <c r="F184" i="1"/>
  <c r="H176" i="1"/>
  <c r="F176" i="1"/>
  <c r="N167" i="1"/>
  <c r="F251" i="1" s="1"/>
  <c r="L167" i="1"/>
  <c r="J167" i="1"/>
  <c r="N161" i="1"/>
  <c r="F208" i="1" s="1"/>
  <c r="L161" i="1"/>
  <c r="J161" i="1"/>
  <c r="N149" i="1"/>
  <c r="L176" i="1" s="1"/>
  <c r="F149" i="1"/>
  <c r="E148" i="1"/>
  <c r="J140" i="1"/>
  <c r="J134" i="1"/>
  <c r="L128" i="1"/>
  <c r="J128" i="1"/>
  <c r="N128" i="1" s="1"/>
  <c r="J119" i="1"/>
  <c r="J113" i="1"/>
  <c r="L107" i="1"/>
  <c r="H100" i="1" s="1"/>
  <c r="F107" i="1"/>
  <c r="J100" i="1"/>
  <c r="N19" i="1"/>
  <c r="L405" i="1" s="1"/>
  <c r="N176" i="1" l="1"/>
  <c r="J280" i="1" s="1"/>
  <c r="H119" i="1"/>
  <c r="L119" i="1" s="1"/>
  <c r="H134" i="1"/>
  <c r="L134" i="1" s="1"/>
  <c r="J516" i="1"/>
  <c r="L100" i="1"/>
  <c r="F404" i="1"/>
  <c r="H140" i="1"/>
  <c r="H113" i="1"/>
  <c r="L184" i="1"/>
  <c r="N184" i="1" s="1"/>
  <c r="J303" i="1" s="1"/>
  <c r="L113" i="1"/>
  <c r="L140" i="1"/>
  <c r="H251" i="1" l="1"/>
  <c r="D251" i="1"/>
  <c r="L303" i="1"/>
  <c r="F303" i="1"/>
  <c r="B383" i="1"/>
  <c r="L280" i="1"/>
  <c r="D387" i="1"/>
  <c r="F280" i="1"/>
  <c r="H208" i="1"/>
  <c r="D208" i="1"/>
  <c r="J449" i="1" l="1"/>
  <c r="F449" i="1"/>
  <c r="F217" i="1"/>
  <c r="J434" i="1"/>
  <c r="F434" i="1"/>
  <c r="J463" i="1"/>
  <c r="F463" i="1"/>
  <c r="L284" i="1"/>
  <c r="D320" i="1"/>
  <c r="L321" i="1" s="1"/>
  <c r="D341" i="1"/>
  <c r="J342" i="1" s="1"/>
</calcChain>
</file>

<file path=xl/sharedStrings.xml><?xml version="1.0" encoding="utf-8"?>
<sst xmlns="http://schemas.openxmlformats.org/spreadsheetml/2006/main" count="415" uniqueCount="267">
  <si>
    <t>-</t>
  </si>
  <si>
    <t>*</t>
  </si>
  <si>
    <t>=</t>
  </si>
  <si>
    <t>"</t>
  </si>
  <si>
    <t>"</t>
  </si>
  <si>
    <t/>
  </si>
  <si>
    <t>/</t>
  </si>
  <si>
    <t>)</t>
  </si>
  <si>
    <t>"</t>
  </si>
  <si>
    <t>* ( 1 -</t>
  </si>
  <si>
    <t>)=</t>
  </si>
  <si>
    <t>-</t>
  </si>
  <si>
    <t>*(</t>
  </si>
  <si>
    <t>+</t>
  </si>
  <si>
    <t>) -</t>
  </si>
  <si>
    <t>2</t>
  </si>
  <si>
    <t>-----------------------</t>
  </si>
  <si>
    <t>-------------------------</t>
  </si>
  <si>
    <t>-----------------------------------------------</t>
  </si>
  <si>
    <t>----------------------</t>
  </si>
  <si>
    <t>------------------------------------------------------------</t>
  </si>
  <si>
    <t>(1.2-0.94)/ 72 =</t>
  </si>
  <si>
    <t>+ 2.14 /</t>
  </si>
  <si>
    <t>---------------------------------------</t>
  </si>
  <si>
    <t>--------------------------------------</t>
  </si>
  <si>
    <t>---------------------------------------------------------------------</t>
  </si>
  <si>
    <t>&lt;</t>
  </si>
  <si>
    <t>------------------</t>
  </si>
  <si>
    <t>sin a =</t>
  </si>
  <si>
    <t>n * S * K</t>
  </si>
  <si>
    <t>------------------------------------------------------------------</t>
  </si>
  <si>
    <t>n  =  ----------;</t>
  </si>
  <si>
    <t>n  =  ----------- =</t>
  </si>
  <si>
    <t>&gt; 1.25</t>
  </si>
  <si>
    <t>-------------------</t>
  </si>
  <si>
    <t>-------------</t>
  </si>
  <si>
    <t>)+</t>
  </si>
  <si>
    <t>&gt;</t>
  </si>
  <si>
    <t>-----------------</t>
  </si>
  <si>
    <t>R1 = R2 = Q/2 =</t>
  </si>
  <si>
    <t>Q * a</t>
  </si>
  <si>
    <t>R1" = -------- = ----------------- =</t>
  </si>
  <si>
    <t>a + b</t>
  </si>
  <si>
    <t>R2" = Q - R1"=</t>
  </si>
  <si>
    <t>---------</t>
  </si>
  <si>
    <t>--------------------</t>
  </si>
  <si>
    <t>----------</t>
  </si>
  <si>
    <t>---------------------</t>
  </si>
  <si>
    <t>----------------------------</t>
  </si>
  <si>
    <t>--------</t>
  </si>
  <si>
    <t>Д А Н Н Ы Е  Д Л Я  Р А С Ч Е Т А</t>
  </si>
  <si>
    <t>К Р Е П Л Е Н И Я  Г Р У З А (ПАКЕТ ОПОР)</t>
  </si>
  <si>
    <t>Q гр  - вес  груза, т                              -</t>
  </si>
  <si>
    <t>о</t>
  </si>
  <si>
    <t>Q гр  - вес  груза с креплением,т</t>
  </si>
  <si>
    <t>Q"гр  - вес  верхнего ряда, т</t>
  </si>
  <si>
    <t>Q в  -  вес  тары  полувагона, т                   -</t>
  </si>
  <si>
    <t>H гр - высота Ц Т Г над уровнем головок рельсов, м -</t>
  </si>
  <si>
    <t>H в - высота Ц Т П  над уровнем головок рельсов,м  -</t>
  </si>
  <si>
    <t>H цт -  высота  Ц Т Г  над  полом,м</t>
  </si>
  <si>
    <t>пр</t>
  </si>
  <si>
    <t>H у -  высота  продольного упора, м                -</t>
  </si>
  <si>
    <t>п</t>
  </si>
  <si>
    <t>H у -  высота  поперечного  упора, м               -</t>
  </si>
  <si>
    <t>М   -  коэффициент трения стали по дереву          -</t>
  </si>
  <si>
    <t>дерева по дереву                    -</t>
  </si>
  <si>
    <t>S п - площадь проекции наветренной поверхности груза</t>
  </si>
  <si>
    <t>на вертикальную плоскость, проходящую через</t>
  </si>
  <si>
    <t>продольную ось вагона, м2                    -</t>
  </si>
  <si>
    <t>S в - площадь проекции наветренной поверхности п/вагона</t>
  </si>
  <si>
    <t>на вертикальную плоскость,проходящую через</t>
  </si>
  <si>
    <t>продольную  ось   полувагона,  м2                    -</t>
  </si>
  <si>
    <t>Aпр -  удельная    величина   продольной</t>
  </si>
  <si>
    <t>инерционной  силы                        - по расчету</t>
  </si>
  <si>
    <t>Ап  -  удельная   величина   поперечной</t>
  </si>
  <si>
    <t>инерционной  силы,                       - по расчету</t>
  </si>
  <si>
    <t>Ав  -  удельная  величина  вертикальной</t>
  </si>
  <si>
    <t>lгр -  расстояние  от Ц Т Г  до вертикальной плос-</t>
  </si>
  <si>
    <t>кости, проходящей  через поперечную  ось</t>
  </si>
  <si>
    <t>вагона , м                                  -</t>
  </si>
  <si>
    <t>L в -  база  вагона ,м                             -</t>
  </si>
  <si>
    <t>l пр -  кратчайшее  расстояние  от  проекции</t>
  </si>
  <si>
    <t>Ц Т Г   на  горизонтальную  плоскость до</t>
  </si>
  <si>
    <t>ребра  опрокидывания  вдоль  вагона,м      -</t>
  </si>
  <si>
    <t>b п  -  кратчайшее  расстояние  от  проекции</t>
  </si>
  <si>
    <t>Ц Т Г  на  горизонтальную  плоскость</t>
  </si>
  <si>
    <t>до  ребра  опрокидывания поперек вагона,м  -</t>
  </si>
  <si>
    <t>Rгв -  допускаемая  нагрузка  на гвоздь ф 6 мм, т  -</t>
  </si>
  <si>
    <t>Р  А  С  Ч  Е  Т</t>
  </si>
  <si>
    <t>1. И Н Е Р Ц И О Н Н Ы Е   С И Л Ы</t>
  </si>
  <si>
    <t>1.1. ПРОДОЛЬНАЯ  ИНЕРЦИОННАЯ  СИЛА</t>
  </si>
  <si>
    <t>Fпр = Aпр * Q гр ;</t>
  </si>
  <si>
    <t>Fпр =</t>
  </si>
  <si>
    <t>тс</t>
  </si>
  <si>
    <t>УДЕЛЬНАЯ  ВЕЛИЧИНА ЕЕ:</t>
  </si>
  <si>
    <t>Aпр  = A22 - Q  гр (A22 - A94) / 72  ;</t>
  </si>
  <si>
    <t>Aпр  =</t>
  </si>
  <si>
    <t>1.2. ПРОДОЛЬНАЯ ИНЕРЦИОННАЯ СИЛА ДЛЯ ВЕРХНЕГО РЯДА ОПОР</t>
  </si>
  <si>
    <t>1.3. ПОПЕРЕЧНАЯ  ИНЕРЦИОННАЯ  СИЛА</t>
  </si>
  <si>
    <t>Fп = Aп * Q гр ;   Fп =</t>
  </si>
  <si>
    <t>УДЕЛЬНАЯ  ВЕЛИЧИНА  ЕЕ:</t>
  </si>
  <si>
    <t>Aп = Ac + 2 * ( Aш - Ac ) * lгр / L в  ;</t>
  </si>
  <si>
    <t>Aп =  0.33 + 2 * (0.55 - 0.33)*</t>
  </si>
  <si>
    <t>1.4. ПОПЕРЕЧНАЯ ИНЕРЦИОННАЯ СИЛА ДЛЯ ВЕРХНЕГО РЯДА ОПОР</t>
  </si>
  <si>
    <t>1.5. ВЕРТИКАЛЬНАЯ  ИНЕРЦИОННАЯ  СИЛА</t>
  </si>
  <si>
    <t>Fв = Aв * Q гр ; Fв</t>
  </si>
  <si>
    <t>УДЕЛЬНАЯ  ВЕЛИЧИНА  ЕЕ :</t>
  </si>
  <si>
    <t>Aв = 0.25 + K * Lгр + 2.14 / Q гр  ;</t>
  </si>
  <si>
    <t>Aв =0.25 + 5 *10*</t>
  </si>
  <si>
    <t>2. C И Л Ы  Т Р Е Н И Я</t>
  </si>
  <si>
    <t>2.1. ПРОДОЛЬНАЯ СИЛА ТРЕНИЯ</t>
  </si>
  <si>
    <t>F тр = M * Q гр  ;     F тр   =</t>
  </si>
  <si>
    <t>2.2. ПРОДОЛЬНАЯ СИЛА ТРЕНИЯ ДЛЯ ВЕРХНЕГО РЯДА ОПОР</t>
  </si>
  <si>
    <t>2.3. ПОПЕРЕЧНАЯ  СИЛА  ТРЕНИЯ</t>
  </si>
  <si>
    <t>F тр  =  Q гр * M * (1 -A в )</t>
  </si>
  <si>
    <t>F тр   =</t>
  </si>
  <si>
    <t>2.4. ПОПЕРЕЧНАЯ  СИЛА  ТРЕНИЯ ДЛЯ ВЕРХНЕГО РЯДА ОПОР</t>
  </si>
  <si>
    <t>т</t>
  </si>
  <si>
    <t>3. В Е Т Р О В А Я  Н А Г Р У З К А</t>
  </si>
  <si>
    <t>W п = q * S п ;</t>
  </si>
  <si>
    <t>W п =</t>
  </si>
  <si>
    <t>К Р Е П Л Е Н И Е   Г Р У З А   О Т  П Р О Д О Л Ь Н О</t>
  </si>
  <si>
    <t>Г О  С М Е Щ Е Н И Я</t>
  </si>
  <si>
    <t>4.1. ПРОДОЛЬНАЯ  СИЛА, СДВИГАЮЩАЯ  ГРУЗ</t>
  </si>
  <si>
    <t>/\ F пр =  F пр  -  F тр ;</t>
  </si>
  <si>
    <t>/\ F пр =</t>
  </si>
  <si>
    <t>4.2. КРЕПЛЕНИЕМ  ОТ ПРОДОЛЬНОГО СМЕЩЕНИЯ ГРУЗА РАЗМЕЩЕННОГО</t>
  </si>
  <si>
    <t>В ПОЛУВАГОНЕ ЯВЛЯЕТСЯ  Т О Р Ц О В Ы Й  П О Р О Ж Е К</t>
  </si>
  <si>
    <t>/\ F пр  =         т  &lt;  F пор =  41.8  т</t>
  </si>
  <si>
    <t>(доп.)</t>
  </si>
  <si>
    <t>F пор  = 43.7 т   -    ДОПУСКАЕМАЯ НАГРУЗКА  НА ТОРЦЕВОЙ</t>
  </si>
  <si>
    <t>ПОРОЖЕК  ПОЛУВАГОНА   ПО  ТАБЛ.  27   Т У   ПОГРУЗКИ</t>
  </si>
  <si>
    <t>ПРОДОЛЬНАЯ НАГРУЗКА ПЕРЕДАЕТСЯ РАМКОЙ, ИЗГОТОВЛЕННОЙ</t>
  </si>
  <si>
    <t>ИЗ УПОРНЫХ БРУСЬЕВ - ПОЗ.3,5 СКРЕПЛЕННЫХ МЕЖДУ СОБОЙ</t>
  </si>
  <si>
    <t>ДОСКАМИ - ПОЗ.6 И ГВОЗДЯМИ - ПОЗ.11</t>
  </si>
  <si>
    <t>И ЩИТАМИ - ПОЗ.2 - 2 ШТ,СОЕДИНЕННЫМИ МЕЖДУ СОБОЙ</t>
  </si>
  <si>
    <t>ДОСКАМИ - ПОЗ.7 И ГВОЗДЯМИ - ПОЗ.11</t>
  </si>
  <si>
    <t>В ДРУГУЮ СТОРОНУ ПРОДОЛЬНАЯ НАГРУЗКА ПЕРЕДАЕТСЯ УПОРНЫМ</t>
  </si>
  <si>
    <t>БРУСОМ - ПОЗ.4 И ЩИТОМ - ПОЗ.1, УСТАНОВЛЕННЫМ НА БРУС.</t>
  </si>
  <si>
    <t>ДОПОЛНИТЕЛЬНОЕ    КРЕПЛЕНИЕ    НЕ  ТРЕБУЕТСЯ</t>
  </si>
  <si>
    <t>4.2. ПРОДОЛЬНАЯ  СИЛА, СДВИГАЮЩАЯ ВТОРОЙ РЯД ОПОР</t>
  </si>
  <si>
    <t>КРЕПЛЕНИЕМ ОТ ПРОДОЛЬНОГО СМЕЩЕНИЯ ВЕРХНЕГО РЯДА ОПОР</t>
  </si>
  <si>
    <t>ЯВЛЯЮТСЯ  ТОРЦОВЫЕ СТЕНЫ,НАГРУЗКА НА КОТОРЫЕ ПЕРЕДАЕТСЯ</t>
  </si>
  <si>
    <t>ПО ВСЕЙ ВЫСОТЕ ЩИТАМИ - ПОЗ.1,2.</t>
  </si>
  <si>
    <t>Fтор - 40 тс табл.27 ТУ-ДОПУСКАЕМАЯ НАГРУЗКА</t>
  </si>
  <si>
    <t>ДОПОЛНИТЕЛЬНОЕ КРЕПЛЕНИЕ НЕ ТРЕБУЕТСЯ</t>
  </si>
  <si>
    <t>5. К Р Е П Л Е Н И Е  Г Р У З О В   О Т   П О П Е Р Е Ч Н О</t>
  </si>
  <si>
    <t>5.1 ПОПЕРЕЧНАЯ, СДВИГАЮЩАЯ  ГРУЗ  СИЛА</t>
  </si>
  <si>
    <t>/\ F п =  1.25 ( Fп + Wп) - Fтр  ;</t>
  </si>
  <si>
    <t>/\ F п =</t>
  </si>
  <si>
    <t>ПОПЕРЕЧНАЯ  НАГРУЗКА   ОТ  ГРУЗА  , РАВНАЯ</t>
  </si>
  <si>
    <t>ПЕРЕДАЕТСЯ РАСПОРНЫМИ ДОСКАМИ - ПОЗ.8,9 НА БОКОВЫЕ СТОЙКИ</t>
  </si>
  <si>
    <t>ПОЛУВАГОНА  МЕНЬШЕ , ЧЕМ  16.2 * 2 = 32.4 т.</t>
  </si>
  <si>
    <t>ГДЕ:  СОГЛАСНО ТАБЛ.27  Т  У  ПОГРУЗКИ СОСРЕДОТОЧЕННОЕ УСИЛИЕ</t>
  </si>
  <si>
    <t>НА  КАЖДУЮ  ИЗ  СТОЕК  БОКОВОЙ  СТЕНКИ  НЕ  ДОЛЖНО</t>
  </si>
  <si>
    <t>ПРЕВЫШАТЬ  16.2 т (ЗАДЕЙСТВОВАНО 2 СТОЙКИ)</t>
  </si>
  <si>
    <t>5.2 ПОПЕРЕЧНАЯ СИЛА, СДВИГАЮЩАЯ ВТОРОЙ РЯД ГРУЗА</t>
  </si>
  <si>
    <t>КРЕПЛЕНИЕМ ВТОРОГО РЯДА ГРУЗА ЯВЛЯЮТСЯ ОБВЯЗКИ ИЗ</t>
  </si>
  <si>
    <t>ПРОВОЛОКИ ф6 ММ В 4 НИТИ - ПОЗ.14</t>
  </si>
  <si>
    <t>5.3 УСИЛИЕ  В  ОБВЯЗКЕ  ОТ  ПОПЕРЕЧНОЙ  НАГРУЗКИ</t>
  </si>
  <si>
    <t>/\F п</t>
  </si>
  <si>
    <t>Rоб = --------------------:</t>
  </si>
  <si>
    <t>n об* м * sin а</t>
  </si>
  <si>
    <t>Rоб = ----------------------------------- =</t>
  </si>
  <si>
    <t>&lt; 1.24 доп</t>
  </si>
  <si>
    <t>n об -количество обвязок</t>
  </si>
  <si>
    <t>a - угол наклона обвязки к полу вагона -</t>
  </si>
  <si>
    <t>5.4 РАСЧЕТ ШПИЛЕК М24 НА СРЕЗ ОТ ДЕЙСТВИЯ ПОПЕРЕЧНОЙ СИЛЫ</t>
  </si>
  <si>
    <t>бср = --------------;</t>
  </si>
  <si>
    <t>бср = --------------------------- =</t>
  </si>
  <si>
    <t>&lt; 1200кгс/см2</t>
  </si>
  <si>
    <t>Р А С Ч Е Т  У С Т О Й Ч И В О С Т И  Г Р У З А</t>
  </si>
  <si>
    <t>В  П О Л У В А Г О Н Е</t>
  </si>
  <si>
    <t>6.1  КОЭФФИЦИЕНТ  ЗАПАСА УСТОЙЧИВОСТИ  ГРУЗА В ПОЛУВАГОНЕ В</t>
  </si>
  <si>
    <t>ПРОДОЛЬНОМ  НАПРАВЛЕНИИ</t>
  </si>
  <si>
    <t>l пр</t>
  </si>
  <si>
    <t>Hцт - H у</t>
  </si>
  <si>
    <t>ГРУЗ  УСТОЙЧИВ</t>
  </si>
  <si>
    <t>6.2  КОЭФФИЦИЕНТ  ЗАПАСА  УСТОЙЧИВОСТИ  ГРУЗА  В ПОЛУВАГОНЕ</t>
  </si>
  <si>
    <t>В ПОПЕРЕЧНОМ  НАПРАВЛЕНИИ  ДЛЯ  ГРУЗА</t>
  </si>
  <si>
    <t>Q гр * b п</t>
  </si>
  <si>
    <t>n п  =   ---------------------------------------  ;</t>
  </si>
  <si>
    <t>Fп * (H цт - Н у) + W п * (Н нп - Н у)</t>
  </si>
  <si>
    <t>n п = ----------------------------------------------------- =</t>
  </si>
  <si>
    <t>7. РАСЧЕТ ВЫСОТЫ ОБЩЕГО ЦЕНТРА ТЯЖЕСТИ ГРУЗА С ПОЛУВАГОНОМ</t>
  </si>
  <si>
    <t>Qгр * Hгр + Qв * Hв</t>
  </si>
  <si>
    <t>Hцто = ---------------------- ;</t>
  </si>
  <si>
    <t>Qгр + Qв</t>
  </si>
  <si>
    <t>Hцто = ------------------------------------ =</t>
  </si>
  <si>
    <t>м</t>
  </si>
  <si>
    <t>7.1.ПРОДОЛЬНОЕ СМЕЩЕНИЕ ОБЩЕГО ЦЕНТРА ТЯЖЕСТИ ГРУЗА</t>
  </si>
  <si>
    <t>С ПОЛУВАГОНОМ.</t>
  </si>
  <si>
    <t>об</t>
  </si>
  <si>
    <t>Qгр * lгр + Qв * lв</t>
  </si>
  <si>
    <t>lпр = 12.7*0.5 - ---------------------</t>
  </si>
  <si>
    <t>lпр = 12.7*0.5 - -------------------------------- =</t>
  </si>
  <si>
    <t>ПРОДОЛЬНОЕ СМЕЩЕНИЕ ОБЩЕГО ЦЕНТРА ТЯЖЕСТИ ГРУЗА - 137 ММ</t>
  </si>
  <si>
    <t>8.1. РАСЧЕТ БРУСЬЕВ - ПОЗ.3,4 НА СМЯТИЕ ОТ ДЕЙСТВИЯ</t>
  </si>
  <si>
    <t>ПРОДОЛЬНОЙ СИЛЫ</t>
  </si>
  <si>
    <t>/\ F пр</t>
  </si>
  <si>
    <t>б =  --------- =</t>
  </si>
  <si>
    <t>кг/см &lt; 30</t>
  </si>
  <si>
    <t>кг/cм 2</t>
  </si>
  <si>
    <t>N * Sб</t>
  </si>
  <si>
    <t>N  =   2  - ЧИСЛО  МЕСТ  КОНТАКТА</t>
  </si>
  <si>
    <t>- число мест контакта</t>
  </si>
  <si>
    <t>Sб  =  55 * 8.5</t>
  </si>
  <si>
    <t>ПЛОЩАДЬ КОНТАКТА</t>
  </si>
  <si>
    <t>8.2.РАСЧЕТ ЩИТОВ - ПОЗ.1,2 НА СМЯТИЕ ОТ ДЕЙСТВИЯ</t>
  </si>
  <si>
    <t>/\ Fпр</t>
  </si>
  <si>
    <t>N - число мест контакта -12</t>
  </si>
  <si>
    <t>Sб - площадь контакта,15*15</t>
  </si>
  <si>
    <t>8.3. РАСЧЕТ ДОСКИ - ПОЗ.8,9 НА СМЯТИЕ ОТ ДЕЙСТВИЯ</t>
  </si>
  <si>
    <t>ПОПЕРЕЧНОЙ СИЛЫ ПОДКЛАДНЫМИ БРУСЬЯМИ ПАКЕТА ОПОР</t>
  </si>
  <si>
    <t>/\ F п</t>
  </si>
  <si>
    <t>Sб  =  15 * 15</t>
  </si>
  <si>
    <t>-площадь контакта</t>
  </si>
  <si>
    <t>8.4. РАСЧЕТ НАГРУЗКИ НА ЛЮКИ ПОЛУВАГОНА ОТ ВЕСА ГРУЗА</t>
  </si>
  <si>
    <t>8.4.1 РЕАКЦИИ В ОПОРАХ</t>
  </si>
  <si>
    <t>НАГРУЗКА R1 = 5.35 т ПЕРЕДАЕТСЯ НА ПРОМЕЖУТОЧНУЮ БАЛКУ</t>
  </si>
  <si>
    <t>ПРИ ШИРИНЕ РАСПРЕДЕЛЕНИЯ НАГРУЗКИ 2700ММ ДОПУСКАЕМАЯ НАГРУЗ-</t>
  </si>
  <si>
    <t>КА НА ОДНУ ПОПЕРЕЧНУЮ ПРОМЕЖУТОЧНУЮ БАЛКУ ПО ТАБЛ.16</t>
  </si>
  <si>
    <t>СОСТАВЛЯЕТ - 31.0 Т</t>
  </si>
  <si>
    <t>R1 = 5.35 т &lt; 31.0 т</t>
  </si>
  <si>
    <t>НАГРУЗКА R2 = 5.35 тс ПЕРЕДАЕТСЯ НА ПАРУ ЛЮКОВ И ХРЕБ -</t>
  </si>
  <si>
    <t>ТОВУЮ БАЛКУ</t>
  </si>
  <si>
    <t>СУММАРНАЯ НАГРУЗКА, ПЕРЕДАВАЕМАЯ ЧЕРЕЗ ОДНУ ПОДКЛАДКУ НА</t>
  </si>
  <si>
    <t>ПАРУ ЛЮКОВ,НЕ ДОЛЖНА ПРЕВЫШАТЬ - 8.3 тс</t>
  </si>
  <si>
    <t>R2 = 5.35 тс &lt; 8.3 тс</t>
  </si>
  <si>
    <t>9. НАГРУЗКА НА РАМУ ПОЛУВАГОНА ПРИ НЕСИММЕТРИЧНОМ РАСПОЛОЖЕНИИ</t>
  </si>
  <si>
    <t>ЦТГ</t>
  </si>
  <si>
    <t>10. ИЗГИБАЮЩИЙ МОМЕНТ В РАМЕ ПЛАТФОРМЫ</t>
  </si>
  <si>
    <t>P * а * в</t>
  </si>
  <si>
    <t>М = ------------- = ------------------------------- =</t>
  </si>
  <si>
    <t>l пв</t>
  </si>
  <si>
    <t>Максимально допустимое значение изгибающего момента</t>
  </si>
  <si>
    <t>при ширине распределения нагрузки 2700 мм составляет</t>
  </si>
  <si>
    <t>по таблице 15 ТУ - 57.5 тс</t>
  </si>
  <si>
    <t>1.ПОГРУЗКУ  ЯЩИКОВ  ПРОИЗВОДИТЬ  В  УНИВЕРСАЛЬНОМ ЧЕТЫРЕХ -</t>
  </si>
  <si>
    <t>ОСНОМ  ПОЛУВАГОНЕ  П.С.  69 т  С ДЛИНОЙ КУЗОВА 12700 ММ.</t>
  </si>
  <si>
    <t>ГРУЗ Q1</t>
  </si>
  <si>
    <t>2. ЯЩИК  УСТАНОВИТЬ  ВПЛОТНУЮ  К  ТОРЦЕВОМУ  БОРТУ.</t>
  </si>
  <si>
    <t>3.ОТ  ПРОДОЛЬНОГО  СМЕЩЕНИЯ ЯЩИК  ЗАКРЕПИТЬ  ПРОВОЛОЧНЫМИ</t>
  </si>
  <si>
    <t>ОБВЯЗКАМИ  ИЗ  ПРОВОЛОКИ ф  6  М  В  2  НИТИ - ПОЗ. 13.</t>
  </si>
  <si>
    <t>4.ОТ  ПОПЕРЕЧНОГО  СМЕЩЕНИЯ  ГРУЗ  ЗАКРЕПИТЬ  БРУСКАМИ  ПОЗ. 4</t>
  </si>
  <si>
    <t>СКРЕПЛЕННЫМИ  МЕЖДУ  СОБОЙ  ДОСКАМИ  ПОЗ.12 ПРИ  ПОМОЩИ</t>
  </si>
  <si>
    <t>ГВОЗДЕЙ ПОЗ.3.</t>
  </si>
  <si>
    <t>ГРУЗ  Q2</t>
  </si>
  <si>
    <t>5. ОТ  ПРОДОЛЬНОГО  СМЕЩЕНИЯ  ГРУЗ  РАСКРЕПИТЬ  РАСТЯЖКАМИ</t>
  </si>
  <si>
    <t>(2)  (3) ИЗ  ПРОВОЛОКИ ф 6  В  2  НИТИ.</t>
  </si>
  <si>
    <t>6.ОТ  ПОПЕРЕЧНОГО  СМЕЩЕНИЯ  ГРУЗ  ЗАКРЕПИТЬ  БРУСКАМИ</t>
  </si>
  <si>
    <t>ПОЗ. 5 , УСТАНОВИВ  ИХ  ВПЛОТНУЮ  К  ПОДКЛАДКАМ  ГРУЗА  И</t>
  </si>
  <si>
    <t>СКРЕПИВ  ИХ  ДОСКАМИ  ПОЗ.10  (СМ.ВИД В).</t>
  </si>
  <si>
    <t>7. ОТ  ПРОДОЛЬНОГО  ОПРОКИДЫВАНИЯ  ГРУЗ  ЗАКРЕПИТЬ  РАСТЯЖКАМИ</t>
  </si>
  <si>
    <t>(5) (4) ИЗ ПРОВОЛОКИ ф 6  ММ  В  2  НИТИ.</t>
  </si>
  <si>
    <t>РАСТЯЖКИ  КРЕПИТЬ  ЗА  ЦАПФЫ  И  ОТВЕРСТИЯ  В  ЛАПАХ.</t>
  </si>
  <si>
    <t>ГРУЗ Q3.</t>
  </si>
  <si>
    <t>8.ГРУЗ  УСТАНОВИТЬ  ВПЛОТНУЮ  К  ТОРЦЕВОМУ  БОРТУ.</t>
  </si>
  <si>
    <t>9. ОТ  ПРОДОЛЬНОГО  СМЕЩЕНИЯ  ГРУЗ  РАСКРЕПИТЬ  ОБВЯЗКАМИИ</t>
  </si>
  <si>
    <t>ИЗ  ПРОВОЛОКИ ф 6 мм   В  4  НИТИ.</t>
  </si>
  <si>
    <t>10. ОТ  ПОПЕРЕЧНОГО  СМЕЩЕНИЯ  ГРУЗ  РАСКРЕПИТЬ  БРУСЬЯМИ</t>
  </si>
  <si>
    <t>ПОЗ. 6 И  7, СОБРАННЫМИ  В  РАМКУ   ДОСКАМИ  ПОЗ.10.</t>
  </si>
  <si>
    <t>11. ДЛЯ  КРЕПЛЕНИЯ  ОБВЯЗОК  К  ЯЩИКАМ  ГРУЗОВ  Q1  И Q2</t>
  </si>
  <si>
    <t>ПРИБИТЬ  ДОСКИ  ПОЗ.11.</t>
  </si>
  <si>
    <t>12. Л Ю К И  ПОЛУВАГОНА   ДОЛЖНЫ   БЫТЬ    ЗАКРЫТЫ  И  ЗАПЕРТЫ</t>
  </si>
  <si>
    <t>НА  ЗАПОРЫ .</t>
  </si>
  <si>
    <t>13. * СПРАВОЧНЫЙ РАЗМЕР.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</si>
</sst>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03"/>
  <sheetViews>
    <sheetView tabSelected="1" workbookViewId="0"/>
  </sheetViews>
  <sheetFormatPr defaultRowHeight="12.75"/>
  <cols>
    <col min="16" max="256" width="0" hidden="1"/>
  </cols>
  <sheetData>
    <row r="3" spans="2:14">
      <c r="D3" t="s">
        <v>50</v>
      </c>
    </row>
    <row r="5" spans="2:14">
      <c r="C5" t="s">
        <v>51</v>
      </c>
    </row>
    <row r="6" spans="2:14">
      <c r="C6" t="s">
        <v>18</v>
      </c>
    </row>
    <row r="11" spans="2:14">
      <c r="B11" t="s">
        <v>52</v>
      </c>
      <c r="N11">
        <v>10</v>
      </c>
    </row>
    <row r="12" spans="2:14">
      <c r="B12" t="s">
        <v>53</v>
      </c>
    </row>
    <row r="13" spans="2:14">
      <c r="B13" t="s">
        <v>54</v>
      </c>
      <c r="M13" t="s">
        <v>0</v>
      </c>
      <c r="N13">
        <v>10.7</v>
      </c>
    </row>
    <row r="15" spans="2:14">
      <c r="B15" t="s">
        <v>55</v>
      </c>
      <c r="M15" t="s">
        <v>0</v>
      </c>
      <c r="N15">
        <v>4.75</v>
      </c>
    </row>
    <row r="17" spans="2:14">
      <c r="B17" t="s">
        <v>56</v>
      </c>
      <c r="N17">
        <v>22.5</v>
      </c>
    </row>
    <row r="19" spans="2:14">
      <c r="B19" t="s">
        <v>57</v>
      </c>
      <c r="N19">
        <f>N23+1.41599999999999</f>
        <v>2.3659999999999899</v>
      </c>
    </row>
    <row r="21" spans="2:14">
      <c r="B21" t="s">
        <v>58</v>
      </c>
      <c r="N21">
        <v>1.1299999999999999</v>
      </c>
    </row>
    <row r="23" spans="2:14">
      <c r="B23" t="s">
        <v>59</v>
      </c>
      <c r="M23" t="s">
        <v>0</v>
      </c>
      <c r="N23">
        <v>0.95</v>
      </c>
    </row>
    <row r="25" spans="2:14">
      <c r="B25" t="s">
        <v>60</v>
      </c>
    </row>
    <row r="26" spans="2:14">
      <c r="B26" t="s">
        <v>61</v>
      </c>
      <c r="N26">
        <v>0.15</v>
      </c>
    </row>
    <row r="28" spans="2:14">
      <c r="B28" t="s">
        <v>62</v>
      </c>
    </row>
    <row r="29" spans="2:14">
      <c r="B29" t="s">
        <v>63</v>
      </c>
      <c r="N29">
        <v>0.15</v>
      </c>
    </row>
    <row r="31" spans="2:14">
      <c r="B31" t="s">
        <v>64</v>
      </c>
      <c r="N31">
        <v>0.4</v>
      </c>
    </row>
    <row r="32" spans="2:14">
      <c r="E32" t="s">
        <v>65</v>
      </c>
      <c r="N32">
        <v>0.45</v>
      </c>
    </row>
    <row r="34" spans="2:14">
      <c r="B34" t="s">
        <v>66</v>
      </c>
    </row>
    <row r="35" spans="2:14">
      <c r="B35" t="s">
        <v>67</v>
      </c>
    </row>
    <row r="36" spans="2:14">
      <c r="B36" t="s">
        <v>68</v>
      </c>
      <c r="N36">
        <v>0</v>
      </c>
    </row>
    <row r="39" spans="2:14">
      <c r="B39" t="s">
        <v>69</v>
      </c>
    </row>
    <row r="40" spans="2:14">
      <c r="B40" t="s">
        <v>70</v>
      </c>
    </row>
    <row r="41" spans="2:14">
      <c r="B41" t="s">
        <v>71</v>
      </c>
      <c r="N41">
        <v>37</v>
      </c>
    </row>
    <row r="46" spans="2:14">
      <c r="B46" t="s">
        <v>72</v>
      </c>
    </row>
    <row r="47" spans="2:14">
      <c r="B47" t="s">
        <v>73</v>
      </c>
    </row>
    <row r="50" spans="2:14">
      <c r="B50" t="s">
        <v>74</v>
      </c>
    </row>
    <row r="51" spans="2:14">
      <c r="B51" t="s">
        <v>75</v>
      </c>
    </row>
    <row r="54" spans="2:14">
      <c r="B54" t="s">
        <v>76</v>
      </c>
    </row>
    <row r="55" spans="2:14">
      <c r="B55" t="s">
        <v>73</v>
      </c>
    </row>
    <row r="58" spans="2:14">
      <c r="B58" t="s">
        <v>77</v>
      </c>
    </row>
    <row r="59" spans="2:14">
      <c r="B59" t="s">
        <v>78</v>
      </c>
    </row>
    <row r="60" spans="2:14">
      <c r="B60" t="s">
        <v>79</v>
      </c>
      <c r="N60">
        <v>0.42499999999999999</v>
      </c>
    </row>
    <row r="63" spans="2:14">
      <c r="B63" t="s">
        <v>80</v>
      </c>
      <c r="N63">
        <v>8.65</v>
      </c>
    </row>
    <row r="65" spans="2:14">
      <c r="B65" t="s">
        <v>53</v>
      </c>
    </row>
    <row r="66" spans="2:14">
      <c r="B66" t="s">
        <v>81</v>
      </c>
    </row>
    <row r="67" spans="2:14">
      <c r="B67" t="s">
        <v>82</v>
      </c>
    </row>
    <row r="68" spans="2:14">
      <c r="B68" t="s">
        <v>83</v>
      </c>
      <c r="N68">
        <v>3.1</v>
      </c>
    </row>
    <row r="69" spans="2:14">
      <c r="M69" t="s">
        <v>0</v>
      </c>
      <c r="N69">
        <v>3.1</v>
      </c>
    </row>
    <row r="70" spans="2:14">
      <c r="B70" t="s">
        <v>53</v>
      </c>
    </row>
    <row r="71" spans="2:14">
      <c r="B71" t="s">
        <v>84</v>
      </c>
    </row>
    <row r="72" spans="2:14">
      <c r="B72" t="s">
        <v>85</v>
      </c>
    </row>
    <row r="73" spans="2:14">
      <c r="B73" t="s">
        <v>86</v>
      </c>
      <c r="N73">
        <v>1.375</v>
      </c>
    </row>
    <row r="77" spans="2:14">
      <c r="B77" t="s">
        <v>87</v>
      </c>
      <c r="N77">
        <v>0.108</v>
      </c>
    </row>
    <row r="88" spans="1:5">
      <c r="E88" t="s">
        <v>88</v>
      </c>
    </row>
    <row r="89" spans="1:5">
      <c r="C89" t="s">
        <v>19</v>
      </c>
    </row>
    <row r="92" spans="1:5">
      <c r="C92" t="s">
        <v>89</v>
      </c>
    </row>
    <row r="94" spans="1:5">
      <c r="A94" t="s">
        <v>20</v>
      </c>
    </row>
    <row r="97" spans="1:13">
      <c r="A97" t="s">
        <v>90</v>
      </c>
    </row>
    <row r="100" spans="1:13">
      <c r="B100" t="s">
        <v>91</v>
      </c>
      <c r="F100" t="s">
        <v>92</v>
      </c>
      <c r="H100">
        <f>L107</f>
        <v>1.161</v>
      </c>
      <c r="I100" t="s">
        <v>1</v>
      </c>
      <c r="J100">
        <f>N11</f>
        <v>10</v>
      </c>
      <c r="K100" t="s">
        <v>2</v>
      </c>
      <c r="L100">
        <f>ROUND(L107*N11,2)</f>
        <v>11.61</v>
      </c>
      <c r="M100" t="s">
        <v>93</v>
      </c>
    </row>
    <row r="103" spans="1:13">
      <c r="A103" t="s">
        <v>94</v>
      </c>
    </row>
    <row r="105" spans="1:13">
      <c r="B105" t="s">
        <v>95</v>
      </c>
    </row>
    <row r="107" spans="1:13">
      <c r="B107" t="s">
        <v>96</v>
      </c>
      <c r="D107">
        <v>1.2</v>
      </c>
      <c r="E107" t="s">
        <v>0</v>
      </c>
      <c r="F107">
        <f>N13</f>
        <v>10.7</v>
      </c>
      <c r="G107" t="s">
        <v>21</v>
      </c>
      <c r="L107">
        <f>ROUND(1.2-N13*(1.2-0.939999999999999)/72,3)</f>
        <v>1.161</v>
      </c>
    </row>
    <row r="110" spans="1:13">
      <c r="A110" t="s">
        <v>97</v>
      </c>
    </row>
    <row r="112" spans="1:13">
      <c r="B112" t="s">
        <v>3</v>
      </c>
      <c r="D112" t="s">
        <v>4</v>
      </c>
    </row>
    <row r="113" spans="1:14">
      <c r="B113" t="s">
        <v>91</v>
      </c>
      <c r="F113" t="s">
        <v>92</v>
      </c>
      <c r="H113">
        <f>L107</f>
        <v>1.161</v>
      </c>
      <c r="I113" t="s">
        <v>1</v>
      </c>
      <c r="J113">
        <f>N15</f>
        <v>4.75</v>
      </c>
      <c r="K113" t="s">
        <v>2</v>
      </c>
      <c r="L113">
        <f>ROUND(L107*N15,2)</f>
        <v>5.51</v>
      </c>
      <c r="M113" t="s">
        <v>93</v>
      </c>
    </row>
    <row r="116" spans="1:14">
      <c r="A116" t="s">
        <v>98</v>
      </c>
      <c r="J116" t="s">
        <v>5</v>
      </c>
    </row>
    <row r="119" spans="1:14">
      <c r="B119" t="s">
        <v>99</v>
      </c>
      <c r="H119">
        <f>N128</f>
        <v>0.35199999999999998</v>
      </c>
      <c r="I119" t="s">
        <v>1</v>
      </c>
      <c r="J119">
        <f>N11</f>
        <v>10</v>
      </c>
      <c r="K119" t="s">
        <v>2</v>
      </c>
      <c r="L119">
        <f>ROUND(H119*J119,2)</f>
        <v>3.52</v>
      </c>
      <c r="M119" t="s">
        <v>93</v>
      </c>
    </row>
    <row r="123" spans="1:14">
      <c r="A123" t="s">
        <v>100</v>
      </c>
    </row>
    <row r="126" spans="1:14">
      <c r="B126" t="s">
        <v>101</v>
      </c>
    </row>
    <row r="128" spans="1:14">
      <c r="B128" t="s">
        <v>102</v>
      </c>
      <c r="J128">
        <f>N60</f>
        <v>0.42499999999999999</v>
      </c>
      <c r="K128" t="s">
        <v>6</v>
      </c>
      <c r="L128">
        <f>N63</f>
        <v>8.65</v>
      </c>
      <c r="M128" t="s">
        <v>2</v>
      </c>
      <c r="N128">
        <f>ROUND(0.33+2*(0.55-0.33)*J128/N63,3)</f>
        <v>0.35199999999999998</v>
      </c>
    </row>
    <row r="131" spans="1:14">
      <c r="A131" t="s">
        <v>103</v>
      </c>
    </row>
    <row r="133" spans="1:14">
      <c r="B133" t="s">
        <v>3</v>
      </c>
      <c r="D133" t="s">
        <v>3</v>
      </c>
    </row>
    <row r="134" spans="1:14">
      <c r="B134" t="s">
        <v>99</v>
      </c>
      <c r="H134">
        <f>N128</f>
        <v>0.35199999999999998</v>
      </c>
      <c r="I134" t="s">
        <v>1</v>
      </c>
      <c r="J134">
        <f>N15</f>
        <v>4.75</v>
      </c>
      <c r="K134" t="s">
        <v>2</v>
      </c>
      <c r="L134">
        <f>ROUND(H134*J134,2)</f>
        <v>1.67</v>
      </c>
      <c r="M134" t="s">
        <v>93</v>
      </c>
    </row>
    <row r="137" spans="1:14">
      <c r="A137" t="s">
        <v>104</v>
      </c>
    </row>
    <row r="140" spans="1:14">
      <c r="B140" t="s">
        <v>105</v>
      </c>
      <c r="G140" t="s">
        <v>2</v>
      </c>
      <c r="H140">
        <f>N149</f>
        <v>0.45200000000000001</v>
      </c>
      <c r="I140" t="s">
        <v>1</v>
      </c>
      <c r="J140">
        <f>N11</f>
        <v>10</v>
      </c>
      <c r="K140" t="s">
        <v>2</v>
      </c>
      <c r="L140">
        <f>ROUND(N149*N11,2)</f>
        <v>4.5199999999999996</v>
      </c>
      <c r="N140" t="s">
        <v>93</v>
      </c>
    </row>
    <row r="144" spans="1:14">
      <c r="A144" t="s">
        <v>106</v>
      </c>
    </row>
    <row r="145" spans="1:14">
      <c r="H145" t="s">
        <v>53</v>
      </c>
    </row>
    <row r="146" spans="1:14">
      <c r="B146" t="s">
        <v>107</v>
      </c>
    </row>
    <row r="148" spans="1:14">
      <c r="E148">
        <f>-6</f>
        <v>-6</v>
      </c>
    </row>
    <row r="149" spans="1:14">
      <c r="B149" t="s">
        <v>108</v>
      </c>
      <c r="F149">
        <f>N60</f>
        <v>0.42499999999999999</v>
      </c>
      <c r="G149" t="s">
        <v>22</v>
      </c>
      <c r="J149">
        <v>10.7</v>
      </c>
      <c r="K149" t="s">
        <v>7</v>
      </c>
      <c r="M149" t="s">
        <v>2</v>
      </c>
      <c r="N149">
        <f>ROUND((250+5*F149+2140/J149)/1000,3)</f>
        <v>0.45200000000000001</v>
      </c>
    </row>
    <row r="153" spans="1:14">
      <c r="C153" t="s">
        <v>109</v>
      </c>
    </row>
    <row r="155" spans="1:14">
      <c r="A155" t="s">
        <v>23</v>
      </c>
    </row>
    <row r="158" spans="1:14">
      <c r="A158" t="s">
        <v>110</v>
      </c>
    </row>
    <row r="160" spans="1:14">
      <c r="B160" t="s">
        <v>60</v>
      </c>
      <c r="D160" t="s">
        <v>5</v>
      </c>
      <c r="G160" t="s">
        <v>60</v>
      </c>
    </row>
    <row r="161" spans="1:15">
      <c r="B161" t="s">
        <v>111</v>
      </c>
      <c r="J161">
        <f>N31</f>
        <v>0.4</v>
      </c>
      <c r="K161" t="s">
        <v>1</v>
      </c>
      <c r="L161">
        <f>N11</f>
        <v>10</v>
      </c>
      <c r="M161" t="s">
        <v>2</v>
      </c>
      <c r="N161">
        <f>ROUND(N31*N11,2)</f>
        <v>4</v>
      </c>
      <c r="O161" t="s">
        <v>93</v>
      </c>
    </row>
    <row r="164" spans="1:15">
      <c r="A164" t="s">
        <v>112</v>
      </c>
    </row>
    <row r="166" spans="1:15">
      <c r="B166" t="s">
        <v>60</v>
      </c>
      <c r="D166" t="s">
        <v>8</v>
      </c>
      <c r="G166" t="s">
        <v>60</v>
      </c>
    </row>
    <row r="167" spans="1:15">
      <c r="B167" t="s">
        <v>111</v>
      </c>
      <c r="J167">
        <f>N31</f>
        <v>0.4</v>
      </c>
      <c r="K167" t="s">
        <v>1</v>
      </c>
      <c r="L167">
        <f>N15</f>
        <v>4.75</v>
      </c>
      <c r="M167" t="s">
        <v>2</v>
      </c>
      <c r="N167">
        <f>ROUND(N31*N15,2)</f>
        <v>1.9</v>
      </c>
      <c r="O167" t="s">
        <v>93</v>
      </c>
    </row>
    <row r="170" spans="1:15">
      <c r="A170" t="s">
        <v>113</v>
      </c>
    </row>
    <row r="172" spans="1:15">
      <c r="C172" t="s">
        <v>62</v>
      </c>
      <c r="E172" t="s">
        <v>5</v>
      </c>
    </row>
    <row r="173" spans="1:15">
      <c r="C173" t="s">
        <v>114</v>
      </c>
    </row>
    <row r="175" spans="1:15">
      <c r="C175" t="s">
        <v>62</v>
      </c>
    </row>
    <row r="176" spans="1:15">
      <c r="C176" t="s">
        <v>115</v>
      </c>
      <c r="F176">
        <f>N11</f>
        <v>10</v>
      </c>
      <c r="G176" t="s">
        <v>1</v>
      </c>
      <c r="H176">
        <f>N31</f>
        <v>0.4</v>
      </c>
      <c r="I176" t="s">
        <v>9</v>
      </c>
      <c r="L176">
        <f>N149</f>
        <v>0.45200000000000001</v>
      </c>
      <c r="M176" t="s">
        <v>10</v>
      </c>
      <c r="N176">
        <f>ROUND(F176*0.4*(1-L176),2)</f>
        <v>2.19</v>
      </c>
      <c r="O176" t="s">
        <v>93</v>
      </c>
    </row>
    <row r="178" spans="1:15">
      <c r="A178" t="s">
        <v>116</v>
      </c>
    </row>
    <row r="180" spans="1:15">
      <c r="C180" t="s">
        <v>62</v>
      </c>
      <c r="E180" t="s">
        <v>5</v>
      </c>
    </row>
    <row r="181" spans="1:15">
      <c r="C181" t="s">
        <v>114</v>
      </c>
    </row>
    <row r="183" spans="1:15">
      <c r="C183" t="s">
        <v>62</v>
      </c>
    </row>
    <row r="184" spans="1:15">
      <c r="C184" t="s">
        <v>115</v>
      </c>
      <c r="F184">
        <f>N15</f>
        <v>4.75</v>
      </c>
      <c r="G184" t="s">
        <v>1</v>
      </c>
      <c r="H184">
        <f>N31</f>
        <v>0.4</v>
      </c>
      <c r="I184" t="s">
        <v>9</v>
      </c>
      <c r="L184">
        <f>N149</f>
        <v>0.45200000000000001</v>
      </c>
      <c r="M184" t="s">
        <v>10</v>
      </c>
      <c r="N184">
        <f>ROUND(F184*0.4*(1-L184),2)</f>
        <v>1.04</v>
      </c>
      <c r="O184" t="s">
        <v>117</v>
      </c>
    </row>
    <row r="188" spans="1:15">
      <c r="C188" t="s">
        <v>118</v>
      </c>
    </row>
    <row r="189" spans="1:15">
      <c r="C189" t="s">
        <v>24</v>
      </c>
    </row>
    <row r="192" spans="1:15">
      <c r="C192" t="s">
        <v>119</v>
      </c>
      <c r="H192" t="s">
        <v>120</v>
      </c>
      <c r="J192">
        <v>0.05</v>
      </c>
      <c r="K192" t="s">
        <v>1</v>
      </c>
      <c r="L192">
        <f>N36</f>
        <v>0</v>
      </c>
      <c r="M192" t="s">
        <v>2</v>
      </c>
      <c r="N192">
        <f>0.05*N36</f>
        <v>0</v>
      </c>
      <c r="O192" t="s">
        <v>117</v>
      </c>
    </row>
    <row r="195" spans="1:10">
      <c r="C195" t="s">
        <v>121</v>
      </c>
    </row>
    <row r="197" spans="1:10">
      <c r="C197" t="s">
        <v>122</v>
      </c>
    </row>
    <row r="199" spans="1:10">
      <c r="A199" t="s">
        <v>25</v>
      </c>
    </row>
    <row r="202" spans="1:10">
      <c r="A202" t="s">
        <v>123</v>
      </c>
    </row>
    <row r="204" spans="1:10">
      <c r="F204" t="s">
        <v>60</v>
      </c>
    </row>
    <row r="205" spans="1:10">
      <c r="B205" t="s">
        <v>124</v>
      </c>
    </row>
    <row r="208" spans="1:10">
      <c r="B208" t="s">
        <v>125</v>
      </c>
      <c r="D208">
        <f>L100</f>
        <v>11.61</v>
      </c>
      <c r="E208" t="s">
        <v>11</v>
      </c>
      <c r="F208">
        <f>N161</f>
        <v>4</v>
      </c>
      <c r="G208" t="s">
        <v>2</v>
      </c>
      <c r="H208">
        <f>L100-N161</f>
        <v>7.6099999999999994</v>
      </c>
      <c r="J208" t="s">
        <v>117</v>
      </c>
    </row>
    <row r="212" spans="2:12">
      <c r="B212" t="s">
        <v>126</v>
      </c>
    </row>
    <row r="214" spans="2:12">
      <c r="B214" t="s">
        <v>127</v>
      </c>
    </row>
    <row r="217" spans="2:12">
      <c r="C217" t="s">
        <v>128</v>
      </c>
      <c r="F217">
        <f>H208</f>
        <v>7.6099999999999994</v>
      </c>
      <c r="G217" t="s">
        <v>117</v>
      </c>
      <c r="H217" t="s">
        <v>26</v>
      </c>
      <c r="J217">
        <v>43.7</v>
      </c>
      <c r="K217" t="s">
        <v>117</v>
      </c>
      <c r="L217" t="s">
        <v>129</v>
      </c>
    </row>
    <row r="221" spans="2:12">
      <c r="B221" t="s">
        <v>130</v>
      </c>
    </row>
    <row r="223" spans="2:12">
      <c r="B223" t="s">
        <v>131</v>
      </c>
    </row>
    <row r="226" spans="2:2">
      <c r="B226" t="s">
        <v>132</v>
      </c>
    </row>
    <row r="228" spans="2:2">
      <c r="B228" t="s">
        <v>133</v>
      </c>
    </row>
    <row r="230" spans="2:2">
      <c r="B230" t="s">
        <v>134</v>
      </c>
    </row>
    <row r="232" spans="2:2">
      <c r="B232" t="s">
        <v>135</v>
      </c>
    </row>
    <row r="234" spans="2:2">
      <c r="B234" t="s">
        <v>136</v>
      </c>
    </row>
    <row r="236" spans="2:2">
      <c r="B236" t="s">
        <v>137</v>
      </c>
    </row>
    <row r="238" spans="2:2">
      <c r="B238" t="s">
        <v>138</v>
      </c>
    </row>
    <row r="242" spans="1:10">
      <c r="B242" t="s">
        <v>139</v>
      </c>
    </row>
    <row r="243" spans="1:10">
      <c r="H243" t="s">
        <v>27</v>
      </c>
    </row>
    <row r="245" spans="1:10">
      <c r="A245" t="s">
        <v>140</v>
      </c>
    </row>
    <row r="247" spans="1:10">
      <c r="B247" t="s">
        <v>4</v>
      </c>
      <c r="D247" t="s">
        <v>8</v>
      </c>
      <c r="F247" t="s">
        <v>60</v>
      </c>
    </row>
    <row r="248" spans="1:10">
      <c r="B248" t="s">
        <v>124</v>
      </c>
    </row>
    <row r="250" spans="1:10">
      <c r="B250" t="s">
        <v>4</v>
      </c>
    </row>
    <row r="251" spans="1:10">
      <c r="B251" t="s">
        <v>125</v>
      </c>
      <c r="D251">
        <f>L113</f>
        <v>5.51</v>
      </c>
      <c r="E251" t="s">
        <v>11</v>
      </c>
      <c r="F251">
        <f>N167</f>
        <v>1.9</v>
      </c>
      <c r="G251" t="s">
        <v>2</v>
      </c>
      <c r="H251">
        <f>L113-N167</f>
        <v>3.61</v>
      </c>
      <c r="J251" t="s">
        <v>93</v>
      </c>
    </row>
    <row r="254" spans="1:10">
      <c r="B254" t="s">
        <v>141</v>
      </c>
    </row>
    <row r="256" spans="1:10">
      <c r="B256" t="s">
        <v>142</v>
      </c>
    </row>
    <row r="258" spans="1:2">
      <c r="B258" t="s">
        <v>143</v>
      </c>
    </row>
    <row r="261" spans="1:2">
      <c r="B261" t="s">
        <v>144</v>
      </c>
    </row>
    <row r="264" spans="1:2">
      <c r="B264" t="s">
        <v>145</v>
      </c>
    </row>
    <row r="265" spans="1:2">
      <c r="B265" t="s">
        <v>23</v>
      </c>
    </row>
    <row r="268" spans="1:2">
      <c r="B268" t="s">
        <v>146</v>
      </c>
    </row>
    <row r="270" spans="1:2">
      <c r="B270" t="s">
        <v>122</v>
      </c>
    </row>
    <row r="272" spans="1:2">
      <c r="A272" t="s">
        <v>25</v>
      </c>
    </row>
    <row r="275" spans="1:13">
      <c r="A275" t="s">
        <v>147</v>
      </c>
    </row>
    <row r="278" spans="1:13">
      <c r="B278" t="s">
        <v>148</v>
      </c>
    </row>
    <row r="280" spans="1:13">
      <c r="B280" t="s">
        <v>149</v>
      </c>
      <c r="D280">
        <v>1.25</v>
      </c>
      <c r="E280" t="s">
        <v>12</v>
      </c>
      <c r="F280">
        <f>L119</f>
        <v>3.52</v>
      </c>
      <c r="G280" t="s">
        <v>13</v>
      </c>
      <c r="H280">
        <f>N192</f>
        <v>0</v>
      </c>
      <c r="I280" t="s">
        <v>14</v>
      </c>
      <c r="J280">
        <f>N176</f>
        <v>2.19</v>
      </c>
      <c r="K280" t="s">
        <v>2</v>
      </c>
      <c r="L280">
        <f>ROUND(1.25*(L119+N192)-J280,2)</f>
        <v>2.21</v>
      </c>
      <c r="M280" t="s">
        <v>117</v>
      </c>
    </row>
    <row r="284" spans="1:13">
      <c r="B284" t="s">
        <v>150</v>
      </c>
      <c r="L284">
        <f>L280</f>
        <v>2.21</v>
      </c>
      <c r="M284" t="s">
        <v>117</v>
      </c>
    </row>
    <row r="286" spans="1:13">
      <c r="B286" t="s">
        <v>151</v>
      </c>
    </row>
    <row r="288" spans="1:13">
      <c r="B288" t="s">
        <v>152</v>
      </c>
    </row>
    <row r="291" spans="1:13">
      <c r="B291" t="s">
        <v>153</v>
      </c>
    </row>
    <row r="293" spans="1:13">
      <c r="C293" t="s">
        <v>154</v>
      </c>
    </row>
    <row r="295" spans="1:13">
      <c r="C295" t="s">
        <v>155</v>
      </c>
    </row>
    <row r="298" spans="1:13">
      <c r="A298" t="s">
        <v>156</v>
      </c>
    </row>
    <row r="301" spans="1:13">
      <c r="B301" t="s">
        <v>148</v>
      </c>
    </row>
    <row r="303" spans="1:13">
      <c r="B303" t="s">
        <v>149</v>
      </c>
      <c r="D303">
        <v>1.25</v>
      </c>
      <c r="E303" t="s">
        <v>12</v>
      </c>
      <c r="F303">
        <f>L134</f>
        <v>1.67</v>
      </c>
      <c r="G303" t="s">
        <v>13</v>
      </c>
      <c r="H303">
        <f>N214</f>
        <v>0</v>
      </c>
      <c r="I303" t="s">
        <v>14</v>
      </c>
      <c r="J303">
        <f>N184</f>
        <v>1.04</v>
      </c>
      <c r="K303" t="s">
        <v>2</v>
      </c>
      <c r="L303">
        <f>ROUND(1.25*(L134+N214)-J303,2)</f>
        <v>1.05</v>
      </c>
      <c r="M303" t="s">
        <v>117</v>
      </c>
    </row>
    <row r="306" spans="2:4">
      <c r="B306" t="s">
        <v>157</v>
      </c>
    </row>
    <row r="308" spans="2:4">
      <c r="B308" t="s">
        <v>158</v>
      </c>
    </row>
    <row r="311" spans="2:4">
      <c r="B311" t="s">
        <v>159</v>
      </c>
    </row>
    <row r="314" spans="2:4">
      <c r="D314" t="s">
        <v>160</v>
      </c>
    </row>
    <row r="315" spans="2:4">
      <c r="B315" t="s">
        <v>161</v>
      </c>
    </row>
    <row r="316" spans="2:4">
      <c r="C316" t="s">
        <v>162</v>
      </c>
    </row>
    <row r="320" spans="2:4">
      <c r="D320">
        <f>L303</f>
        <v>1.05</v>
      </c>
    </row>
    <row r="321" spans="2:13">
      <c r="B321" t="s">
        <v>163</v>
      </c>
      <c r="L321">
        <f>D320/(D322*F322*H322)</f>
        <v>0.94045571797076521</v>
      </c>
      <c r="M321" t="s">
        <v>164</v>
      </c>
    </row>
    <row r="322" spans="2:13">
      <c r="D322">
        <v>3</v>
      </c>
      <c r="E322" t="s">
        <v>1</v>
      </c>
      <c r="F322">
        <v>0.4</v>
      </c>
      <c r="G322" t="s">
        <v>1</v>
      </c>
      <c r="H322">
        <f>D330</f>
        <v>0.9304</v>
      </c>
    </row>
    <row r="325" spans="2:13">
      <c r="B325" t="s">
        <v>165</v>
      </c>
    </row>
    <row r="327" spans="2:13">
      <c r="B327" t="s">
        <v>166</v>
      </c>
      <c r="L327">
        <v>68.5</v>
      </c>
    </row>
    <row r="330" spans="2:13">
      <c r="B330" t="s">
        <v>28</v>
      </c>
      <c r="D330">
        <f>ROUND(SIN(PI()/180*L327),4)</f>
        <v>0.9304</v>
      </c>
    </row>
    <row r="333" spans="2:13">
      <c r="B333" t="s">
        <v>167</v>
      </c>
    </row>
    <row r="336" spans="2:13">
      <c r="D336" t="s">
        <v>160</v>
      </c>
    </row>
    <row r="337" spans="1:11">
      <c r="B337" t="s">
        <v>168</v>
      </c>
    </row>
    <row r="338" spans="1:11">
      <c r="D338" t="s">
        <v>29</v>
      </c>
    </row>
    <row r="341" spans="1:11">
      <c r="D341">
        <f>L303*1000</f>
        <v>1050</v>
      </c>
    </row>
    <row r="342" spans="1:11">
      <c r="B342" t="s">
        <v>169</v>
      </c>
      <c r="J342">
        <f>D341/(D343*F343*H343)</f>
        <v>517.75147928994079</v>
      </c>
      <c r="K342" t="s">
        <v>170</v>
      </c>
    </row>
    <row r="343" spans="1:11">
      <c r="D343">
        <v>2</v>
      </c>
      <c r="E343" t="s">
        <v>1</v>
      </c>
      <c r="F343">
        <v>3.38</v>
      </c>
      <c r="G343" t="s">
        <v>1</v>
      </c>
      <c r="H343">
        <v>0.3</v>
      </c>
    </row>
    <row r="346" spans="1:11">
      <c r="C346" t="s">
        <v>171</v>
      </c>
    </row>
    <row r="348" spans="1:11">
      <c r="C348" t="s">
        <v>172</v>
      </c>
    </row>
    <row r="349" spans="1:11">
      <c r="A349" t="s">
        <v>30</v>
      </c>
    </row>
    <row r="352" spans="1:11">
      <c r="A352" t="s">
        <v>173</v>
      </c>
    </row>
    <row r="354" spans="1:13">
      <c r="A354" t="s">
        <v>174</v>
      </c>
    </row>
    <row r="355" spans="1:13">
      <c r="A355" t="s">
        <v>5</v>
      </c>
    </row>
    <row r="356" spans="1:13">
      <c r="C356" t="s">
        <v>53</v>
      </c>
    </row>
    <row r="357" spans="1:13">
      <c r="C357" t="s">
        <v>175</v>
      </c>
      <c r="H357">
        <f>N68</f>
        <v>3.1</v>
      </c>
    </row>
    <row r="358" spans="1:13">
      <c r="B358" t="s">
        <v>31</v>
      </c>
      <c r="F358" t="s">
        <v>32</v>
      </c>
      <c r="L358">
        <f>ROUND(H357/(H359-J359),1)</f>
        <v>3.9</v>
      </c>
      <c r="M358" t="s">
        <v>33</v>
      </c>
    </row>
    <row r="359" spans="1:13">
      <c r="B359" t="s">
        <v>60</v>
      </c>
      <c r="D359" t="s">
        <v>60</v>
      </c>
      <c r="G359" t="s">
        <v>60</v>
      </c>
      <c r="H359">
        <f>N23</f>
        <v>0.95</v>
      </c>
      <c r="I359" t="s">
        <v>11</v>
      </c>
      <c r="J359">
        <f>N26</f>
        <v>0.15</v>
      </c>
      <c r="L359" t="s">
        <v>34</v>
      </c>
    </row>
    <row r="360" spans="1:13">
      <c r="B360" t="s">
        <v>176</v>
      </c>
    </row>
    <row r="365" spans="1:13">
      <c r="C365" t="s">
        <v>177</v>
      </c>
    </row>
    <row r="369" spans="1:13">
      <c r="A369" t="s">
        <v>178</v>
      </c>
    </row>
    <row r="371" spans="1:13">
      <c r="A371" t="s">
        <v>179</v>
      </c>
    </row>
    <row r="372" spans="1:13">
      <c r="A372" t="s">
        <v>35</v>
      </c>
    </row>
    <row r="373" spans="1:13">
      <c r="G373" t="s">
        <v>53</v>
      </c>
    </row>
    <row r="374" spans="1:13">
      <c r="F374" t="s">
        <v>180</v>
      </c>
    </row>
    <row r="375" spans="1:13">
      <c r="B375" t="s">
        <v>181</v>
      </c>
    </row>
    <row r="376" spans="1:13">
      <c r="F376" t="s">
        <v>62</v>
      </c>
      <c r="I376" t="s">
        <v>62</v>
      </c>
      <c r="J376" t="s">
        <v>62</v>
      </c>
    </row>
    <row r="377" spans="1:13">
      <c r="C377" t="s">
        <v>182</v>
      </c>
    </row>
    <row r="381" spans="1:13">
      <c r="B381" t="s">
        <v>5</v>
      </c>
      <c r="D381">
        <f>N11</f>
        <v>10</v>
      </c>
      <c r="E381" t="s">
        <v>1</v>
      </c>
      <c r="F381">
        <f>N73</f>
        <v>1.375</v>
      </c>
    </row>
    <row r="382" spans="1:13">
      <c r="A382" t="s">
        <v>183</v>
      </c>
    </row>
    <row r="383" spans="1:13">
      <c r="B383">
        <f>L119</f>
        <v>3.52</v>
      </c>
      <c r="C383" t="s">
        <v>12</v>
      </c>
      <c r="D383">
        <f>N23</f>
        <v>0.95</v>
      </c>
      <c r="E383" t="s">
        <v>11</v>
      </c>
      <c r="F383">
        <f>N29</f>
        <v>0.15</v>
      </c>
      <c r="G383" t="s">
        <v>36</v>
      </c>
      <c r="H383">
        <f>N192</f>
        <v>0</v>
      </c>
      <c r="I383" t="s">
        <v>12</v>
      </c>
      <c r="J383">
        <f>N23</f>
        <v>0.95</v>
      </c>
      <c r="K383" t="s">
        <v>11</v>
      </c>
      <c r="L383">
        <f>N29</f>
        <v>0.15</v>
      </c>
      <c r="M383" t="s">
        <v>7</v>
      </c>
    </row>
    <row r="387" spans="2:6">
      <c r="C387" t="s">
        <v>2</v>
      </c>
      <c r="D387">
        <f>ROUND(D381*N73/(L119*(N23-N29)+N192*(N23-N29)),2)</f>
        <v>4.88</v>
      </c>
      <c r="E387" t="s">
        <v>37</v>
      </c>
      <c r="F387">
        <v>1.25</v>
      </c>
    </row>
    <row r="388" spans="2:6">
      <c r="C388" t="s">
        <v>38</v>
      </c>
    </row>
    <row r="391" spans="2:6">
      <c r="B391" t="s">
        <v>177</v>
      </c>
    </row>
    <row r="394" spans="2:6">
      <c r="B394" t="s">
        <v>184</v>
      </c>
    </row>
    <row r="398" spans="2:6">
      <c r="D398" t="s">
        <v>185</v>
      </c>
    </row>
    <row r="399" spans="2:6">
      <c r="B399" t="s">
        <v>186</v>
      </c>
    </row>
    <row r="400" spans="2:6">
      <c r="D400" t="s">
        <v>187</v>
      </c>
    </row>
    <row r="404" spans="2:13">
      <c r="D404">
        <f>N13</f>
        <v>10.7</v>
      </c>
      <c r="E404" t="s">
        <v>1</v>
      </c>
      <c r="F404">
        <f>N19</f>
        <v>2.3659999999999899</v>
      </c>
      <c r="G404" t="s">
        <v>13</v>
      </c>
      <c r="H404">
        <f>N17</f>
        <v>22.5</v>
      </c>
      <c r="I404" t="s">
        <v>1</v>
      </c>
      <c r="J404">
        <f>N21</f>
        <v>1.1299999999999999</v>
      </c>
    </row>
    <row r="405" spans="2:13">
      <c r="B405" t="s">
        <v>188</v>
      </c>
      <c r="L405">
        <f>(N13*N19+N17*N21)/(N13+N17)</f>
        <v>1.5283493975903581</v>
      </c>
      <c r="M405" t="s">
        <v>189</v>
      </c>
    </row>
    <row r="406" spans="2:13">
      <c r="F406">
        <f>N13</f>
        <v>10.7</v>
      </c>
      <c r="G406" t="s">
        <v>13</v>
      </c>
      <c r="H406">
        <f>N17</f>
        <v>22.5</v>
      </c>
    </row>
    <row r="409" spans="2:13">
      <c r="B409" t="s">
        <v>190</v>
      </c>
    </row>
    <row r="411" spans="2:13">
      <c r="B411" t="s">
        <v>191</v>
      </c>
    </row>
    <row r="413" spans="2:13">
      <c r="B413" t="s">
        <v>192</v>
      </c>
      <c r="F413" t="s">
        <v>193</v>
      </c>
    </row>
    <row r="414" spans="2:13">
      <c r="B414" t="s">
        <v>194</v>
      </c>
    </row>
    <row r="415" spans="2:13">
      <c r="G415" t="s">
        <v>187</v>
      </c>
    </row>
    <row r="418" spans="2:14">
      <c r="B418" t="s">
        <v>192</v>
      </c>
      <c r="F418">
        <f>N13</f>
        <v>10.7</v>
      </c>
      <c r="G418" t="s">
        <v>1</v>
      </c>
      <c r="H418">
        <v>6.7750000000000004</v>
      </c>
      <c r="I418" t="s">
        <v>13</v>
      </c>
      <c r="J418">
        <f>N17</f>
        <v>22.5</v>
      </c>
      <c r="K418" t="s">
        <v>1</v>
      </c>
      <c r="L418">
        <f>12.6999999999999*0.5</f>
        <v>6.3499999999999499</v>
      </c>
    </row>
    <row r="419" spans="2:14">
      <c r="B419" t="s">
        <v>195</v>
      </c>
      <c r="N419">
        <f>12.6999999999999*0.5-(F418*H418+J418*L418)/(F420+H420)</f>
        <v>-0.13697289156628045</v>
      </c>
    </row>
    <row r="420" spans="2:14">
      <c r="F420">
        <f>N13</f>
        <v>10.7</v>
      </c>
      <c r="G420" t="s">
        <v>13</v>
      </c>
      <c r="H420">
        <f>N17</f>
        <v>22.5</v>
      </c>
    </row>
    <row r="423" spans="2:14">
      <c r="B423" t="s">
        <v>196</v>
      </c>
    </row>
    <row r="428" spans="2:14">
      <c r="B428" t="s">
        <v>197</v>
      </c>
    </row>
    <row r="430" spans="2:14">
      <c r="B430" t="s">
        <v>198</v>
      </c>
    </row>
    <row r="433" spans="2:14">
      <c r="D433" t="s">
        <v>199</v>
      </c>
      <c r="L433" t="s">
        <v>15</v>
      </c>
    </row>
    <row r="434" spans="2:14">
      <c r="B434" t="s">
        <v>200</v>
      </c>
      <c r="F434">
        <f>H208*1000</f>
        <v>7609.9999999999991</v>
      </c>
      <c r="G434" t="s">
        <v>6</v>
      </c>
      <c r="H434">
        <f>55*8.5</f>
        <v>467.5</v>
      </c>
      <c r="I434" t="s">
        <v>2</v>
      </c>
      <c r="J434">
        <f>ROUND(H208*1000/H434,0)</f>
        <v>16</v>
      </c>
      <c r="K434" t="s">
        <v>201</v>
      </c>
      <c r="N434" t="s">
        <v>202</v>
      </c>
    </row>
    <row r="435" spans="2:14">
      <c r="C435" t="s">
        <v>203</v>
      </c>
    </row>
    <row r="439" spans="2:14">
      <c r="B439" t="s">
        <v>204</v>
      </c>
      <c r="C439">
        <v>1</v>
      </c>
      <c r="D439" t="s">
        <v>205</v>
      </c>
    </row>
    <row r="441" spans="2:14">
      <c r="B441" t="s">
        <v>206</v>
      </c>
      <c r="F441" t="s">
        <v>207</v>
      </c>
    </row>
    <row r="444" spans="2:14">
      <c r="B444" t="s">
        <v>208</v>
      </c>
    </row>
    <row r="446" spans="2:14">
      <c r="B446" t="s">
        <v>198</v>
      </c>
    </row>
    <row r="448" spans="2:14">
      <c r="D448" t="s">
        <v>209</v>
      </c>
      <c r="L448" t="s">
        <v>15</v>
      </c>
    </row>
    <row r="449" spans="2:14">
      <c r="B449" t="s">
        <v>200</v>
      </c>
      <c r="F449">
        <f>H208*1000</f>
        <v>7609.9999999999991</v>
      </c>
      <c r="G449" t="s">
        <v>6</v>
      </c>
      <c r="H449">
        <f>15*15*12</f>
        <v>2700</v>
      </c>
      <c r="I449" t="s">
        <v>2</v>
      </c>
      <c r="J449">
        <f>ROUND(H208*1000/H449,0)</f>
        <v>3</v>
      </c>
      <c r="K449" t="s">
        <v>201</v>
      </c>
      <c r="N449" t="s">
        <v>202</v>
      </c>
    </row>
    <row r="450" spans="2:14">
      <c r="C450" t="s">
        <v>203</v>
      </c>
    </row>
    <row r="452" spans="2:14">
      <c r="B452" t="s">
        <v>210</v>
      </c>
    </row>
    <row r="454" spans="2:14">
      <c r="B454" t="s">
        <v>211</v>
      </c>
    </row>
    <row r="457" spans="2:14">
      <c r="B457" t="s">
        <v>212</v>
      </c>
    </row>
    <row r="459" spans="2:14">
      <c r="B459" t="s">
        <v>213</v>
      </c>
    </row>
    <row r="462" spans="2:14">
      <c r="D462" t="s">
        <v>214</v>
      </c>
      <c r="L462" t="s">
        <v>15</v>
      </c>
    </row>
    <row r="463" spans="2:14">
      <c r="B463" t="s">
        <v>200</v>
      </c>
      <c r="F463">
        <f>L280*1000</f>
        <v>2210</v>
      </c>
      <c r="G463" t="s">
        <v>6</v>
      </c>
      <c r="H463">
        <f>2*15*15</f>
        <v>450</v>
      </c>
      <c r="I463" t="s">
        <v>2</v>
      </c>
      <c r="J463">
        <f>ROUND(H208*1000/H463,0)</f>
        <v>17</v>
      </c>
      <c r="K463" t="s">
        <v>201</v>
      </c>
      <c r="N463" t="s">
        <v>202</v>
      </c>
    </row>
    <row r="464" spans="2:14">
      <c r="C464" t="s">
        <v>203</v>
      </c>
    </row>
    <row r="468" spans="2:11">
      <c r="B468" t="s">
        <v>204</v>
      </c>
      <c r="C468">
        <v>2</v>
      </c>
      <c r="D468" t="s">
        <v>205</v>
      </c>
    </row>
    <row r="470" spans="2:11">
      <c r="B470" t="s">
        <v>215</v>
      </c>
      <c r="E470" t="s">
        <v>216</v>
      </c>
    </row>
    <row r="472" spans="2:11">
      <c r="B472" t="s">
        <v>217</v>
      </c>
    </row>
    <row r="475" spans="2:11">
      <c r="B475" t="s">
        <v>218</v>
      </c>
    </row>
    <row r="479" spans="2:11">
      <c r="B479" t="s">
        <v>39</v>
      </c>
      <c r="F479">
        <f>N13</f>
        <v>10.7</v>
      </c>
      <c r="G479" t="s">
        <v>6</v>
      </c>
      <c r="H479">
        <v>2</v>
      </c>
      <c r="I479" t="s">
        <v>2</v>
      </c>
      <c r="J479">
        <f>N13/2</f>
        <v>5.35</v>
      </c>
      <c r="K479" t="s">
        <v>93</v>
      </c>
    </row>
    <row r="482" spans="2:2">
      <c r="B482" t="s">
        <v>219</v>
      </c>
    </row>
    <row r="485" spans="2:2">
      <c r="B485" t="s">
        <v>220</v>
      </c>
    </row>
    <row r="487" spans="2:2">
      <c r="B487" t="s">
        <v>221</v>
      </c>
    </row>
    <row r="489" spans="2:2">
      <c r="B489" t="s">
        <v>222</v>
      </c>
    </row>
    <row r="491" spans="2:2">
      <c r="B491" t="s">
        <v>223</v>
      </c>
    </row>
    <row r="494" spans="2:2">
      <c r="B494" t="s">
        <v>224</v>
      </c>
    </row>
    <row r="496" spans="2:2">
      <c r="B496" t="s">
        <v>225</v>
      </c>
    </row>
    <row r="499" spans="2:11">
      <c r="B499" t="s">
        <v>226</v>
      </c>
    </row>
    <row r="501" spans="2:11">
      <c r="B501" t="s">
        <v>227</v>
      </c>
    </row>
    <row r="505" spans="2:11">
      <c r="B505" t="s">
        <v>228</v>
      </c>
    </row>
    <row r="507" spans="2:11">
      <c r="B507" t="s">
        <v>229</v>
      </c>
    </row>
    <row r="509" spans="2:11">
      <c r="B509" t="s">
        <v>230</v>
      </c>
    </row>
    <row r="511" spans="2:11">
      <c r="C511" t="s">
        <v>40</v>
      </c>
      <c r="F511">
        <f>N13</f>
        <v>10.7</v>
      </c>
      <c r="G511" t="s">
        <v>1</v>
      </c>
      <c r="H511">
        <f>12.6999999999999/2+0.424999999999999</f>
        <v>6.7749999999999488</v>
      </c>
    </row>
    <row r="512" spans="2:11">
      <c r="B512" t="s">
        <v>41</v>
      </c>
      <c r="J512">
        <f>F511*H511/F513</f>
        <v>5.7080708661416892</v>
      </c>
      <c r="K512" t="s">
        <v>93</v>
      </c>
    </row>
    <row r="513" spans="2:14">
      <c r="C513" t="s">
        <v>42</v>
      </c>
      <c r="F513">
        <v>12.7</v>
      </c>
    </row>
    <row r="516" spans="2:14">
      <c r="B516" t="s">
        <v>43</v>
      </c>
      <c r="F516">
        <f>N13</f>
        <v>10.7</v>
      </c>
      <c r="G516" t="s">
        <v>0</v>
      </c>
      <c r="H516">
        <f>J512</f>
        <v>5.7080708661416892</v>
      </c>
      <c r="I516" t="s">
        <v>2</v>
      </c>
      <c r="J516">
        <f>F516-H516</f>
        <v>4.9919291338583101</v>
      </c>
      <c r="K516" t="s">
        <v>93</v>
      </c>
    </row>
    <row r="519" spans="2:14">
      <c r="B519" t="s">
        <v>231</v>
      </c>
    </row>
    <row r="522" spans="2:14">
      <c r="D522" t="s">
        <v>232</v>
      </c>
      <c r="H522">
        <f>N13</f>
        <v>10.7</v>
      </c>
      <c r="I522" t="s">
        <v>1</v>
      </c>
      <c r="J522">
        <v>6.7750000000000004</v>
      </c>
      <c r="K522" t="s">
        <v>1</v>
      </c>
      <c r="L522">
        <v>5.7080000000000002</v>
      </c>
    </row>
    <row r="523" spans="2:14">
      <c r="B523" t="s">
        <v>233</v>
      </c>
      <c r="N523">
        <f>10.6999999999999*6.775*5.708/12.6999999999999</f>
        <v>32.58166850393696</v>
      </c>
    </row>
    <row r="524" spans="2:14">
      <c r="D524" t="s">
        <v>234</v>
      </c>
      <c r="J524">
        <v>12.7</v>
      </c>
    </row>
    <row r="527" spans="2:14">
      <c r="B527" t="s">
        <v>235</v>
      </c>
    </row>
    <row r="529" spans="2:2">
      <c r="B529" t="s">
        <v>236</v>
      </c>
    </row>
    <row r="531" spans="2:2">
      <c r="B531" t="s">
        <v>237</v>
      </c>
    </row>
    <row r="546" spans="2:6">
      <c r="B546" t="s">
        <v>238</v>
      </c>
    </row>
    <row r="548" spans="2:6">
      <c r="B548" t="s">
        <v>239</v>
      </c>
    </row>
    <row r="550" spans="2:6">
      <c r="F550" t="s">
        <v>240</v>
      </c>
    </row>
    <row r="551" spans="2:6">
      <c r="F551" t="s">
        <v>44</v>
      </c>
    </row>
    <row r="552" spans="2:6">
      <c r="B552" t="s">
        <v>241</v>
      </c>
    </row>
    <row r="554" spans="2:6">
      <c r="B554" t="s">
        <v>242</v>
      </c>
    </row>
    <row r="555" spans="2:6">
      <c r="B555" t="s">
        <v>45</v>
      </c>
    </row>
    <row r="556" spans="2:6">
      <c r="B556" t="s">
        <v>243</v>
      </c>
    </row>
    <row r="558" spans="2:6">
      <c r="B558" t="s">
        <v>244</v>
      </c>
    </row>
    <row r="559" spans="2:6">
      <c r="B559" t="s">
        <v>16</v>
      </c>
    </row>
    <row r="560" spans="2:6">
      <c r="B560" t="s">
        <v>245</v>
      </c>
    </row>
    <row r="562" spans="2:6">
      <c r="B562" t="s">
        <v>246</v>
      </c>
    </row>
    <row r="564" spans="2:6">
      <c r="F564" t="s">
        <v>247</v>
      </c>
    </row>
    <row r="565" spans="2:6">
      <c r="F565" t="s">
        <v>46</v>
      </c>
    </row>
    <row r="566" spans="2:6">
      <c r="B566" t="s">
        <v>248</v>
      </c>
    </row>
    <row r="567" spans="2:6">
      <c r="B567" t="s">
        <v>47</v>
      </c>
    </row>
    <row r="568" spans="2:6">
      <c r="B568" t="s">
        <v>249</v>
      </c>
    </row>
    <row r="570" spans="2:6">
      <c r="B570" t="s">
        <v>250</v>
      </c>
    </row>
    <row r="571" spans="2:6">
      <c r="B571" t="s">
        <v>16</v>
      </c>
    </row>
    <row r="572" spans="2:6">
      <c r="B572" t="s">
        <v>251</v>
      </c>
    </row>
    <row r="574" spans="2:6">
      <c r="B574" t="s">
        <v>252</v>
      </c>
    </row>
    <row r="576" spans="2:6">
      <c r="B576" t="s">
        <v>253</v>
      </c>
    </row>
    <row r="577" spans="2:6">
      <c r="B577" t="s">
        <v>48</v>
      </c>
    </row>
    <row r="578" spans="2:6">
      <c r="B578" t="s">
        <v>254</v>
      </c>
    </row>
    <row r="580" spans="2:6">
      <c r="B580" t="s">
        <v>255</v>
      </c>
    </row>
    <row r="582" spans="2:6">
      <c r="F582" t="s">
        <v>256</v>
      </c>
    </row>
    <row r="583" spans="2:6">
      <c r="F583" t="s">
        <v>49</v>
      </c>
    </row>
    <row r="585" spans="2:6">
      <c r="B585" t="s">
        <v>257</v>
      </c>
    </row>
    <row r="587" spans="2:6">
      <c r="B587" t="s">
        <v>258</v>
      </c>
    </row>
    <row r="588" spans="2:6">
      <c r="B588" t="s">
        <v>17</v>
      </c>
    </row>
    <row r="589" spans="2:6">
      <c r="B589" t="s">
        <v>259</v>
      </c>
    </row>
    <row r="591" spans="2:6">
      <c r="B591" t="s">
        <v>260</v>
      </c>
    </row>
    <row r="592" spans="2:6">
      <c r="B592" t="s">
        <v>17</v>
      </c>
    </row>
    <row r="593" spans="2:2">
      <c r="B593" t="s">
        <v>261</v>
      </c>
    </row>
    <row r="595" spans="2:2">
      <c r="B595" t="s">
        <v>262</v>
      </c>
    </row>
    <row r="597" spans="2:2">
      <c r="B597" t="s">
        <v>263</v>
      </c>
    </row>
    <row r="599" spans="2:2">
      <c r="B599" t="s">
        <v>264</v>
      </c>
    </row>
    <row r="601" spans="2:2">
      <c r="B601" t="s">
        <v>265</v>
      </c>
    </row>
    <row r="603" spans="2:2">
      <c r="B603" t="s">
        <v>266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Уколов Станислав Сергеевич</cp:lastModifiedBy>
  <dcterms:created xsi:type="dcterms:W3CDTF">2024-05-22T04:45:24Z</dcterms:created>
  <dcterms:modified xsi:type="dcterms:W3CDTF">2024-05-22T04:46:36Z</dcterms:modified>
</cp:coreProperties>
</file>