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Downloads\Immigration\"/>
    </mc:Choice>
  </mc:AlternateContent>
  <xr:revisionPtr revIDLastSave="0" documentId="8_{9065043F-6D3C-4B58-823E-95422A6919CE}" xr6:coauthVersionLast="47" xr6:coauthVersionMax="47" xr10:uidLastSave="{00000000-0000-0000-0000-000000000000}"/>
  <bookViews>
    <workbookView xWindow="-98" yWindow="-98" windowWidth="23236" windowHeight="13875" activeTab="1" xr2:uid="{17321171-D9C2-4257-926F-B441A3370D1C}"/>
  </bookViews>
  <sheets>
    <sheet name="Overview" sheetId="7" r:id="rId1"/>
    <sheet name="Calcs" sheetId="1" r:id="rId2"/>
    <sheet name="Pop" sheetId="4" r:id="rId3"/>
    <sheet name="Rents" sheetId="5" r:id="rId4"/>
    <sheet name="Housing Stock" sheetId="2" r:id="rId5"/>
    <sheet name="Wages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6" i="1"/>
  <c r="C21" i="4"/>
  <c r="D20" i="4"/>
  <c r="D18" i="5" l="1"/>
  <c r="C14" i="5"/>
  <c r="D14" i="5" s="1"/>
  <c r="D8" i="5" l="1"/>
  <c r="D9" i="5"/>
  <c r="D10" i="5"/>
  <c r="D16" i="5"/>
  <c r="D17" i="5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" i="5"/>
  <c r="E35" i="4"/>
  <c r="E35" i="1" s="1"/>
  <c r="E32" i="1"/>
  <c r="E31" i="1"/>
  <c r="E28" i="1"/>
  <c r="E24" i="1"/>
  <c r="E23" i="1"/>
  <c r="E22" i="1"/>
  <c r="E21" i="1"/>
  <c r="E20" i="1"/>
  <c r="E27" i="1"/>
  <c r="E26" i="1"/>
  <c r="E19" i="1"/>
  <c r="E18" i="1"/>
  <c r="G3" i="4"/>
  <c r="E17" i="1"/>
  <c r="E25" i="1"/>
  <c r="E29" i="1"/>
  <c r="E30" i="1"/>
  <c r="E33" i="1"/>
  <c r="E34" i="1"/>
  <c r="C33" i="4"/>
  <c r="C34" i="4"/>
  <c r="C35" i="4"/>
  <c r="C2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8" i="1" s="1"/>
  <c r="D28" i="1" s="1"/>
  <c r="C20" i="3"/>
  <c r="C21" i="3"/>
  <c r="C22" i="3"/>
  <c r="C23" i="3"/>
  <c r="C24" i="3"/>
  <c r="C25" i="3"/>
  <c r="C2" i="3"/>
  <c r="E16" i="1"/>
  <c r="G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2" i="4"/>
  <c r="C23" i="4"/>
  <c r="C24" i="4"/>
  <c r="C25" i="4"/>
  <c r="C26" i="4"/>
  <c r="C27" i="4"/>
  <c r="C28" i="4"/>
  <c r="C29" i="4"/>
  <c r="C30" i="4"/>
  <c r="C31" i="4"/>
  <c r="C32" i="4"/>
  <c r="D57" i="2"/>
  <c r="E57" i="2"/>
  <c r="F57" i="2"/>
  <c r="G57" i="2"/>
  <c r="H57" i="2"/>
  <c r="C57" i="2"/>
  <c r="X39" i="1"/>
  <c r="I2" i="2"/>
  <c r="N2" i="2" s="1"/>
  <c r="I3" i="2"/>
  <c r="I4" i="2"/>
  <c r="I5" i="2"/>
  <c r="I6" i="2"/>
  <c r="I7" i="2"/>
  <c r="I8" i="2"/>
  <c r="I9" i="2"/>
  <c r="N9" i="2" s="1"/>
  <c r="I10" i="2"/>
  <c r="N10" i="2" s="1"/>
  <c r="I11" i="2"/>
  <c r="I12" i="2"/>
  <c r="I13" i="2"/>
  <c r="I14" i="2"/>
  <c r="I15" i="2"/>
  <c r="I16" i="2"/>
  <c r="I17" i="2"/>
  <c r="I18" i="2"/>
  <c r="N18" i="2" s="1"/>
  <c r="I19" i="2"/>
  <c r="I20" i="2"/>
  <c r="I21" i="2"/>
  <c r="I22" i="2"/>
  <c r="I23" i="2"/>
  <c r="I24" i="2"/>
  <c r="I25" i="2"/>
  <c r="N25" i="2" s="1"/>
  <c r="I26" i="2"/>
  <c r="N26" i="2" s="1"/>
  <c r="I27" i="2"/>
  <c r="I28" i="2"/>
  <c r="I29" i="2"/>
  <c r="I30" i="2"/>
  <c r="I31" i="2"/>
  <c r="I32" i="2"/>
  <c r="I33" i="2"/>
  <c r="I34" i="2"/>
  <c r="N34" i="2" s="1"/>
  <c r="I35" i="2"/>
  <c r="I36" i="2"/>
  <c r="I37" i="2"/>
  <c r="I38" i="2"/>
  <c r="I39" i="2"/>
  <c r="I40" i="2"/>
  <c r="I41" i="2"/>
  <c r="I42" i="2"/>
  <c r="N42" i="2" s="1"/>
  <c r="I43" i="2"/>
  <c r="I44" i="2"/>
  <c r="I45" i="2"/>
  <c r="I46" i="2"/>
  <c r="I47" i="2"/>
  <c r="I48" i="2"/>
  <c r="I49" i="2"/>
  <c r="I50" i="2"/>
  <c r="N50" i="2" s="1"/>
  <c r="I51" i="2"/>
  <c r="I52" i="2"/>
  <c r="I53" i="2"/>
  <c r="I54" i="2"/>
  <c r="I55" i="2"/>
  <c r="I56" i="2"/>
  <c r="J2" i="2"/>
  <c r="M2" i="2" s="1"/>
  <c r="J3" i="2"/>
  <c r="J4" i="2"/>
  <c r="J5" i="2"/>
  <c r="M5" i="2" s="1"/>
  <c r="J6" i="2"/>
  <c r="M6" i="2" s="1"/>
  <c r="J7" i="2"/>
  <c r="J8" i="2"/>
  <c r="M8" i="2" s="1"/>
  <c r="J9" i="2"/>
  <c r="M9" i="2" s="1"/>
  <c r="J10" i="2"/>
  <c r="M10" i="2" s="1"/>
  <c r="J11" i="2"/>
  <c r="J12" i="2"/>
  <c r="J13" i="2"/>
  <c r="J14" i="2"/>
  <c r="M14" i="2" s="1"/>
  <c r="J15" i="2"/>
  <c r="M15" i="2" s="1"/>
  <c r="J16" i="2"/>
  <c r="M16" i="2" s="1"/>
  <c r="J17" i="2"/>
  <c r="M17" i="2" s="1"/>
  <c r="J18" i="2"/>
  <c r="M18" i="2" s="1"/>
  <c r="J19" i="2"/>
  <c r="J20" i="2"/>
  <c r="M20" i="2" s="1"/>
  <c r="J21" i="2"/>
  <c r="M21" i="2" s="1"/>
  <c r="J22" i="2"/>
  <c r="M22" i="2" s="1"/>
  <c r="J23" i="2"/>
  <c r="M23" i="2" s="1"/>
  <c r="J24" i="2"/>
  <c r="M24" i="2" s="1"/>
  <c r="J25" i="2"/>
  <c r="M25" i="2" s="1"/>
  <c r="J26" i="2"/>
  <c r="M26" i="2" s="1"/>
  <c r="J27" i="2"/>
  <c r="J28" i="2"/>
  <c r="M28" i="2" s="1"/>
  <c r="J29" i="2"/>
  <c r="M29" i="2" s="1"/>
  <c r="J30" i="2"/>
  <c r="M30" i="2" s="1"/>
  <c r="J31" i="2"/>
  <c r="M31" i="2" s="1"/>
  <c r="J32" i="2"/>
  <c r="J33" i="2"/>
  <c r="M33" i="2" s="1"/>
  <c r="J34" i="2"/>
  <c r="M34" i="2" s="1"/>
  <c r="J35" i="2"/>
  <c r="J36" i="2"/>
  <c r="J37" i="2"/>
  <c r="M37" i="2" s="1"/>
  <c r="J38" i="2"/>
  <c r="M38" i="2" s="1"/>
  <c r="J39" i="2"/>
  <c r="M39" i="2" s="1"/>
  <c r="J40" i="2"/>
  <c r="J41" i="2"/>
  <c r="M41" i="2" s="1"/>
  <c r="J42" i="2"/>
  <c r="M42" i="2" s="1"/>
  <c r="J43" i="2"/>
  <c r="J44" i="2"/>
  <c r="J45" i="2"/>
  <c r="J46" i="2"/>
  <c r="M46" i="2" s="1"/>
  <c r="J47" i="2"/>
  <c r="M47" i="2" s="1"/>
  <c r="J48" i="2"/>
  <c r="J49" i="2"/>
  <c r="M49" i="2" s="1"/>
  <c r="J50" i="2"/>
  <c r="M50" i="2" s="1"/>
  <c r="J51" i="2"/>
  <c r="J52" i="2"/>
  <c r="J53" i="2"/>
  <c r="J54" i="2"/>
  <c r="M54" i="2" s="1"/>
  <c r="J55" i="2"/>
  <c r="M55" i="2" s="1"/>
  <c r="J5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C33" i="1" l="1"/>
  <c r="D33" i="1" s="1"/>
  <c r="C17" i="1"/>
  <c r="D17" i="1" s="1"/>
  <c r="C23" i="1"/>
  <c r="D23" i="1" s="1"/>
  <c r="C22" i="1"/>
  <c r="D22" i="1" s="1"/>
  <c r="C29" i="1"/>
  <c r="D29" i="1" s="1"/>
  <c r="C21" i="1"/>
  <c r="D21" i="1" s="1"/>
  <c r="C20" i="1"/>
  <c r="D20" i="1" s="1"/>
  <c r="C34" i="1"/>
  <c r="D34" i="1" s="1"/>
  <c r="C26" i="1"/>
  <c r="D26" i="1" s="1"/>
  <c r="C18" i="1"/>
  <c r="D18" i="1" s="1"/>
  <c r="B13" i="5"/>
  <c r="D15" i="5"/>
  <c r="D7" i="5"/>
  <c r="B7" i="5"/>
  <c r="B20" i="5"/>
  <c r="D22" i="5"/>
  <c r="D6" i="5"/>
  <c r="D2" i="5"/>
  <c r="B6" i="5"/>
  <c r="B19" i="5"/>
  <c r="D21" i="5"/>
  <c r="D13" i="5"/>
  <c r="D5" i="5"/>
  <c r="A26" i="5"/>
  <c r="B21" i="5" s="1"/>
  <c r="B5" i="5"/>
  <c r="B18" i="5"/>
  <c r="D20" i="5"/>
  <c r="D12" i="5"/>
  <c r="D4" i="5"/>
  <c r="B17" i="5"/>
  <c r="D19" i="5"/>
  <c r="D11" i="5"/>
  <c r="D3" i="5"/>
  <c r="C24" i="1"/>
  <c r="D24" i="1" s="1"/>
  <c r="C30" i="1"/>
  <c r="D30" i="1" s="1"/>
  <c r="C31" i="1"/>
  <c r="D31" i="1" s="1"/>
  <c r="C32" i="1"/>
  <c r="D32" i="1" s="1"/>
  <c r="C16" i="1"/>
  <c r="D16" i="1" s="1"/>
  <c r="C19" i="1"/>
  <c r="D19" i="1" s="1"/>
  <c r="C27" i="1"/>
  <c r="D27" i="1" s="1"/>
  <c r="C35" i="1"/>
  <c r="D35" i="1" s="1"/>
  <c r="C25" i="1"/>
  <c r="D25" i="1" s="1"/>
  <c r="N38" i="2"/>
  <c r="N22" i="2"/>
  <c r="N54" i="2"/>
  <c r="N8" i="2"/>
  <c r="N14" i="2"/>
  <c r="N24" i="2"/>
  <c r="J57" i="2"/>
  <c r="N47" i="2"/>
  <c r="N31" i="2"/>
  <c r="N23" i="2"/>
  <c r="N15" i="2"/>
  <c r="L6" i="2"/>
  <c r="N39" i="2"/>
  <c r="K57" i="2"/>
  <c r="N41" i="2"/>
  <c r="N17" i="2"/>
  <c r="N6" i="2"/>
  <c r="N49" i="2"/>
  <c r="N20" i="2"/>
  <c r="N33" i="2"/>
  <c r="N16" i="2"/>
  <c r="N28" i="2"/>
  <c r="N37" i="2"/>
  <c r="L13" i="2"/>
  <c r="N55" i="2"/>
  <c r="L45" i="2"/>
  <c r="N5" i="2"/>
  <c r="N46" i="2"/>
  <c r="L53" i="2"/>
  <c r="N21" i="2"/>
  <c r="N30" i="2"/>
  <c r="N29" i="2"/>
  <c r="I57" i="2"/>
  <c r="L37" i="2"/>
  <c r="L44" i="2"/>
  <c r="L12" i="2"/>
  <c r="M13" i="2"/>
  <c r="N13" i="2" s="1"/>
  <c r="L29" i="2"/>
  <c r="M53" i="2"/>
  <c r="N53" i="2" s="1"/>
  <c r="L36" i="2"/>
  <c r="L4" i="2"/>
  <c r="L21" i="2"/>
  <c r="L5" i="2"/>
  <c r="L52" i="2"/>
  <c r="M45" i="2"/>
  <c r="N45" i="2" s="1"/>
  <c r="L54" i="2"/>
  <c r="L46" i="2"/>
  <c r="L38" i="2"/>
  <c r="L30" i="2"/>
  <c r="L55" i="2"/>
  <c r="L23" i="2"/>
  <c r="L39" i="2"/>
  <c r="L7" i="2"/>
  <c r="L22" i="2"/>
  <c r="L14" i="2"/>
  <c r="L56" i="2"/>
  <c r="L48" i="2"/>
  <c r="L40" i="2"/>
  <c r="L32" i="2"/>
  <c r="L24" i="2"/>
  <c r="L8" i="2"/>
  <c r="L31" i="2"/>
  <c r="M7" i="2"/>
  <c r="N7" i="2" s="1"/>
  <c r="L49" i="2"/>
  <c r="L41" i="2"/>
  <c r="L33" i="2"/>
  <c r="L25" i="2"/>
  <c r="L17" i="2"/>
  <c r="L9" i="2"/>
  <c r="M48" i="2"/>
  <c r="N48" i="2" s="1"/>
  <c r="M32" i="2"/>
  <c r="N32" i="2" s="1"/>
  <c r="L16" i="2"/>
  <c r="M56" i="2"/>
  <c r="N56" i="2" s="1"/>
  <c r="L47" i="2"/>
  <c r="L15" i="2"/>
  <c r="M40" i="2"/>
  <c r="N40" i="2" s="1"/>
  <c r="M36" i="2"/>
  <c r="N36" i="2" s="1"/>
  <c r="L50" i="2"/>
  <c r="L42" i="2"/>
  <c r="L34" i="2"/>
  <c r="L26" i="2"/>
  <c r="L18" i="2"/>
  <c r="L10" i="2"/>
  <c r="L2" i="2"/>
  <c r="M4" i="2"/>
  <c r="N4" i="2" s="1"/>
  <c r="L35" i="2"/>
  <c r="M44" i="2"/>
  <c r="N44" i="2" s="1"/>
  <c r="M12" i="2"/>
  <c r="N12" i="2" s="1"/>
  <c r="L20" i="2"/>
  <c r="L43" i="2"/>
  <c r="L27" i="2"/>
  <c r="M52" i="2"/>
  <c r="N52" i="2" s="1"/>
  <c r="L19" i="2"/>
  <c r="L28" i="2"/>
  <c r="L51" i="2"/>
  <c r="L3" i="2"/>
  <c r="L11" i="2"/>
  <c r="M51" i="2"/>
  <c r="N51" i="2" s="1"/>
  <c r="M43" i="2"/>
  <c r="N43" i="2" s="1"/>
  <c r="M35" i="2"/>
  <c r="N35" i="2" s="1"/>
  <c r="M27" i="2"/>
  <c r="N27" i="2" s="1"/>
  <c r="M19" i="2"/>
  <c r="N19" i="2" s="1"/>
  <c r="M11" i="2"/>
  <c r="N11" i="2" s="1"/>
  <c r="M3" i="2"/>
  <c r="N3" i="2" s="1"/>
  <c r="B4" i="5" l="1"/>
  <c r="B14" i="5"/>
  <c r="B15" i="5"/>
  <c r="B9" i="5"/>
  <c r="B10" i="5"/>
  <c r="B8" i="5"/>
  <c r="B16" i="5"/>
  <c r="B3" i="5"/>
  <c r="B11" i="5"/>
  <c r="B2" i="5"/>
  <c r="B12" i="5"/>
  <c r="B22" i="5"/>
  <c r="M57" i="2"/>
  <c r="N57" i="2" s="1"/>
  <c r="L57" i="2"/>
  <c r="I26" i="1" l="1"/>
  <c r="I27" i="1" l="1"/>
  <c r="J27" i="1" l="1"/>
  <c r="I28" i="1"/>
  <c r="I29" i="1" l="1"/>
  <c r="J28" i="1"/>
  <c r="I30" i="1" l="1"/>
  <c r="J29" i="1"/>
  <c r="I31" i="1" l="1"/>
  <c r="J30" i="1"/>
  <c r="J31" i="1" l="1"/>
  <c r="I32" i="1"/>
  <c r="J32" i="1" l="1"/>
  <c r="I34" i="1"/>
  <c r="I33" i="1"/>
  <c r="J33" i="1" l="1"/>
  <c r="J34" i="1"/>
  <c r="I25" i="1" l="1"/>
  <c r="I22" i="1"/>
  <c r="I19" i="1"/>
  <c r="I18" i="1"/>
  <c r="I21" i="1" l="1"/>
  <c r="I16" i="1"/>
  <c r="I23" i="1"/>
  <c r="I24" i="1"/>
  <c r="I17" i="1"/>
  <c r="I20" i="1"/>
  <c r="J26" i="1"/>
  <c r="J22" i="1" l="1"/>
  <c r="J21" i="1"/>
  <c r="J17" i="1"/>
  <c r="J24" i="1"/>
  <c r="J18" i="1"/>
  <c r="J25" i="1"/>
  <c r="J23" i="1"/>
  <c r="J20" i="1"/>
  <c r="J19" i="1"/>
  <c r="H2" i="4"/>
  <c r="H3" i="4" l="1"/>
  <c r="I3" i="4" s="1"/>
  <c r="I2" i="4"/>
  <c r="G4" i="4"/>
  <c r="G5" i="4"/>
  <c r="H4" i="4" l="1"/>
  <c r="H5" i="4" s="1"/>
  <c r="I5" i="4" s="1"/>
  <c r="I4" i="4"/>
  <c r="G6" i="4"/>
  <c r="H6" i="4" l="1"/>
  <c r="I6" i="4"/>
  <c r="G7" i="4"/>
  <c r="H7" i="4" s="1"/>
  <c r="I7" i="4" s="1"/>
  <c r="G8" i="4"/>
  <c r="H8" i="4" l="1"/>
  <c r="I8" i="4" s="1"/>
  <c r="G9" i="4"/>
  <c r="G10" i="4"/>
  <c r="G11" i="4"/>
  <c r="H9" i="4" l="1"/>
  <c r="I9" i="4" s="1"/>
  <c r="G12" i="4"/>
  <c r="G13" i="4"/>
  <c r="H10" i="4" l="1"/>
  <c r="I10" i="4" s="1"/>
  <c r="J12" i="4"/>
  <c r="K12" i="4" s="1"/>
  <c r="J13" i="4"/>
  <c r="H11" i="4" l="1"/>
  <c r="I11" i="4" s="1"/>
  <c r="H12" i="4"/>
  <c r="I12" i="4" s="1"/>
  <c r="K13" i="4"/>
  <c r="G14" i="4"/>
  <c r="J14" i="4" s="1"/>
  <c r="K14" i="4" s="1"/>
  <c r="H13" i="4" l="1"/>
  <c r="I13" i="4" s="1"/>
  <c r="G15" i="4"/>
  <c r="J15" i="4" s="1"/>
  <c r="H14" i="4" l="1"/>
  <c r="I14" i="4" s="1"/>
  <c r="K15" i="4"/>
  <c r="H15" i="4" l="1"/>
  <c r="I15" i="4" s="1"/>
  <c r="G16" i="4"/>
  <c r="H16" i="4" l="1"/>
  <c r="J16" i="4"/>
  <c r="K16" i="4" s="1"/>
  <c r="I16" i="4"/>
  <c r="G17" i="4"/>
  <c r="H17" i="4" s="1"/>
  <c r="J17" i="4"/>
  <c r="K17" i="4" s="1"/>
  <c r="F17" i="1" l="1"/>
  <c r="K17" i="1" s="1"/>
  <c r="N17" i="1" s="1"/>
  <c r="Q17" i="1" s="1"/>
  <c r="T17" i="1" s="1"/>
  <c r="W17" i="1" s="1"/>
  <c r="F16" i="1"/>
  <c r="K16" i="1" s="1"/>
  <c r="N16" i="1" s="1"/>
  <c r="Q16" i="1" s="1"/>
  <c r="T16" i="1" s="1"/>
  <c r="W16" i="1" s="1"/>
  <c r="Z16" i="1" s="1"/>
  <c r="I17" i="4"/>
  <c r="G34" i="4"/>
  <c r="G33" i="4"/>
  <c r="G31" i="4"/>
  <c r="G30" i="4"/>
  <c r="G29" i="4"/>
  <c r="G28" i="4"/>
  <c r="G27" i="4"/>
  <c r="G32" i="4"/>
  <c r="N32" i="4" s="1"/>
  <c r="G18" i="4"/>
  <c r="H18" i="4" s="1"/>
  <c r="G26" i="4"/>
  <c r="G24" i="4"/>
  <c r="G19" i="4"/>
  <c r="G20" i="4"/>
  <c r="G21" i="4"/>
  <c r="G25" i="4"/>
  <c r="L25" i="4" s="1"/>
  <c r="M25" i="4" s="1"/>
  <c r="G25" i="1" s="1"/>
  <c r="L25" i="1" s="1"/>
  <c r="O25" i="1" s="1"/>
  <c r="R25" i="1" s="1"/>
  <c r="U25" i="1" s="1"/>
  <c r="X25" i="1" s="1"/>
  <c r="G23" i="4"/>
  <c r="G22" i="4"/>
  <c r="N33" i="4" l="1"/>
  <c r="O33" i="4" s="1"/>
  <c r="Z17" i="1"/>
  <c r="J18" i="4"/>
  <c r="K18" i="4" s="1"/>
  <c r="L26" i="4"/>
  <c r="L27" i="4" s="1"/>
  <c r="O32" i="4"/>
  <c r="I18" i="4"/>
  <c r="H19" i="4"/>
  <c r="I35" i="1"/>
  <c r="G35" i="4"/>
  <c r="J19" i="4" l="1"/>
  <c r="J20" i="4" s="1"/>
  <c r="M27" i="4"/>
  <c r="L28" i="4"/>
  <c r="M28" i="4" s="1"/>
  <c r="H32" i="1"/>
  <c r="M32" i="1" s="1"/>
  <c r="P32" i="1" s="1"/>
  <c r="S32" i="1" s="1"/>
  <c r="V32" i="1" s="1"/>
  <c r="Y32" i="1" s="1"/>
  <c r="F18" i="1"/>
  <c r="K18" i="1" s="1"/>
  <c r="N18" i="1" s="1"/>
  <c r="Q18" i="1" s="1"/>
  <c r="T18" i="1" s="1"/>
  <c r="W18" i="1" s="1"/>
  <c r="Z18" i="1" s="1"/>
  <c r="N34" i="4"/>
  <c r="O34" i="4" s="1"/>
  <c r="M26" i="4"/>
  <c r="H33" i="1"/>
  <c r="M33" i="1" s="1"/>
  <c r="P33" i="1" s="1"/>
  <c r="S33" i="1" s="1"/>
  <c r="V33" i="1" s="1"/>
  <c r="Y33" i="1" s="1"/>
  <c r="J35" i="1"/>
  <c r="K19" i="4"/>
  <c r="H20" i="4"/>
  <c r="I19" i="4"/>
  <c r="N35" i="4" l="1"/>
  <c r="O35" i="4" s="1"/>
  <c r="H35" i="1" s="1"/>
  <c r="M35" i="1" s="1"/>
  <c r="P35" i="1" s="1"/>
  <c r="S35" i="1" s="1"/>
  <c r="V35" i="1" s="1"/>
  <c r="Y35" i="1" s="1"/>
  <c r="L29" i="4"/>
  <c r="M29" i="4" s="1"/>
  <c r="G26" i="1"/>
  <c r="L26" i="1" s="1"/>
  <c r="O26" i="1" s="1"/>
  <c r="R26" i="1" s="1"/>
  <c r="U26" i="1" s="1"/>
  <c r="X26" i="1" s="1"/>
  <c r="F19" i="1"/>
  <c r="K19" i="1" s="1"/>
  <c r="N19" i="1" s="1"/>
  <c r="Q19" i="1" s="1"/>
  <c r="T19" i="1" s="1"/>
  <c r="W19" i="1" s="1"/>
  <c r="Z19" i="1" s="1"/>
  <c r="G28" i="1"/>
  <c r="L28" i="1" s="1"/>
  <c r="O28" i="1" s="1"/>
  <c r="R28" i="1" s="1"/>
  <c r="U28" i="1" s="1"/>
  <c r="X28" i="1" s="1"/>
  <c r="G27" i="1"/>
  <c r="L27" i="1" s="1"/>
  <c r="O27" i="1" s="1"/>
  <c r="R27" i="1" s="1"/>
  <c r="U27" i="1" s="1"/>
  <c r="X27" i="1" s="1"/>
  <c r="H34" i="1"/>
  <c r="M34" i="1" s="1"/>
  <c r="P34" i="1" s="1"/>
  <c r="S34" i="1" s="1"/>
  <c r="V34" i="1" s="1"/>
  <c r="Y34" i="1" s="1"/>
  <c r="K20" i="4"/>
  <c r="J21" i="4"/>
  <c r="I20" i="4"/>
  <c r="H21" i="4"/>
  <c r="L30" i="4" l="1"/>
  <c r="M30" i="4" s="1"/>
  <c r="G29" i="1"/>
  <c r="L29" i="1" s="1"/>
  <c r="O29" i="1" s="1"/>
  <c r="R29" i="1" s="1"/>
  <c r="U29" i="1" s="1"/>
  <c r="X29" i="1" s="1"/>
  <c r="F20" i="1"/>
  <c r="K20" i="1" s="1"/>
  <c r="N20" i="1" s="1"/>
  <c r="Q20" i="1" s="1"/>
  <c r="T20" i="1" s="1"/>
  <c r="W20" i="1" s="1"/>
  <c r="Z20" i="1" s="1"/>
  <c r="L31" i="4"/>
  <c r="H22" i="4"/>
  <c r="I21" i="4"/>
  <c r="J22" i="4"/>
  <c r="K21" i="4"/>
  <c r="G30" i="1" l="1"/>
  <c r="L30" i="1" s="1"/>
  <c r="O30" i="1" s="1"/>
  <c r="R30" i="1" s="1"/>
  <c r="U30" i="1" s="1"/>
  <c r="X30" i="1" s="1"/>
  <c r="F21" i="1"/>
  <c r="K21" i="1" s="1"/>
  <c r="N21" i="1" s="1"/>
  <c r="Q21" i="1" s="1"/>
  <c r="T21" i="1" s="1"/>
  <c r="W21" i="1" s="1"/>
  <c r="Z21" i="1" s="1"/>
  <c r="K22" i="4"/>
  <c r="J23" i="4"/>
  <c r="M31" i="4"/>
  <c r="L32" i="4"/>
  <c r="I22" i="4"/>
  <c r="H23" i="4"/>
  <c r="G31" i="1" l="1"/>
  <c r="L31" i="1" s="1"/>
  <c r="O31" i="1" s="1"/>
  <c r="R31" i="1" s="1"/>
  <c r="U31" i="1" s="1"/>
  <c r="X31" i="1" s="1"/>
  <c r="F22" i="1"/>
  <c r="K22" i="1" s="1"/>
  <c r="N22" i="1" s="1"/>
  <c r="Q22" i="1" s="1"/>
  <c r="T22" i="1" s="1"/>
  <c r="W22" i="1" s="1"/>
  <c r="Z22" i="1" s="1"/>
  <c r="J24" i="4"/>
  <c r="K23" i="4"/>
  <c r="H24" i="4"/>
  <c r="I23" i="4"/>
  <c r="M32" i="4"/>
  <c r="L33" i="4"/>
  <c r="F23" i="1" l="1"/>
  <c r="K23" i="1" s="1"/>
  <c r="N23" i="1" s="1"/>
  <c r="Q23" i="1" s="1"/>
  <c r="T23" i="1" s="1"/>
  <c r="W23" i="1" s="1"/>
  <c r="Z23" i="1" s="1"/>
  <c r="G32" i="1"/>
  <c r="L32" i="1" s="1"/>
  <c r="O32" i="1" s="1"/>
  <c r="R32" i="1" s="1"/>
  <c r="U32" i="1" s="1"/>
  <c r="X32" i="1" s="1"/>
  <c r="H25" i="4"/>
  <c r="I24" i="4"/>
  <c r="M33" i="4"/>
  <c r="L34" i="4"/>
  <c r="L35" i="4" s="1"/>
  <c r="M35" i="4" s="1"/>
  <c r="G35" i="1" s="1"/>
  <c r="L35" i="1" s="1"/>
  <c r="O35" i="1" s="1"/>
  <c r="R35" i="1" s="1"/>
  <c r="U35" i="1" s="1"/>
  <c r="X35" i="1" s="1"/>
  <c r="K24" i="4"/>
  <c r="J25" i="4"/>
  <c r="F24" i="1" l="1"/>
  <c r="K24" i="1" s="1"/>
  <c r="N24" i="1" s="1"/>
  <c r="Q24" i="1" s="1"/>
  <c r="T24" i="1" s="1"/>
  <c r="W24" i="1" s="1"/>
  <c r="Z24" i="1" s="1"/>
  <c r="G33" i="1"/>
  <c r="L33" i="1" s="1"/>
  <c r="O33" i="1" s="1"/>
  <c r="R33" i="1" s="1"/>
  <c r="U33" i="1" s="1"/>
  <c r="X33" i="1" s="1"/>
  <c r="M34" i="4"/>
  <c r="J26" i="4"/>
  <c r="K25" i="4"/>
  <c r="I25" i="4"/>
  <c r="H26" i="4"/>
  <c r="F25" i="1" l="1"/>
  <c r="K25" i="1" s="1"/>
  <c r="N25" i="1" s="1"/>
  <c r="Q25" i="1" s="1"/>
  <c r="T25" i="1" s="1"/>
  <c r="W25" i="1" s="1"/>
  <c r="Z25" i="1" s="1"/>
  <c r="G34" i="1"/>
  <c r="L34" i="1" s="1"/>
  <c r="O34" i="1" s="1"/>
  <c r="R34" i="1" s="1"/>
  <c r="U34" i="1" s="1"/>
  <c r="X34" i="1" s="1"/>
  <c r="H27" i="4"/>
  <c r="I26" i="4"/>
  <c r="J27" i="4"/>
  <c r="K26" i="4"/>
  <c r="F26" i="1" l="1"/>
  <c r="K26" i="1" s="1"/>
  <c r="N26" i="1" s="1"/>
  <c r="Q26" i="1" s="1"/>
  <c r="T26" i="1" s="1"/>
  <c r="W26" i="1" s="1"/>
  <c r="Z26" i="1" s="1"/>
  <c r="J28" i="4"/>
  <c r="K27" i="4"/>
  <c r="I27" i="4"/>
  <c r="H28" i="4"/>
  <c r="F27" i="1" l="1"/>
  <c r="K27" i="1" s="1"/>
  <c r="N27" i="1" s="1"/>
  <c r="Q27" i="1" s="1"/>
  <c r="T27" i="1" s="1"/>
  <c r="W27" i="1" s="1"/>
  <c r="Z27" i="1" s="1"/>
  <c r="I28" i="4"/>
  <c r="H29" i="4"/>
  <c r="K28" i="4"/>
  <c r="J29" i="4"/>
  <c r="F28" i="1" l="1"/>
  <c r="K28" i="1" s="1"/>
  <c r="N28" i="1" s="1"/>
  <c r="Q28" i="1" s="1"/>
  <c r="T28" i="1" s="1"/>
  <c r="W28" i="1" s="1"/>
  <c r="Z28" i="1" s="1"/>
  <c r="K29" i="4"/>
  <c r="J30" i="4"/>
  <c r="H30" i="4"/>
  <c r="I29" i="4"/>
  <c r="F29" i="1" l="1"/>
  <c r="K29" i="1" s="1"/>
  <c r="N29" i="1" s="1"/>
  <c r="Q29" i="1" s="1"/>
  <c r="T29" i="1" s="1"/>
  <c r="W29" i="1" s="1"/>
  <c r="Z29" i="1" s="1"/>
  <c r="H31" i="4"/>
  <c r="I30" i="4"/>
  <c r="K30" i="4"/>
  <c r="J31" i="4"/>
  <c r="F30" i="1" l="1"/>
  <c r="K30" i="1" s="1"/>
  <c r="N30" i="1" s="1"/>
  <c r="Q30" i="1" s="1"/>
  <c r="T30" i="1" s="1"/>
  <c r="W30" i="1" s="1"/>
  <c r="Z30" i="1" s="1"/>
  <c r="K31" i="4"/>
  <c r="J32" i="4"/>
  <c r="I31" i="4"/>
  <c r="H32" i="4"/>
  <c r="F31" i="1" l="1"/>
  <c r="K31" i="1" s="1"/>
  <c r="N31" i="1" s="1"/>
  <c r="Q31" i="1" s="1"/>
  <c r="T31" i="1" s="1"/>
  <c r="W31" i="1" s="1"/>
  <c r="Z31" i="1" s="1"/>
  <c r="I32" i="4"/>
  <c r="H33" i="4"/>
  <c r="J33" i="4"/>
  <c r="K32" i="4"/>
  <c r="F32" i="1" l="1"/>
  <c r="K32" i="1" s="1"/>
  <c r="N32" i="1" s="1"/>
  <c r="Q32" i="1" s="1"/>
  <c r="T32" i="1" s="1"/>
  <c r="W32" i="1" s="1"/>
  <c r="Z32" i="1" s="1"/>
  <c r="K33" i="4"/>
  <c r="J34" i="4"/>
  <c r="J35" i="4" s="1"/>
  <c r="K35" i="4" s="1"/>
  <c r="F35" i="1" s="1"/>
  <c r="K35" i="1" s="1"/>
  <c r="N35" i="1" s="1"/>
  <c r="Q35" i="1" s="1"/>
  <c r="T35" i="1" s="1"/>
  <c r="W35" i="1" s="1"/>
  <c r="H34" i="4"/>
  <c r="I33" i="4"/>
  <c r="F33" i="1" l="1"/>
  <c r="K33" i="1" s="1"/>
  <c r="N33" i="1" s="1"/>
  <c r="Q33" i="1" s="1"/>
  <c r="T33" i="1" s="1"/>
  <c r="W33" i="1" s="1"/>
  <c r="Z33" i="1" s="1"/>
  <c r="H35" i="4"/>
  <c r="I35" i="4" s="1"/>
  <c r="I34" i="4"/>
  <c r="K34" i="4"/>
  <c r="F34" i="1" l="1"/>
  <c r="K34" i="1" s="1"/>
  <c r="N34" i="1" s="1"/>
  <c r="Q34" i="1" s="1"/>
  <c r="T34" i="1" s="1"/>
  <c r="W34" i="1" s="1"/>
  <c r="Z34" i="1" s="1"/>
  <c r="Z35" i="1" s="1"/>
</calcChain>
</file>

<file path=xl/sharedStrings.xml><?xml version="1.0" encoding="utf-8"?>
<sst xmlns="http://schemas.openxmlformats.org/spreadsheetml/2006/main" count="346" uniqueCount="231">
  <si>
    <t>Year</t>
  </si>
  <si>
    <t>Date</t>
  </si>
  <si>
    <t>Owner Occupied</t>
  </si>
  <si>
    <t>Rented Privately or with a job or business</t>
  </si>
  <si>
    <t>Rented from Private Registered Providers</t>
  </si>
  <si>
    <t>Rented from Local Authorities</t>
  </si>
  <si>
    <t>Other public sector dwellings</t>
  </si>
  <si>
    <t>All Dwellings</t>
  </si>
  <si>
    <t>31 December</t>
  </si>
  <si>
    <t>31 March</t>
  </si>
  <si>
    <t>OO</t>
  </si>
  <si>
    <t>PRS</t>
  </si>
  <si>
    <t>Social</t>
  </si>
  <si>
    <t>Tot ex social</t>
  </si>
  <si>
    <t>PRS +15</t>
  </si>
  <si>
    <t>Res found Through The Roof - 15% figure p15</t>
  </si>
  <si>
    <t>Period</t>
  </si>
  <si>
    <t>Jun 2000</t>
  </si>
  <si>
    <t>Jun 2001</t>
  </si>
  <si>
    <t>Jun 2002</t>
  </si>
  <si>
    <t>Jun 2003</t>
  </si>
  <si>
    <t>Jun 2004</t>
  </si>
  <si>
    <t>Jun 2005</t>
  </si>
  <si>
    <t>Jun 2006</t>
  </si>
  <si>
    <t>Jun 2007</t>
  </si>
  <si>
    <t>Jun 2008</t>
  </si>
  <si>
    <t>Jun 2009</t>
  </si>
  <si>
    <t>Jun 2010</t>
  </si>
  <si>
    <t>Jun 2011</t>
  </si>
  <si>
    <t>Jun 2012</t>
  </si>
  <si>
    <t>Jun 2013</t>
  </si>
  <si>
    <t>Jun 2014</t>
  </si>
  <si>
    <t>Jun 2015</t>
  </si>
  <si>
    <t>Jun 2016</t>
  </si>
  <si>
    <t>Jun 2017</t>
  </si>
  <si>
    <t>Jun 2018</t>
  </si>
  <si>
    <t>Jun 2019</t>
  </si>
  <si>
    <t>Jun 2020</t>
  </si>
  <si>
    <t>Jun 2021</t>
  </si>
  <si>
    <t>Jun 2022</t>
  </si>
  <si>
    <t>Q2</t>
  </si>
  <si>
    <t>Ending</t>
  </si>
  <si>
    <t>Net</t>
  </si>
  <si>
    <t>Net K</t>
  </si>
  <si>
    <t>ENPOP</t>
  </si>
  <si>
    <t>UKPOP</t>
  </si>
  <si>
    <t>NM England (calc)</t>
  </si>
  <si>
    <t>EN: 0 NM ex 1991</t>
  </si>
  <si>
    <t>NM EN cumul ex 1991</t>
  </si>
  <si>
    <t>NM EN cumul ex 2001</t>
  </si>
  <si>
    <t>NM EN cumul ex 2014</t>
  </si>
  <si>
    <t>EN: 0 NM ex 2001</t>
  </si>
  <si>
    <t>EN 0 NM ex 2014</t>
  </si>
  <si>
    <t>EN Index</t>
  </si>
  <si>
    <t>EN rent</t>
  </si>
  <si>
    <t>Rent / pre-tax salary</t>
  </si>
  <si>
    <t>Rent / post-tax salary</t>
  </si>
  <si>
    <t>CF: No NM since 2001</t>
  </si>
  <si>
    <t>CF: No NM since 2014</t>
  </si>
  <si>
    <t>CF: No BW</t>
  </si>
  <si>
    <t>Rent index post ts adj</t>
  </si>
  <si>
    <t>Tot inc soc adj</t>
  </si>
  <si>
    <t>Good fit.</t>
  </si>
  <si>
    <t>more dwelling pp</t>
  </si>
  <si>
    <t>This is adjusted by</t>
  </si>
  <si>
    <t>post-tax wages</t>
  </si>
  <si>
    <t>It is the proportion</t>
  </si>
  <si>
    <t>of a single wage</t>
  </si>
  <si>
    <t xml:space="preserve">post-tax to be paid for avg </t>
  </si>
  <si>
    <t>English rent</t>
  </si>
  <si>
    <t>Lower rent index = lower rent</t>
  </si>
  <si>
    <t>lower rent</t>
  </si>
  <si>
    <t>Higher stock pp</t>
  </si>
  <si>
    <t>stock  per capita increase 3% since 2005</t>
  </si>
  <si>
    <t>rent decrease 19% since 2005</t>
  </si>
  <si>
    <t>YoY Pain Threshold</t>
  </si>
  <si>
    <t>RI / pc stock - pain threshold</t>
  </si>
  <si>
    <t>Explanation for secular descent:</t>
  </si>
  <si>
    <t>More smaller more modern flats obtaining less rent per flat</t>
  </si>
  <si>
    <t>Pain threshold' as it's how much 'pain' (on wallet) tolerated</t>
  </si>
  <si>
    <t xml:space="preserve">for renting nice flat / house </t>
  </si>
  <si>
    <t>Persons per dw</t>
  </si>
  <si>
    <t xml:space="preserve">Less pressure to live alone? </t>
  </si>
  <si>
    <t>Household sizes constant / slightly growing</t>
  </si>
  <si>
    <t>CF01 vs real</t>
  </si>
  <si>
    <t>CF14 vs real</t>
  </si>
  <si>
    <t>CFBW vs real</t>
  </si>
  <si>
    <t>as</t>
  </si>
  <si>
    <t>rents</t>
  </si>
  <si>
    <t>% of actual yr</t>
  </si>
  <si>
    <t xml:space="preserve">as </t>
  </si>
  <si>
    <t>values</t>
  </si>
  <si>
    <t>CF01 rent index</t>
  </si>
  <si>
    <t>CF14 rent index</t>
  </si>
  <si>
    <t>CFBW rent index</t>
  </si>
  <si>
    <t>vs actual</t>
  </si>
  <si>
    <t>CF01 rent</t>
  </si>
  <si>
    <t>CF14 rent</t>
  </si>
  <si>
    <t>CFBW rent</t>
  </si>
  <si>
    <t>CF01 saving</t>
  </si>
  <si>
    <t>CF14 saving</t>
  </si>
  <si>
    <t>CFBW saving</t>
  </si>
  <si>
    <t>CF01 LDN Saving</t>
  </si>
  <si>
    <t>CF14 LDN saving</t>
  </si>
  <si>
    <t>CFBW LDN Saving</t>
  </si>
  <si>
    <t>ATTENTION NAÏVE</t>
  </si>
  <si>
    <t xml:space="preserve">CALC BASED ON </t>
  </si>
  <si>
    <t>LDN RENT 2206</t>
  </si>
  <si>
    <t>ENG RENT 1348</t>
  </si>
  <si>
    <t>IGNORE OTHER YRS</t>
  </si>
  <si>
    <t>Coefficient</t>
  </si>
  <si>
    <t>31 March CALC</t>
  </si>
  <si>
    <t>6% fewer homes completed 2024 vs 2023</t>
  </si>
  <si>
    <t>NM EN cum ex 2020</t>
  </si>
  <si>
    <t>EN 0 NM ex 2020</t>
  </si>
  <si>
    <t>EN rent £ sign</t>
  </si>
  <si>
    <t>CF01 LDN CUMULATIVE SAVING over 20 years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</si>
  <si>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</si>
  <si>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</si>
  <si>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</si>
  <si>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</si>
  <si>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</si>
  <si>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</si>
  <si>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</si>
  <si>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</si>
  <si>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</si>
  <si>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</si>
  <si>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</si>
  <si>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</si>
  <si>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</si>
  <si>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</si>
  <si>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</si>
  <si>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</si>
  <si>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</si>
  <si>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</si>
  <si>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</si>
  <si>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</si>
  <si>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</si>
  <si>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</si>
  <si>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</si>
  <si>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</si>
  <si>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</si>
  <si>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</si>
  <si>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</si>
  <si>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</si>
  <si>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</si>
  <si>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</si>
  <si>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</si>
  <si>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</si>
  <si>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</si>
  <si>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</si>
  <si>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</si>
  <si>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</si>
  <si>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</si>
  <si>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</si>
  <si>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</si>
  <si>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</si>
  <si>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</si>
  <si>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</si>
  <si>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</si>
  <si>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</si>
  <si>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</si>
  <si>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</si>
  <si>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</si>
  <si>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</si>
  <si>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</si>
  <si>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</si>
  <si>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</si>
  <si>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</si>
  <si>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</si>
  <si>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</si>
  <si>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</si>
  <si>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</si>
  <si>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</si>
  <si>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</si>
  <si>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</si>
  <si>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</si>
  <si>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</si>
  <si>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</si>
  <si>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</si>
  <si>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</si>
  <si>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</si>
  <si>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</si>
  <si>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</si>
  <si>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</si>
  <si>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</si>
  <si>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</si>
  <si>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</si>
  <si>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</si>
  <si>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</si>
  <si>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</si>
  <si>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</si>
  <si>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</si>
  <si>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</si>
  <si>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</si>
  <si>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</si>
  <si>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</si>
  <si>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</si>
  <si>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</si>
  <si>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</si>
  <si>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</si>
  <si>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</si>
  <si>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</si>
  <si>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</si>
  <si>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</si>
  <si>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</si>
  <si>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</si>
  <si>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</si>
  <si>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</si>
  <si>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</si>
  <si>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</si>
  <si>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</si>
  <si>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</si>
  <si>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</si>
  <si>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</si>
  <si>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</si>
  <si>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</si>
  <si>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Period in Q</t>
  </si>
  <si>
    <t>GDHI per capita Q2 (monthly)</t>
  </si>
  <si>
    <t>2024 pop estimated from pop aged 16 and over 2024 vs 2023</t>
  </si>
  <si>
    <t>ONS YCHL</t>
  </si>
  <si>
    <t>Source data</t>
  </si>
  <si>
    <t>Q4</t>
  </si>
  <si>
    <t>Source: https://www.ons.gov.uk/peoplepopulationandcommunity/populationandmigration/internationalmigration/datasets/longterminternationalimmigrationemigrationandnetmigrationflowsprovisional</t>
  </si>
  <si>
    <t>Pre 2012 Source and post 2012 cross checked: https://researchbriefings.files.parliament.uk/documents/SN06077/CBP06077-data.xlsx</t>
  </si>
  <si>
    <t>Source: https://www.ons.gov.uk/economy/inflationandpriceindices/datasets/priceindexofprivaterentsukhistoricalseries Table 3 (England Column)</t>
  </si>
  <si>
    <t xml:space="preserve">Source: https://www.gov.uk/government/statistical-data-sets/live-tables-on-dwelling-stock-including-vacants Table 104, </t>
  </si>
  <si>
    <t>Source: https://www.ons.gov.uk/economy/grossdomesticproductgdp/timeseries/crxs/ukea</t>
  </si>
  <si>
    <t>Source for Population: https://www.ons.gov.uk/peoplepopulationandcommunity/populationandmigration/populationestimates/datasets/populationestimatesforukenglandandwalesscotlandandnorthernireland (Population estimates for the UK and constituent countries by sex and age; Historical time series</t>
  </si>
  <si>
    <t>United Kingdom, constituent countries, sex and age, historical series, Table 10, all persons)</t>
  </si>
  <si>
    <t>Net Migration to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</si>
</sst>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&quot; &quot;General"/>
    <numFmt numFmtId="166" formatCode="0.0%"/>
    <numFmt numFmtId="167" formatCode="&quot; &quot;#,##0.00&quot; &quot;;&quot;-&quot;#,##0.00&quot; &quot;;&quot; -&quot;00&quot; &quot;;&quot; &quot;@&quot; &quot;"/>
    <numFmt numFmtId="168" formatCode="&quot; &quot;* #,##0.00&quot; &quot;;&quot;-&quot;* #,##0.00&quot; &quot;;&quot; &quot;* &quot;-&quot;#&quot; &quot;;&quot; &quot;@&quot; &quot;"/>
    <numFmt numFmtId="169" formatCode="#,##0&quot; &quot;;;&quot;-  &quot;;@&quot;  &quot;"/>
    <numFmt numFmtId="170" formatCode="0.0"/>
    <numFmt numFmtId="171" formatCode="mmm\-yyyy"/>
    <numFmt numFmtId="172" formatCode="&quot;£&quot;#,##0.00"/>
    <numFmt numFmtId="173" formatCode="_-[$£-809]* #,##0.00_-;\-[$£-809]* #,##0.00_-;_-[$£-809]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u/>
      <sz val="10"/>
      <color rgb="FF0000FF"/>
      <name val="Arial"/>
      <family val="2"/>
    </font>
    <font>
      <b/>
      <sz val="13"/>
      <color rgb="FF000000"/>
      <name val="Arial"/>
      <family val="2"/>
    </font>
    <font>
      <b/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u/>
      <sz val="12"/>
      <color rgb="FF0000FF"/>
      <name val="Arial"/>
      <family val="2"/>
    </font>
    <font>
      <sz val="9"/>
      <color theme="1"/>
      <name val="Open San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5"/>
      <color rgb="FF000000"/>
      <name val="Calibri"/>
      <family val="2"/>
    </font>
    <font>
      <b/>
      <sz val="13"/>
      <color rgb="FF000000"/>
      <name val="Calibri"/>
      <family val="2"/>
    </font>
    <font>
      <sz val="11"/>
      <color rgb="FF9C6500"/>
      <name val="Calibri"/>
      <family val="2"/>
      <scheme val="minor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666666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9F8F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0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5" borderId="3" applyNumberFormat="0" applyAlignment="0" applyProtection="0"/>
    <xf numFmtId="0" fontId="7" fillId="6" borderId="4" applyNumberFormat="0" applyAlignment="0" applyProtection="0"/>
    <xf numFmtId="0" fontId="8" fillId="6" borderId="3" applyNumberFormat="0" applyAlignment="0" applyProtection="0"/>
    <xf numFmtId="0" fontId="9" fillId="0" borderId="5" applyNumberFormat="0" applyFill="0" applyAlignment="0" applyProtection="0"/>
    <xf numFmtId="0" fontId="10" fillId="7" borderId="6" applyNumberFormat="0" applyAlignment="0" applyProtection="0"/>
    <xf numFmtId="0" fontId="11" fillId="0" borderId="0" applyNumberFormat="0" applyFill="0" applyBorder="0" applyAlignment="0" applyProtection="0"/>
    <xf numFmtId="0" fontId="1" fillId="8" borderId="7" applyNumberFormat="0" applyFont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0" borderId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168" fontId="1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15" fillId="0" borderId="0" applyNumberFormat="0" applyFont="0" applyBorder="0" applyProtection="0"/>
    <xf numFmtId="169" fontId="24" fillId="0" borderId="0" applyFill="0" applyBorder="0" applyProtection="0">
      <alignment horizontal="right"/>
    </xf>
    <xf numFmtId="0" fontId="25" fillId="0" borderId="0" applyNumberFormat="0" applyFill="0" applyBorder="0" applyProtection="0">
      <alignment horizontal="center" vertical="center" wrapText="1"/>
    </xf>
    <xf numFmtId="1" fontId="26" fillId="0" borderId="0" applyFill="0" applyBorder="0" applyProtection="0">
      <alignment horizontal="right" vertical="top"/>
    </xf>
    <xf numFmtId="165" fontId="24" fillId="0" borderId="0" applyFill="0" applyBorder="0" applyProtection="0">
      <alignment horizontal="left"/>
    </xf>
    <xf numFmtId="0" fontId="26" fillId="0" borderId="0" applyNumberFormat="0" applyFill="0" applyBorder="0" applyProtection="0">
      <alignment horizontal="left" vertical="top"/>
    </xf>
    <xf numFmtId="0" fontId="27" fillId="0" borderId="0"/>
    <xf numFmtId="0" fontId="2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4" fillId="12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5" fillId="0" borderId="0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1" applyNumberFormat="0" applyFill="0" applyBorder="0" applyAlignment="0" applyProtection="0"/>
    <xf numFmtId="0" fontId="36" fillId="0" borderId="0" applyNumberFormat="0" applyFill="0" applyAlignment="0" applyProtection="0"/>
    <xf numFmtId="0" fontId="39" fillId="0" borderId="0" applyNumberFormat="0" applyFill="0" applyBorder="0" applyAlignment="0" applyProtection="0"/>
    <xf numFmtId="0" fontId="33" fillId="0" borderId="0" applyNumberFormat="0" applyFill="0" applyAlignment="0" applyProtection="0"/>
    <xf numFmtId="0" fontId="2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6" fillId="5" borderId="3" applyNumberFormat="0" applyAlignment="0" applyProtection="0"/>
    <xf numFmtId="0" fontId="40" fillId="4" borderId="0" applyNumberFormat="0" applyBorder="0" applyAlignment="0" applyProtection="0"/>
    <xf numFmtId="0" fontId="31" fillId="0" borderId="0"/>
    <xf numFmtId="0" fontId="1" fillId="0" borderId="0"/>
    <xf numFmtId="0" fontId="34" fillId="0" borderId="0"/>
    <xf numFmtId="0" fontId="31" fillId="0" borderId="0"/>
    <xf numFmtId="0" fontId="31" fillId="0" borderId="0">
      <alignment horizontal="left" wrapText="1"/>
    </xf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8" borderId="7" applyNumberFormat="0" applyFont="0" applyAlignment="0" applyProtection="0"/>
    <xf numFmtId="0" fontId="1" fillId="8" borderId="7" applyNumberFormat="0" applyFont="0" applyAlignment="0" applyProtection="0"/>
    <xf numFmtId="0" fontId="41" fillId="6" borderId="4" applyNumberFormat="0" applyAlignment="0" applyProtection="0"/>
    <xf numFmtId="0" fontId="15" fillId="0" borderId="0" applyNumberForma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42" fillId="0" borderId="0" applyNumberFormat="0" applyFill="0" applyBorder="0" applyAlignment="0" applyProtection="0"/>
  </cellStyleXfs>
  <cellXfs count="49">
    <xf numFmtId="0" fontId="0" fillId="0" borderId="0" xfId="0"/>
    <xf numFmtId="0" fontId="13" fillId="0" borderId="0" xfId="0" applyFont="1"/>
    <xf numFmtId="3" fontId="0" fillId="0" borderId="0" xfId="0" applyNumberFormat="1"/>
    <xf numFmtId="3" fontId="22" fillId="0" borderId="0" xfId="0" applyNumberFormat="1" applyFont="1" applyAlignment="1">
      <alignment horizontal="right" vertical="top"/>
    </xf>
    <xf numFmtId="0" fontId="21" fillId="0" borderId="0" xfId="42"/>
    <xf numFmtId="0" fontId="15" fillId="0" borderId="12" xfId="34" applyBorder="1" applyAlignment="1">
      <alignment horizontal="left"/>
    </xf>
    <xf numFmtId="0" fontId="15" fillId="0" borderId="0" xfId="34" applyAlignment="1">
      <alignment horizontal="left"/>
    </xf>
    <xf numFmtId="0" fontId="15" fillId="0" borderId="11" xfId="34" applyBorder="1" applyAlignment="1">
      <alignment horizontal="left"/>
    </xf>
    <xf numFmtId="2" fontId="0" fillId="0" borderId="0" xfId="0" applyNumberFormat="1"/>
    <xf numFmtId="3" fontId="15" fillId="0" borderId="12" xfId="34" applyNumberFormat="1" applyBorder="1" applyAlignment="1">
      <alignment horizontal="right" vertical="center"/>
    </xf>
    <xf numFmtId="3" fontId="15" fillId="0" borderId="0" xfId="34" applyNumberFormat="1" applyAlignment="1">
      <alignment horizontal="right" vertical="center"/>
    </xf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  <xf numFmtId="0" fontId="19" fillId="0" borderId="12" xfId="3" applyFont="1" applyBorder="1" applyAlignment="1">
      <alignment horizontal="left" wrapText="1"/>
    </xf>
    <xf numFmtId="49" fontId="0" fillId="0" borderId="0" xfId="0" applyNumberFormat="1" applyAlignment="1">
      <alignment horizontal="right"/>
    </xf>
    <xf numFmtId="0" fontId="20" fillId="0" borderId="0" xfId="0" applyFont="1" applyAlignment="1">
      <alignment horizontal="right"/>
    </xf>
    <xf numFmtId="3" fontId="0" fillId="0" borderId="0" xfId="0" applyNumberForma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49" fontId="0" fillId="0" borderId="12" xfId="0" applyNumberFormat="1" applyBorder="1" applyAlignment="1">
      <alignment horizontal="right"/>
    </xf>
    <xf numFmtId="0" fontId="20" fillId="0" borderId="12" xfId="0" applyFont="1" applyBorder="1" applyAlignment="1">
      <alignment horizontal="right"/>
    </xf>
    <xf numFmtId="3" fontId="0" fillId="0" borderId="12" xfId="0" applyNumberFormat="1" applyBorder="1" applyAlignment="1">
      <alignment horizontal="right" vertical="center"/>
    </xf>
    <xf numFmtId="3" fontId="20" fillId="0" borderId="12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1" fontId="0" fillId="0" borderId="0" xfId="0" applyNumberFormat="1"/>
    <xf numFmtId="3" fontId="23" fillId="0" borderId="0" xfId="50" applyNumberFormat="1" applyFont="1" applyAlignment="1">
      <alignment horizontal="right"/>
    </xf>
    <xf numFmtId="0" fontId="30" fillId="33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0" fontId="46" fillId="34" borderId="0" xfId="0" applyFont="1" applyFill="1" applyAlignment="1">
      <alignment horizontal="left" vertical="center" wrapText="1" indent="2"/>
    </xf>
    <xf numFmtId="173" fontId="0" fillId="0" borderId="0" xfId="0" applyNumberFormat="1"/>
    <xf numFmtId="172" fontId="0" fillId="0" borderId="0" xfId="2" applyNumberFormat="1" applyFont="1"/>
    <xf numFmtId="0" fontId="0" fillId="0" borderId="0" xfId="0" quotePrefix="1"/>
    <xf numFmtId="0" fontId="23" fillId="34" borderId="0" xfId="0" applyFont="1" applyFill="1" applyAlignment="1">
      <alignment vertical="center" wrapText="1"/>
    </xf>
    <xf numFmtId="0" fontId="45" fillId="34" borderId="0" xfId="0" applyFont="1" applyFill="1" applyAlignment="1">
      <alignment horizontal="left" vertical="center" wrapText="1"/>
    </xf>
    <xf numFmtId="17" fontId="13" fillId="0" borderId="0" xfId="0" applyNumberFormat="1" applyFont="1"/>
    <xf numFmtId="17" fontId="0" fillId="0" borderId="0" xfId="0" applyNumberFormat="1"/>
    <xf numFmtId="10" fontId="15" fillId="0" borderId="0" xfId="2" applyNumberFormat="1" applyFont="1" applyFill="1" applyAlignment="1">
      <alignment horizontal="right"/>
    </xf>
    <xf numFmtId="170" fontId="44" fillId="0" borderId="0" xfId="0" applyNumberFormat="1" applyFont="1" applyAlignment="1">
      <alignment horizontal="right"/>
    </xf>
    <xf numFmtId="171" fontId="43" fillId="0" borderId="0" xfId="0" applyNumberFormat="1" applyFont="1" applyAlignment="1">
      <alignment horizontal="left"/>
    </xf>
    <xf numFmtId="3" fontId="13" fillId="0" borderId="0" xfId="0" applyNumberFormat="1" applyFont="1"/>
    <xf numFmtId="164" fontId="30" fillId="33" borderId="0" xfId="0" applyNumberFormat="1" applyFont="1" applyFill="1" applyAlignment="1">
      <alignment horizontal="right"/>
    </xf>
    <xf numFmtId="173" fontId="44" fillId="0" borderId="0" xfId="0" applyNumberFormat="1" applyFont="1"/>
    <xf numFmtId="3" fontId="27" fillId="0" borderId="0" xfId="0" applyNumberFormat="1" applyFont="1" applyAlignment="1">
      <alignment horizontal="right"/>
    </xf>
    <xf numFmtId="0" fontId="48" fillId="0" borderId="0" xfId="0" applyFont="1"/>
    <xf numFmtId="0" fontId="13" fillId="0" borderId="0" xfId="0" applyFont="1" applyAlignment="1">
      <alignment horizontal="left" vertical="top"/>
    </xf>
    <xf numFmtId="3" fontId="23" fillId="0" borderId="0" xfId="50" applyNumberFormat="1" applyFont="1" applyAlignment="1">
      <alignment horizontal="left" vertical="top"/>
    </xf>
    <xf numFmtId="10" fontId="0" fillId="0" borderId="0" xfId="0" applyNumberFormat="1"/>
  </cellXfs>
  <cellStyles count="105">
    <cellStyle name="20% - Accent1" xfId="17" builtinId="30" customBuiltin="1"/>
    <cellStyle name="20% - Accent1 2" xfId="51" xr:uid="{E1620AEF-1C5B-4E30-9095-206630A8ABCE}"/>
    <cellStyle name="20% - Accent2" xfId="20" builtinId="34" customBuiltin="1"/>
    <cellStyle name="20% - Accent2 2" xfId="52" xr:uid="{B3FE90AA-F1B9-4B86-ADC7-C32A7D310FBF}"/>
    <cellStyle name="20% - Accent3" xfId="23" builtinId="38" customBuiltin="1"/>
    <cellStyle name="20% - Accent3 2" xfId="53" xr:uid="{FFB13A9C-9466-442E-B427-FE5F012F6578}"/>
    <cellStyle name="20% - Accent4" xfId="26" builtinId="42" customBuiltin="1"/>
    <cellStyle name="20% - Accent4 2" xfId="54" xr:uid="{A27051FE-F932-4DE0-82DF-6F85DFE797DD}"/>
    <cellStyle name="20% - Accent5" xfId="29" builtinId="46" customBuiltin="1"/>
    <cellStyle name="20% - Accent5 2" xfId="55" xr:uid="{9402DB02-0D3A-43C6-8C86-6A844C23679C}"/>
    <cellStyle name="20% - Accent6" xfId="32" builtinId="50" customBuiltin="1"/>
    <cellStyle name="20% - Accent6 2" xfId="56" xr:uid="{34E60372-BDBE-468E-A5BD-F782B57B05F0}"/>
    <cellStyle name="40% - Accent1" xfId="18" builtinId="31" customBuiltin="1"/>
    <cellStyle name="40% - Accent1 2" xfId="57" xr:uid="{2B16852A-B80C-4380-9831-0BD3E1CB6F92}"/>
    <cellStyle name="40% - Accent2" xfId="21" builtinId="35" customBuiltin="1"/>
    <cellStyle name="40% - Accent2 2" xfId="58" xr:uid="{104223EF-FD57-4580-A3E4-2328EFC16C69}"/>
    <cellStyle name="40% - Accent3" xfId="24" builtinId="39" customBuiltin="1"/>
    <cellStyle name="40% - Accent3 2" xfId="59" xr:uid="{1D4FF419-F081-4AEB-854D-DFA9349C0F54}"/>
    <cellStyle name="40% - Accent4" xfId="27" builtinId="43" customBuiltin="1"/>
    <cellStyle name="40% - Accent4 2" xfId="60" xr:uid="{A32F757F-2C98-40CE-9ADC-4AB96448EFE2}"/>
    <cellStyle name="40% - Accent5" xfId="30" builtinId="47" customBuiltin="1"/>
    <cellStyle name="40% - Accent5 2" xfId="61" xr:uid="{E1462A10-B5B5-40D4-91DE-5E8204ADF7E8}"/>
    <cellStyle name="40% - Accent6" xfId="33" builtinId="51" customBuiltin="1"/>
    <cellStyle name="40% - Accent6 2" xfId="62" xr:uid="{52D9CF77-1191-4CBD-821E-7324E7AB0FA7}"/>
    <cellStyle name="60% - Accent1 2" xfId="63" xr:uid="{AE4D1270-C38E-4B20-9F75-45D301F79AAA}"/>
    <cellStyle name="60% - Accent2 2" xfId="64" xr:uid="{08552CD1-1741-4E04-A6BF-BE1E5B7A18F4}"/>
    <cellStyle name="60% - Accent3 2" xfId="65" xr:uid="{647E281F-F395-4C95-857E-DB5B929E54B4}"/>
    <cellStyle name="60% - Accent4 2" xfId="66" xr:uid="{A4362B56-99D5-4A99-993D-C8B989747707}"/>
    <cellStyle name="60% - Accent5 2" xfId="67" xr:uid="{6718581F-68DA-438D-ABC7-1C11AEDE9048}"/>
    <cellStyle name="60% - Accent6 2" xfId="68" xr:uid="{60316885-2A52-4342-B3A4-1978B11986E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" xfId="1" builtinId="3"/>
    <cellStyle name="Comma 2" xfId="39" xr:uid="{BB7AC5BF-7629-423C-B137-AB7320721413}"/>
    <cellStyle name="Comma 2 2" xfId="70" xr:uid="{B61001E3-A635-4335-BE53-E5AD37792D26}"/>
    <cellStyle name="Comma 2 3" xfId="71" xr:uid="{2A22CDE2-8D9A-4B01-B595-78E519BE50F2}"/>
    <cellStyle name="Comma 2 4" xfId="69" xr:uid="{32E9465C-E1A2-423C-8981-80BCD0ADFF87}"/>
    <cellStyle name="Comma 3" xfId="35" xr:uid="{9BFBEDC6-B1B1-4E34-9E35-9BAF89CBF038}"/>
    <cellStyle name="Comma 3 2" xfId="72" xr:uid="{5B1B0FD5-8E4F-4F0F-849D-CB5AD502901A}"/>
    <cellStyle name="Explanatory Text" xfId="14" builtinId="53" customBuiltin="1"/>
    <cellStyle name="Good" xfId="5" builtinId="26" customBuiltin="1"/>
    <cellStyle name="Heading 1 2" xfId="37" xr:uid="{E7F75143-8388-47A2-8302-3C72DDABD527}"/>
    <cellStyle name="Heading 1 2 2" xfId="74" xr:uid="{4D375DA1-B09E-4803-9A37-909FB7D5A1D7}"/>
    <cellStyle name="Heading 1 3" xfId="75" xr:uid="{1AEC1958-7E2D-4905-8247-FF2E04B7D4F7}"/>
    <cellStyle name="Heading 1 4" xfId="73" xr:uid="{C06EDC57-100B-47D9-AFE0-4CB88C7D10D7}"/>
    <cellStyle name="Heading 2" xfId="3" builtinId="17"/>
    <cellStyle name="Heading 2 2" xfId="38" xr:uid="{BD4A88E7-EB27-44A0-AD61-2133B43FE3F1}"/>
    <cellStyle name="Heading 2 2 2" xfId="77" xr:uid="{7B428AA9-126A-489D-8AC6-9DA1A08E2ECD}"/>
    <cellStyle name="Heading 2 3" xfId="76" xr:uid="{DEEBC4CF-03F2-4FA6-B674-9EF93DB35E44}"/>
    <cellStyle name="Heading 3 2" xfId="78" xr:uid="{DF792AD4-AB20-4D7A-86C4-1C784429D961}"/>
    <cellStyle name="Heading 4" xfId="4" builtinId="19" customBuiltin="1"/>
    <cellStyle name="Heading 4 2" xfId="79" xr:uid="{79C85A84-5682-46C8-9CFC-AFD7F8B04CB6}"/>
    <cellStyle name="Hyperlink" xfId="40" xr:uid="{276FBE76-A213-42B2-BC0E-89E1D374E2CB}"/>
    <cellStyle name="Hyperlink 2" xfId="41" xr:uid="{A6B70189-65AC-4D9A-93BF-0486A823FDB1}"/>
    <cellStyle name="Hyperlink 2 2" xfId="82" xr:uid="{7149D81C-178A-4A76-8ABB-2B2B2A04B5FB}"/>
    <cellStyle name="Hyperlink 2 3" xfId="81" xr:uid="{7C0F799B-6452-42AD-B492-6BEF75CA1609}"/>
    <cellStyle name="Hyperlink 3" xfId="83" xr:uid="{025E7B00-E157-49D7-BE6A-830E52620673}"/>
    <cellStyle name="Hyperlink 4" xfId="80" xr:uid="{E21F58D8-7195-44E6-B8F7-AE64F58223CC}"/>
    <cellStyle name="Input" xfId="7" builtinId="20" customBuiltin="1"/>
    <cellStyle name="Input 2" xfId="84" xr:uid="{ED88F980-CB4C-4878-A5E2-84A5FC125B2B}"/>
    <cellStyle name="Linked Cell" xfId="10" builtinId="24" customBuiltin="1"/>
    <cellStyle name="Neutral 2" xfId="85" xr:uid="{7D1D32D3-E94C-4C9A-BD07-76CFA2D4CE3D}"/>
    <cellStyle name="Normal" xfId="0" builtinId="0"/>
    <cellStyle name="Normal 16" xfId="86" xr:uid="{66847B4C-A710-40D3-96D9-DD13CDF235D7}"/>
    <cellStyle name="Normal 2" xfId="34" xr:uid="{B1E89AFF-A131-4E74-9940-F67576EF8002}"/>
    <cellStyle name="Normal 2 2" xfId="43" xr:uid="{34BCCFAF-86AA-4297-B62C-E53E956014ED}"/>
    <cellStyle name="Normal 2 2 2" xfId="89" xr:uid="{6311E2BD-189A-4A82-8BAB-32419A82B003}"/>
    <cellStyle name="Normal 2 2 3" xfId="88" xr:uid="{32759306-021B-4452-85E6-4C81AFBEF770}"/>
    <cellStyle name="Normal 2 3" xfId="87" xr:uid="{864B394A-8C88-4F0D-87FC-7C4F89C4D2CD}"/>
    <cellStyle name="Normal 3" xfId="42" xr:uid="{51AEBBAD-6532-4334-99BE-0699E27F0840}"/>
    <cellStyle name="Normal 3 2" xfId="91" xr:uid="{E473A8B2-766B-4417-9D97-CA84520F5525}"/>
    <cellStyle name="Normal 3 3" xfId="92" xr:uid="{DA43695B-A35B-4530-B195-D17264EA9238}"/>
    <cellStyle name="Normal 3 4" xfId="90" xr:uid="{A4E39A9A-2BB7-4165-9218-E5D1E0F2949C}"/>
    <cellStyle name="Normal 4" xfId="49" xr:uid="{5F4DBF72-BA8A-4398-A4D9-E9238DD8795D}"/>
    <cellStyle name="Normal 4 2" xfId="94" xr:uid="{F5A3C1E4-DC08-4298-92E2-22F99E09BF18}"/>
    <cellStyle name="Normal 4 3" xfId="93" xr:uid="{7AA5CE1B-5EE7-4038-BD2B-4D6F9EB1391B}"/>
    <cellStyle name="Normal 5" xfId="50" xr:uid="{B37446FD-0DDC-46AF-95CF-91565CD90991}"/>
    <cellStyle name="Normal 5 2" xfId="95" xr:uid="{148F868C-65ED-4667-BBB1-ECB6E2605282}"/>
    <cellStyle name="Normal 6" xfId="96" xr:uid="{7216BE21-A761-45B9-906E-C6B8259FBCA0}"/>
    <cellStyle name="Note" xfId="13" builtinId="10" customBuiltin="1"/>
    <cellStyle name="Note 2" xfId="97" xr:uid="{74480E16-D469-421E-8257-5300B505FAEE}"/>
    <cellStyle name="Note 3" xfId="98" xr:uid="{2619A1AA-D1A6-4B57-A389-E7F48EAE80AC}"/>
    <cellStyle name="Output" xfId="8" builtinId="21" customBuiltin="1"/>
    <cellStyle name="Output 2" xfId="99" xr:uid="{E3791D25-CDAE-46D5-804B-EC73A0DF3719}"/>
    <cellStyle name="Paragraph Han" xfId="100" xr:uid="{7CBD35D5-7E43-4264-8F34-2E721B03D7E4}"/>
    <cellStyle name="Percent" xfId="2" builtinId="5"/>
    <cellStyle name="Percent 2" xfId="36" xr:uid="{8819FAD1-87BD-4EAF-8744-49AE27DD062C}"/>
    <cellStyle name="Percent 2 2" xfId="102" xr:uid="{62CBECA3-9B3C-4AA4-A870-92E38FBB2FDD}"/>
    <cellStyle name="Percent 2 3" xfId="103" xr:uid="{DDEF19E2-C2B7-4234-B84C-6BABDC1EEB50}"/>
    <cellStyle name="Percent 2 4" xfId="101" xr:uid="{4F50ED85-9E09-46B0-851C-197AC1B07DBF}"/>
    <cellStyle name="Table Cells" xfId="44" xr:uid="{06B115B9-A8AA-4F37-832C-8B1DC7551933}"/>
    <cellStyle name="Table Column Headings" xfId="45" xr:uid="{F3BE953D-B26D-483F-9AF7-60BBC43539E0}"/>
    <cellStyle name="Table Number" xfId="46" xr:uid="{E9B96E80-79D4-4EFF-9E2B-3B6A49EC9049}"/>
    <cellStyle name="Table Row Headings" xfId="47" xr:uid="{33619854-A6D5-4E62-A749-49D908F9A229}"/>
    <cellStyle name="Table Title" xfId="48" xr:uid="{352EC72C-9CB7-4FE8-B57F-FA540D968D15}"/>
    <cellStyle name="Title 2" xfId="104" xr:uid="{0A7B3721-CA82-4714-865E-BBA99AFA8E7D}"/>
    <cellStyle name="Total" xfId="15" builtinId="25" customBuiltin="1"/>
    <cellStyle name="Warning Text" xfId="12" builtinId="11" customBuiltin="1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43B390"/>
      <color rgb="FF1860B0"/>
      <color rgb="FFC2203F"/>
      <color rgb="FFEEA116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rents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Real rents over time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Calcs!$C$16:$C$35</c:f>
              <c:numCache>
                <c:formatCode>0.00%</c:formatCode>
                <c:ptCount val="20"/>
                <c:pt idx="0">
                  <c:v>0.67164179104477617</c:v>
                </c:pt>
                <c:pt idx="1">
                  <c:v>0.66206896551724137</c:v>
                </c:pt>
                <c:pt idx="2">
                  <c:v>0.64736842105263159</c:v>
                </c:pt>
                <c:pt idx="3">
                  <c:v>0.64589665653495443</c:v>
                </c:pt>
                <c:pt idx="4">
                  <c:v>0.64749813293502612</c:v>
                </c:pt>
                <c:pt idx="5">
                  <c:v>0.63769555500372488</c:v>
                </c:pt>
                <c:pt idx="6">
                  <c:v>0.64739173228346458</c:v>
                </c:pt>
                <c:pt idx="7">
                  <c:v>0.63966942148760331</c:v>
                </c:pt>
                <c:pt idx="8">
                  <c:v>0.63787145818935731</c:v>
                </c:pt>
                <c:pt idx="9">
                  <c:v>0.62369647215442647</c:v>
                </c:pt>
                <c:pt idx="10">
                  <c:v>0.61282811176968666</c:v>
                </c:pt>
                <c:pt idx="11">
                  <c:v>0.62294741218041982</c:v>
                </c:pt>
                <c:pt idx="12">
                  <c:v>0.624872993294046</c:v>
                </c:pt>
                <c:pt idx="13">
                  <c:v>0.61176004751534352</c:v>
                </c:pt>
                <c:pt idx="14">
                  <c:v>0.59954363947518541</c:v>
                </c:pt>
                <c:pt idx="15">
                  <c:v>0.62441588785046731</c:v>
                </c:pt>
                <c:pt idx="16">
                  <c:v>0.59778801843317975</c:v>
                </c:pt>
                <c:pt idx="17">
                  <c:v>0.59882791688865211</c:v>
                </c:pt>
                <c:pt idx="18">
                  <c:v>0.5851648351648352</c:v>
                </c:pt>
                <c:pt idx="19">
                  <c:v>0.60461183704842425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3-C946-98A2-C7DE7724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10768"/>
        <c:axId val="1251912480"/>
      </c:lineChart>
      <c:catAx>
        <c:axId val="12519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12480"/>
        <c:crosses val="autoZero"/>
        <c:auto val="1"/>
        <c:lblAlgn val="ctr"/>
        <c:lblOffset val="100"/>
        <c:noMultiLvlLbl val="0"/>
      </c:catAx>
      <c:valAx>
        <c:axId val="1251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Pop!$D$109</c:f>
              <c:strCache>
                <c:ptCount val="1"/>
                <c:pt idx="0">
                  <c:v>Net Migration to England</c:v>
                </c:pt>
              </c:strCache>
            </c:strRef>
          </c:tx>
          <c:spPr>
            <a:ln w="28575" cap="rnd">
              <a:solidFill>
                <a:srgbClr val="EEA116"/>
              </a:solidFill>
              <a:round/>
            </a:ln>
            <a:effectLst/>
          </c:spPr>
          <c:marker>
            <c:symbol val="none"/>
          </c:marker>
          <c:cat>
            <c:numRef>
              <c:f>Pop!$C$110:$C$143</c:f>
              <c:numCache>
                <c:formatCode>General</c:formatCode>
                <c:ptCount val="3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</c:numCache>
            </c:numRef>
          </c:cat>
          <c:val>
            <c:numRef>
              <c:f>Pop!$D$110:$D$143</c:f>
              <c:numCache>
                <c:formatCode>_(* #,##0.00_);_(* \(#,##0.00\);_(* "-"??_);_(@_)</c:formatCode>
                <c:ptCount val="34"/>
                <c:pt idx="0">
                  <c:v>36673.880153972845</c:v>
                </c:pt>
                <c:pt idx="1">
                  <c:v>-10835.797827540397</c:v>
                </c:pt>
                <c:pt idx="2">
                  <c:v>-833.46126323121462</c:v>
                </c:pt>
                <c:pt idx="3">
                  <c:v>64180.484289370768</c:v>
                </c:pt>
                <c:pt idx="4">
                  <c:v>63371.971984392883</c:v>
                </c:pt>
                <c:pt idx="5">
                  <c:v>45879.446878159149</c:v>
                </c:pt>
                <c:pt idx="6">
                  <c:v>40057.317085718401</c:v>
                </c:pt>
                <c:pt idx="7">
                  <c:v>116885.77492223159</c:v>
                </c:pt>
                <c:pt idx="8">
                  <c:v>136192.28789933951</c:v>
                </c:pt>
                <c:pt idx="9">
                  <c:v>132100.12889289664</c:v>
                </c:pt>
                <c:pt idx="10">
                  <c:v>149738.57357941568</c:v>
                </c:pt>
                <c:pt idx="11">
                  <c:v>143935.63286544252</c:v>
                </c:pt>
                <c:pt idx="12">
                  <c:v>154874.7247919486</c:v>
                </c:pt>
                <c:pt idx="13">
                  <c:v>224388.04078037845</c:v>
                </c:pt>
                <c:pt idx="14">
                  <c:v>223656.08235272695</c:v>
                </c:pt>
                <c:pt idx="15">
                  <c:v>222035.54007999724</c:v>
                </c:pt>
                <c:pt idx="16">
                  <c:v>228754.83006110656</c:v>
                </c:pt>
                <c:pt idx="17">
                  <c:v>191929.98651004952</c:v>
                </c:pt>
                <c:pt idx="18">
                  <c:v>85931.385067578973</c:v>
                </c:pt>
                <c:pt idx="19">
                  <c:v>204666.54450720607</c:v>
                </c:pt>
                <c:pt idx="20">
                  <c:v>237486.1950127281</c:v>
                </c:pt>
                <c:pt idx="21">
                  <c:v>136053.88097465422</c:v>
                </c:pt>
                <c:pt idx="22">
                  <c:v>180741.43223981778</c:v>
                </c:pt>
                <c:pt idx="23">
                  <c:v>208665.09954425521</c:v>
                </c:pt>
                <c:pt idx="24">
                  <c:v>249252.55461443798</c:v>
                </c:pt>
                <c:pt idx="25">
                  <c:v>270515.98073988943</c:v>
                </c:pt>
                <c:pt idx="26">
                  <c:v>168630.80981111483</c:v>
                </c:pt>
                <c:pt idx="27">
                  <c:v>182227.97481931365</c:v>
                </c:pt>
                <c:pt idx="28">
                  <c:v>189035.1204474814</c:v>
                </c:pt>
                <c:pt idx="29">
                  <c:v>93673.987663329041</c:v>
                </c:pt>
                <c:pt idx="30">
                  <c:v>214454.97174677346</c:v>
                </c:pt>
                <c:pt idx="31">
                  <c:v>535618.7169762199</c:v>
                </c:pt>
                <c:pt idx="32">
                  <c:v>765652.36460158322</c:v>
                </c:pt>
                <c:pt idx="33">
                  <c:v>628233.97943022114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D-4795-B5C3-1519C01D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410911"/>
        <c:axId val="984413791"/>
      </c:lineChart>
      <c:catAx>
        <c:axId val="98441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984413791"/>
        <c:crosses val="autoZero"/>
        <c:auto val="1"/>
        <c:lblAlgn val="ctr"/>
        <c:lblOffset val="100"/>
        <c:noMultiLvlLbl val="0"/>
      </c:catAx>
      <c:valAx>
        <c:axId val="984413791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984410911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3D3D3D"/>
          </a:solidFill>
          <a:latin typeface="Poppins" panose="00000500000000000000" pitchFamily="2" charset="0"/>
          <a:cs typeface="Poppins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r>
              <a:rPr lang="en-GB"/>
              <a:t>Rent over time (England) in four immigration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D3D3D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Observed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Calcs!$D$16:$D$35</c:f>
              <c:numCache>
                <c:formatCode>0.00</c:formatCode>
                <c:ptCount val="20"/>
                <c:pt idx="0">
                  <c:v>1.1383759170250445</c:v>
                </c:pt>
                <c:pt idx="1">
                  <c:v>1.1221507890122735</c:v>
                </c:pt>
                <c:pt idx="2">
                  <c:v>1.0972346119536129</c:v>
                </c:pt>
                <c:pt idx="3">
                  <c:v>1.0947400958219566</c:v>
                </c:pt>
                <c:pt idx="4">
                  <c:v>1.0974544626017391</c:v>
                </c:pt>
                <c:pt idx="5">
                  <c:v>1.0808399237351269</c:v>
                </c:pt>
                <c:pt idx="6">
                  <c:v>1.0972741225143468</c:v>
                </c:pt>
                <c:pt idx="7">
                  <c:v>1.0841854601484802</c:v>
                </c:pt>
                <c:pt idx="8">
                  <c:v>1.0811380647277242</c:v>
                </c:pt>
                <c:pt idx="9">
                  <c:v>1.0571126646685196</c:v>
                </c:pt>
                <c:pt idx="10">
                  <c:v>1.0386917148638757</c:v>
                </c:pt>
                <c:pt idx="11">
                  <c:v>1.0558430714922371</c:v>
                </c:pt>
                <c:pt idx="12">
                  <c:v>1.0591067682949933</c:v>
                </c:pt>
                <c:pt idx="13">
                  <c:v>1.0368814364666838</c:v>
                </c:pt>
                <c:pt idx="14">
                  <c:v>1.0161756601274328</c:v>
                </c:pt>
                <c:pt idx="15">
                  <c:v>1.0583320133058767</c:v>
                </c:pt>
                <c:pt idx="16">
                  <c:v>1.0132000312426777</c:v>
                </c:pt>
                <c:pt idx="17">
                  <c:v>1.0149625709977155</c:v>
                </c:pt>
                <c:pt idx="18">
                  <c:v>0.99180480536412741</c:v>
                </c:pt>
                <c:pt idx="19">
                  <c:v>1.0247658255058039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D-B44A-8B7C-2CCE45C0C7E6}"/>
            </c:ext>
          </c:extLst>
        </c:ser>
        <c:ser>
          <c:idx val="0"/>
          <c:order val="1"/>
          <c:tx>
            <c:v>0NM since 2001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Calcs!$K$16:$K$35</c:f>
              <c:numCache>
                <c:formatCode>0.00</c:formatCode>
                <c:ptCount val="20"/>
                <c:pt idx="0">
                  <c:v>1.1182071635083342</c:v>
                </c:pt>
                <c:pt idx="1">
                  <c:v>1.0975208462302641</c:v>
                </c:pt>
                <c:pt idx="2">
                  <c:v>1.0684614691258791</c:v>
                </c:pt>
                <c:pt idx="3">
                  <c:v>1.0622182615764602</c:v>
                </c:pt>
                <c:pt idx="4">
                  <c:v>1.0632829075847698</c:v>
                </c:pt>
                <c:pt idx="5">
                  <c:v>1.0432687363140953</c:v>
                </c:pt>
                <c:pt idx="6">
                  <c:v>1.0545585996328311</c:v>
                </c:pt>
                <c:pt idx="7">
                  <c:v>1.0395378641793114</c:v>
                </c:pt>
                <c:pt idx="8">
                  <c:v>1.0333319855285925</c:v>
                </c:pt>
                <c:pt idx="9">
                  <c:v>1.006700160508978</c:v>
                </c:pt>
                <c:pt idx="10">
                  <c:v>0.98483025432613736</c:v>
                </c:pt>
                <c:pt idx="11">
                  <c:v>0.99640186063690006</c:v>
                </c:pt>
                <c:pt idx="12">
                  <c:v>0.99662505220445219</c:v>
                </c:pt>
                <c:pt idx="13">
                  <c:v>0.97266586761528462</c:v>
                </c:pt>
                <c:pt idx="14">
                  <c:v>0.95016826698359569</c:v>
                </c:pt>
                <c:pt idx="15">
                  <c:v>0.98794325080406387</c:v>
                </c:pt>
                <c:pt idx="16">
                  <c:v>0.94224366772073154</c:v>
                </c:pt>
                <c:pt idx="17">
                  <c:v>0.93505810533195111</c:v>
                </c:pt>
                <c:pt idx="18">
                  <c:v>0.90134249250205423</c:v>
                </c:pt>
                <c:pt idx="19">
                  <c:v>0.92145924516297384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D-B44A-8B7C-2CCE45C0C7E6}"/>
            </c:ext>
          </c:extLst>
        </c:ser>
        <c:ser>
          <c:idx val="1"/>
          <c:order val="2"/>
          <c:tx>
            <c:v>0NM since 2014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Calcs!$L$16:$L$35</c:f>
              <c:numCache>
                <c:formatCode>0.00</c:formatCode>
                <c:ptCount val="20"/>
                <c:pt idx="9">
                  <c:v>1.0530556239789786</c:v>
                </c:pt>
                <c:pt idx="10">
                  <c:v>1.030013616797975</c:v>
                </c:pt>
                <c:pt idx="11">
                  <c:v>1.0419323187846539</c:v>
                </c:pt>
                <c:pt idx="12">
                  <c:v>1.0420248631180531</c:v>
                </c:pt>
                <c:pt idx="13">
                  <c:v>1.0168705597609675</c:v>
                </c:pt>
                <c:pt idx="14">
                  <c:v>0.99325477655807393</c:v>
                </c:pt>
                <c:pt idx="15">
                  <c:v>1.0327408153001114</c:v>
                </c:pt>
                <c:pt idx="16">
                  <c:v>0.98495728349789846</c:v>
                </c:pt>
                <c:pt idx="17">
                  <c:v>0.97742827829926682</c:v>
                </c:pt>
                <c:pt idx="18">
                  <c:v>0.94233125360015024</c:v>
                </c:pt>
                <c:pt idx="19">
                  <c:v>0.96327526440082134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D-B44A-8B7C-2CCE45C0C7E6}"/>
            </c:ext>
          </c:extLst>
        </c:ser>
        <c:ser>
          <c:idx val="3"/>
          <c:order val="3"/>
          <c:tx>
            <c:v>No Boriswave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Calcs!$M$16:$M$35</c:f>
              <c:numCache>
                <c:formatCode>General</c:formatCode>
                <c:ptCount val="20"/>
                <c:pt idx="16" formatCode="0.00">
                  <c:v>1.0093579983848002</c:v>
                </c:pt>
                <c:pt idx="17" formatCode="0.00">
                  <c:v>1.0016327969632393</c:v>
                </c:pt>
                <c:pt idx="18" formatCode="0.00">
                  <c:v>0.9657466225621153</c:v>
                </c:pt>
                <c:pt idx="19" formatCode="0.00">
                  <c:v>0.98716321545724695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D-B44A-8B7C-2CCE45C0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10768"/>
        <c:axId val="1251912480"/>
      </c:lineChart>
      <c:catAx>
        <c:axId val="12519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251912480"/>
        <c:crosses val="autoZero"/>
        <c:auto val="1"/>
        <c:lblAlgn val="ctr"/>
        <c:lblOffset val="100"/>
        <c:noMultiLvlLbl val="0"/>
      </c:catAx>
      <c:valAx>
        <c:axId val="1251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2519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D3D3D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D3D3D"/>
          </a:solidFill>
          <a:latin typeface="Poppins" panose="00000500000000000000" pitchFamily="2" charset="0"/>
          <a:cs typeface="Poppins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r>
              <a:rPr lang="en-GB"/>
              <a:t>Absolute rent over time (England) in four immigration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D3D3D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8.6282686886361426E-2"/>
          <c:y val="9.9345627602617489E-2"/>
          <c:w val="0.89999989198881003"/>
          <c:h val="0.77628801753736765"/>
        </c:manualLayout>
      </c:layout>
      <c:lineChart>
        <c:grouping val="standard"/>
        <c:varyColors val="0"/>
        <c:ser>
          <c:idx val="2"/>
          <c:order val="0"/>
          <c:tx>
            <c:v>Observed</c:v>
          </c:tx>
          <c:spPr>
            <a:ln w="28575" cap="rnd">
              <a:solidFill>
                <a:srgbClr val="EEA116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Rents!$D$2:$D$21</c:f>
              <c:numCache>
                <c:formatCode>_-[$£-809]* #,##0.00_-;\-[$£-809]* #,##0.00_-;_-[$£-809]* "-"??_-;_-@_-</c:formatCode>
                <c:ptCount val="20"/>
                <c:pt idx="0">
                  <c:v>780</c:v>
                </c:pt>
                <c:pt idx="1">
                  <c:v>800</c:v>
                </c:pt>
                <c:pt idx="2">
                  <c:v>820</c:v>
                </c:pt>
                <c:pt idx="3">
                  <c:v>850</c:v>
                </c:pt>
                <c:pt idx="4">
                  <c:v>867</c:v>
                </c:pt>
                <c:pt idx="5">
                  <c:v>856</c:v>
                </c:pt>
                <c:pt idx="6">
                  <c:v>877</c:v>
                </c:pt>
                <c:pt idx="7">
                  <c:v>903</c:v>
                </c:pt>
                <c:pt idx="8">
                  <c:v>923</c:v>
                </c:pt>
                <c:pt idx="9">
                  <c:v>937</c:v>
                </c:pt>
                <c:pt idx="10">
                  <c:v>965</c:v>
                </c:pt>
                <c:pt idx="11">
                  <c:v>999</c:v>
                </c:pt>
                <c:pt idx="12">
                  <c:v>1025</c:v>
                </c:pt>
                <c:pt idx="13">
                  <c:v>1030</c:v>
                </c:pt>
                <c:pt idx="14">
                  <c:v>1051</c:v>
                </c:pt>
                <c:pt idx="15">
                  <c:v>1069</c:v>
                </c:pt>
                <c:pt idx="16">
                  <c:v>1081</c:v>
                </c:pt>
                <c:pt idx="17">
                  <c:v>1124</c:v>
                </c:pt>
                <c:pt idx="18">
                  <c:v>1207</c:v>
                </c:pt>
                <c:pt idx="19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6-1B4D-A9C4-8B8EBFA0BA09}"/>
            </c:ext>
          </c:extLst>
        </c:ser>
        <c:ser>
          <c:idx val="0"/>
          <c:order val="1"/>
          <c:tx>
            <c:v>0NM since 2001</c:v>
          </c:tx>
          <c:spPr>
            <a:ln w="28575" cap="rnd">
              <a:solidFill>
                <a:srgbClr val="1860B0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Calcs!$Q$16:$Q$35</c:f>
              <c:numCache>
                <c:formatCode>"£"#,##0.00</c:formatCode>
                <c:ptCount val="20"/>
                <c:pt idx="0">
                  <c:v>766.18063900706363</c:v>
                </c:pt>
                <c:pt idx="1">
                  <c:v>782.4409032916592</c:v>
                </c:pt>
                <c:pt idx="2">
                  <c:v>798.49687126007359</c:v>
                </c:pt>
                <c:pt idx="3">
                  <c:v>824.74874701842668</c:v>
                </c:pt>
                <c:pt idx="4">
                  <c:v>840.0041298210441</c:v>
                </c:pt>
                <c:pt idx="5">
                  <c:v>826.24449622358281</c:v>
                </c:pt>
                <c:pt idx="6">
                  <c:v>842.85947595187235</c:v>
                </c:pt>
                <c:pt idx="7">
                  <c:v>865.81376144387878</c:v>
                </c:pt>
                <c:pt idx="8">
                  <c:v>882.18651600532519</c:v>
                </c:pt>
                <c:pt idx="9">
                  <c:v>892.31553260474607</c:v>
                </c:pt>
                <c:pt idx="10">
                  <c:v>914.95983054921237</c:v>
                </c:pt>
                <c:pt idx="11">
                  <c:v>942.75890579974475</c:v>
                </c:pt>
                <c:pt idx="12">
                  <c:v>964.53040343996122</c:v>
                </c:pt>
                <c:pt idx="13">
                  <c:v>966.21060847387787</c:v>
                </c:pt>
                <c:pt idx="14">
                  <c:v>982.73053349312363</c:v>
                </c:pt>
                <c:pt idx="15">
                  <c:v>997.90171877216892</c:v>
                </c:pt>
                <c:pt idx="16">
                  <c:v>1005.295473152377</c:v>
                </c:pt>
                <c:pt idx="17">
                  <c:v>1035.5113975877625</c:v>
                </c:pt>
                <c:pt idx="18">
                  <c:v>1096.9097775752</c:v>
                </c:pt>
                <c:pt idx="19">
                  <c:v>1178.8381699910785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6-1B4D-A9C4-8B8EBFA0BA09}"/>
            </c:ext>
          </c:extLst>
        </c:ser>
        <c:ser>
          <c:idx val="1"/>
          <c:order val="2"/>
          <c:tx>
            <c:v>0NM since 2014</c:v>
          </c:tx>
          <c:spPr>
            <a:ln w="28575" cap="rnd">
              <a:solidFill>
                <a:srgbClr val="43B390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Calcs!$R$16:$R$35</c:f>
              <c:numCache>
                <c:formatCode>General</c:formatCode>
                <c:ptCount val="20"/>
                <c:pt idx="9" formatCode="&quot;£&quot;#,##0.00">
                  <c:v>933.40393379707359</c:v>
                </c:pt>
                <c:pt idx="10" formatCode="&quot;£&quot;#,##0.00">
                  <c:v>956.93758406488143</c:v>
                </c:pt>
                <c:pt idx="11" formatCode="&quot;£&quot;#,##0.00">
                  <c:v>985.83815584901731</c:v>
                </c:pt>
                <c:pt idx="12" formatCode="&quot;£&quot;#,##0.00">
                  <c:v>1008.4681891094413</c:v>
                </c:pt>
                <c:pt idx="13" formatCode="&quot;£&quot;#,##0.00">
                  <c:v>1010.1219288126873</c:v>
                </c:pt>
                <c:pt idx="14" formatCode="&quot;£&quot;#,##0.00">
                  <c:v>1027.2936177507192</c:v>
                </c:pt>
                <c:pt idx="15" formatCode="&quot;£&quot;#,##0.00">
                  <c:v>1043.1508427183367</c:v>
                </c:pt>
                <c:pt idx="16" formatCode="&quot;£&quot;#,##0.00">
                  <c:v>1050.8673417186326</c:v>
                </c:pt>
                <c:pt idx="17" formatCode="&quot;£&quot;#,##0.00">
                  <c:v>1082.4333982369569</c:v>
                </c:pt>
                <c:pt idx="18" formatCode="&quot;£&quot;#,##0.00">
                  <c:v>1146.7920067979535</c:v>
                </c:pt>
                <c:pt idx="19" formatCode="&quot;£&quot;#,##0.00">
                  <c:v>1232.3341003357107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6-1B4D-A9C4-8B8EBFA0BA09}"/>
            </c:ext>
          </c:extLst>
        </c:ser>
        <c:ser>
          <c:idx val="3"/>
          <c:order val="3"/>
          <c:tx>
            <c:v>No Boriswave</c:v>
          </c:tx>
          <c:spPr>
            <a:ln w="28575" cap="rnd">
              <a:solidFill>
                <a:srgbClr val="C2203F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Calcs!$S$16:$S$35</c:f>
              <c:numCache>
                <c:formatCode>General</c:formatCode>
                <c:ptCount val="20"/>
                <c:pt idx="16" formatCode="&quot;£&quot;#,##0.00">
                  <c:v>1076.9008711100496</c:v>
                </c:pt>
                <c:pt idx="17" formatCode="&quot;£&quot;#,##0.00">
                  <c:v>1109.238208341</c:v>
                </c:pt>
                <c:pt idx="18" formatCode="&quot;£&quot;#,##0.00">
                  <c:v>1175.2878864148261</c:v>
                </c:pt>
                <c:pt idx="19" formatCode="&quot;£&quot;#,##0.00">
                  <c:v>1262.8943542547136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6-1B4D-A9C4-8B8EBFA0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10768"/>
        <c:axId val="1251912480"/>
      </c:lineChart>
      <c:catAx>
        <c:axId val="12519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251912480"/>
        <c:crosses val="autoZero"/>
        <c:auto val="1"/>
        <c:lblAlgn val="ctr"/>
        <c:lblOffset val="100"/>
        <c:noMultiLvlLbl val="0"/>
      </c:catAx>
      <c:valAx>
        <c:axId val="1251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2519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D3D3D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3D3D3D"/>
          </a:solidFill>
          <a:latin typeface="Poppins" panose="00000500000000000000" pitchFamily="2" charset="0"/>
          <a:cs typeface="Poppins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</a:t>
            </a:r>
            <a:r>
              <a:rPr lang="en-US" baseline="0"/>
              <a:t> index over persons pdw - 'Pain Threshold Index'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Calcs!$I$1</c:f>
              <c:strCache>
                <c:ptCount val="1"/>
                <c:pt idx="0">
                  <c:v>RI / pc stock - pain 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Calcs!$I$16:$I$35</c:f>
              <c:numCache>
                <c:formatCode>_(* #,##0.00_);_(* \(#,##0.00\);_(* "-"??_);_(@_)</c:formatCode>
                <c:ptCount val="20"/>
                <c:pt idx="0">
                  <c:v>0.50113917202459146</c:v>
                </c:pt>
                <c:pt idx="1">
                  <c:v>0.49585751438384462</c:v>
                </c:pt>
                <c:pt idx="2">
                  <c:v>0.48613842609179453</c:v>
                </c:pt>
                <c:pt idx="3">
                  <c:v>0.48651453282017676</c:v>
                </c:pt>
                <c:pt idx="4">
                  <c:v>0.48883219023921914</c:v>
                </c:pt>
                <c:pt idx="5">
                  <c:v>0.48096350165685126</c:v>
                </c:pt>
                <c:pt idx="6">
                  <c:v>0.48744253856636072</c:v>
                </c:pt>
                <c:pt idx="7">
                  <c:v>0.48143266665786577</c:v>
                </c:pt>
                <c:pt idx="8">
                  <c:v>0.47956983542295795</c:v>
                </c:pt>
                <c:pt idx="9">
                  <c:v>0.46824874568024633</c:v>
                </c:pt>
                <c:pt idx="10">
                  <c:v>0.46018371825451354</c:v>
                </c:pt>
                <c:pt idx="11">
                  <c:v>0.46762117276415927</c:v>
                </c:pt>
                <c:pt idx="12">
                  <c:v>0.47043276289437141</c:v>
                </c:pt>
                <c:pt idx="13">
                  <c:v>0.46221037371767765</c:v>
                </c:pt>
                <c:pt idx="14">
                  <c:v>0.45496654669510894</c:v>
                </c:pt>
                <c:pt idx="15">
                  <c:v>0.47784728984920161</c:v>
                </c:pt>
                <c:pt idx="16">
                  <c:v>0.45968610283038452</c:v>
                </c:pt>
                <c:pt idx="17">
                  <c:v>0.46023420058644532</c:v>
                </c:pt>
                <c:pt idx="18">
                  <c:v>0.44934934765716844</c:v>
                </c:pt>
                <c:pt idx="19">
                  <c:v>0.46228559516196366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6-4590-BDFE-0DA3F308E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84400"/>
        <c:axId val="746485120"/>
      </c:lineChart>
      <c:catAx>
        <c:axId val="7464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85120"/>
        <c:crosses val="autoZero"/>
        <c:auto val="1"/>
        <c:lblAlgn val="ctr"/>
        <c:lblOffset val="100"/>
        <c:noMultiLvlLbl val="0"/>
      </c:catAx>
      <c:valAx>
        <c:axId val="746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Calcs!$D$16:$D$35</c:f>
              <c:numCache>
                <c:formatCode>0.00</c:formatCode>
                <c:ptCount val="20"/>
                <c:pt idx="0">
                  <c:v>1.1383759170250445</c:v>
                </c:pt>
                <c:pt idx="1">
                  <c:v>1.1221507890122735</c:v>
                </c:pt>
                <c:pt idx="2">
                  <c:v>1.0972346119536129</c:v>
                </c:pt>
                <c:pt idx="3">
                  <c:v>1.0947400958219566</c:v>
                </c:pt>
                <c:pt idx="4">
                  <c:v>1.0974544626017391</c:v>
                </c:pt>
                <c:pt idx="5">
                  <c:v>1.0808399237351269</c:v>
                </c:pt>
                <c:pt idx="6">
                  <c:v>1.0972741225143468</c:v>
                </c:pt>
                <c:pt idx="7">
                  <c:v>1.0841854601484802</c:v>
                </c:pt>
                <c:pt idx="8">
                  <c:v>1.0811380647277242</c:v>
                </c:pt>
                <c:pt idx="9">
                  <c:v>1.0571126646685196</c:v>
                </c:pt>
                <c:pt idx="10">
                  <c:v>1.0386917148638757</c:v>
                </c:pt>
                <c:pt idx="11">
                  <c:v>1.0558430714922371</c:v>
                </c:pt>
                <c:pt idx="12">
                  <c:v>1.0591067682949933</c:v>
                </c:pt>
                <c:pt idx="13">
                  <c:v>1.0368814364666838</c:v>
                </c:pt>
                <c:pt idx="14">
                  <c:v>1.0161756601274328</c:v>
                </c:pt>
                <c:pt idx="15">
                  <c:v>1.0583320133058767</c:v>
                </c:pt>
                <c:pt idx="16">
                  <c:v>1.0132000312426777</c:v>
                </c:pt>
                <c:pt idx="17">
                  <c:v>1.0149625709977155</c:v>
                </c:pt>
                <c:pt idx="18">
                  <c:v>0.99180480536412741</c:v>
                </c:pt>
                <c:pt idx="19">
                  <c:v>1.0247658255058039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E-41AD-963F-F1CA9093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514328"/>
        <c:axId val="745511088"/>
      </c:lineChart>
      <c:catAx>
        <c:axId val="74551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11088"/>
        <c:crosses val="autoZero"/>
        <c:auto val="1"/>
        <c:lblAlgn val="ctr"/>
        <c:lblOffset val="100"/>
        <c:noMultiLvlLbl val="0"/>
      </c:catAx>
      <c:valAx>
        <c:axId val="7455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1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rents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Real rents over time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Calcs!$C$16:$C$35</c:f>
              <c:numCache>
                <c:formatCode>0.00%</c:formatCode>
                <c:ptCount val="20"/>
                <c:pt idx="0">
                  <c:v>0.67164179104477617</c:v>
                </c:pt>
                <c:pt idx="1">
                  <c:v>0.66206896551724137</c:v>
                </c:pt>
                <c:pt idx="2">
                  <c:v>0.64736842105263159</c:v>
                </c:pt>
                <c:pt idx="3">
                  <c:v>0.64589665653495443</c:v>
                </c:pt>
                <c:pt idx="4">
                  <c:v>0.64749813293502612</c:v>
                </c:pt>
                <c:pt idx="5">
                  <c:v>0.63769555500372488</c:v>
                </c:pt>
                <c:pt idx="6">
                  <c:v>0.64739173228346458</c:v>
                </c:pt>
                <c:pt idx="7">
                  <c:v>0.63966942148760331</c:v>
                </c:pt>
                <c:pt idx="8">
                  <c:v>0.63787145818935731</c:v>
                </c:pt>
                <c:pt idx="9">
                  <c:v>0.62369647215442647</c:v>
                </c:pt>
                <c:pt idx="10">
                  <c:v>0.61282811176968666</c:v>
                </c:pt>
                <c:pt idx="11">
                  <c:v>0.62294741218041982</c:v>
                </c:pt>
                <c:pt idx="12">
                  <c:v>0.624872993294046</c:v>
                </c:pt>
                <c:pt idx="13">
                  <c:v>0.61176004751534352</c:v>
                </c:pt>
                <c:pt idx="14">
                  <c:v>0.59954363947518541</c:v>
                </c:pt>
                <c:pt idx="15">
                  <c:v>0.62441588785046731</c:v>
                </c:pt>
                <c:pt idx="16">
                  <c:v>0.59778801843317975</c:v>
                </c:pt>
                <c:pt idx="17">
                  <c:v>0.59882791688865211</c:v>
                </c:pt>
                <c:pt idx="18">
                  <c:v>0.5851648351648352</c:v>
                </c:pt>
                <c:pt idx="19">
                  <c:v>0.60461183704842425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B-804D-8C0A-40824287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10768"/>
        <c:axId val="1251912480"/>
      </c:lineChart>
      <c:catAx>
        <c:axId val="12519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12480"/>
        <c:crosses val="autoZero"/>
        <c:auto val="1"/>
        <c:lblAlgn val="ctr"/>
        <c:lblOffset val="100"/>
        <c:noMultiLvlLbl val="0"/>
      </c:catAx>
      <c:valAx>
        <c:axId val="1251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Persons / dwelling over time</c:v>
          </c:tx>
          <c:spPr>
            <a:ln w="28575" cap="rnd">
              <a:solidFill>
                <a:srgbClr val="EEA116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Calcs!$E$16:$E$35</c:f>
              <c:numCache>
                <c:formatCode>_(* #,##0.00_);_(* \(#,##0.00\);_(* "-"??_);_(@_)</c:formatCode>
                <c:ptCount val="20"/>
                <c:pt idx="0">
                  <c:v>2.2715764014735274</c:v>
                </c:pt>
                <c:pt idx="1">
                  <c:v>2.2630508895416548</c:v>
                </c:pt>
                <c:pt idx="2">
                  <c:v>2.2570415195823852</c:v>
                </c:pt>
                <c:pt idx="3">
                  <c:v>2.2501693617990841</c:v>
                </c:pt>
                <c:pt idx="4">
                  <c:v>2.2450535879494335</c:v>
                </c:pt>
                <c:pt idx="5">
                  <c:v>2.2472389693018</c:v>
                </c:pt>
                <c:pt idx="6">
                  <c:v>2.2510840472429616</c:v>
                </c:pt>
                <c:pt idx="7">
                  <c:v>2.2519981198512351</c:v>
                </c:pt>
                <c:pt idx="8">
                  <c:v>2.2543913000162146</c:v>
                </c:pt>
                <c:pt idx="9">
                  <c:v>2.2575878193390646</c:v>
                </c:pt>
                <c:pt idx="10">
                  <c:v>2.2571239999617001</c:v>
                </c:pt>
                <c:pt idx="11">
                  <c:v>2.2579026207283017</c:v>
                </c:pt>
                <c:pt idx="12">
                  <c:v>2.2513456796222329</c:v>
                </c:pt>
                <c:pt idx="13">
                  <c:v>2.2433106122798114</c:v>
                </c:pt>
                <c:pt idx="14">
                  <c:v>2.2335173157432435</c:v>
                </c:pt>
                <c:pt idx="15">
                  <c:v>2.2147912853913301</c:v>
                </c:pt>
                <c:pt idx="16">
                  <c:v>2.2041128174295261</c:v>
                </c:pt>
                <c:pt idx="17">
                  <c:v>2.2053175746270428</c:v>
                </c:pt>
                <c:pt idx="18">
                  <c:v>2.2072020590109456</c:v>
                </c:pt>
                <c:pt idx="19">
                  <c:v>2.2167375237958105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9-AB4E-8FD7-253645AE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10768"/>
        <c:axId val="1251912480"/>
      </c:lineChart>
      <c:catAx>
        <c:axId val="12519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251912480"/>
        <c:crosses val="autoZero"/>
        <c:auto val="1"/>
        <c:lblAlgn val="ctr"/>
        <c:lblOffset val="100"/>
        <c:noMultiLvlLbl val="0"/>
      </c:catAx>
      <c:valAx>
        <c:axId val="1251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2519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D3D3D"/>
              </a:solidFill>
              <a:latin typeface="Poppins" panose="00000500000000000000" pitchFamily="2" charset="0"/>
              <a:ea typeface="+mn-ea"/>
              <a:cs typeface="Poppins" panose="000005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3D3D3D"/>
          </a:solidFill>
          <a:latin typeface="Poppins" panose="00000500000000000000" pitchFamily="2" charset="0"/>
          <a:cs typeface="Poppins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Pain</a:t>
            </a:r>
            <a:r>
              <a:rPr lang="en-GB" baseline="0"/>
              <a:t> threshold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Calcs!$I$16:$I$35</c:f>
              <c:numCache>
                <c:formatCode>_(* #,##0.00_);_(* \(#,##0.00\);_(* "-"??_);_(@_)</c:formatCode>
                <c:ptCount val="20"/>
                <c:pt idx="0">
                  <c:v>0.50113917202459146</c:v>
                </c:pt>
                <c:pt idx="1">
                  <c:v>0.49585751438384462</c:v>
                </c:pt>
                <c:pt idx="2">
                  <c:v>0.48613842609179453</c:v>
                </c:pt>
                <c:pt idx="3">
                  <c:v>0.48651453282017676</c:v>
                </c:pt>
                <c:pt idx="4">
                  <c:v>0.48883219023921914</c:v>
                </c:pt>
                <c:pt idx="5">
                  <c:v>0.48096350165685126</c:v>
                </c:pt>
                <c:pt idx="6">
                  <c:v>0.48744253856636072</c:v>
                </c:pt>
                <c:pt idx="7">
                  <c:v>0.48143266665786577</c:v>
                </c:pt>
                <c:pt idx="8">
                  <c:v>0.47956983542295795</c:v>
                </c:pt>
                <c:pt idx="9">
                  <c:v>0.46824874568024633</c:v>
                </c:pt>
                <c:pt idx="10">
                  <c:v>0.46018371825451354</c:v>
                </c:pt>
                <c:pt idx="11">
                  <c:v>0.46762117276415927</c:v>
                </c:pt>
                <c:pt idx="12">
                  <c:v>0.47043276289437141</c:v>
                </c:pt>
                <c:pt idx="13">
                  <c:v>0.46221037371767765</c:v>
                </c:pt>
                <c:pt idx="14">
                  <c:v>0.45496654669510894</c:v>
                </c:pt>
                <c:pt idx="15">
                  <c:v>0.47784728984920161</c:v>
                </c:pt>
                <c:pt idx="16">
                  <c:v>0.45968610283038452</c:v>
                </c:pt>
                <c:pt idx="17">
                  <c:v>0.46023420058644532</c:v>
                </c:pt>
                <c:pt idx="18">
                  <c:v>0.44934934765716844</c:v>
                </c:pt>
                <c:pt idx="19">
                  <c:v>0.46228559516196366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6-5745-8E38-A0FB6F54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316368"/>
        <c:axId val="589661327"/>
      </c:lineChart>
      <c:catAx>
        <c:axId val="18053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61327"/>
        <c:crosses val="autoZero"/>
        <c:auto val="1"/>
        <c:lblAlgn val="ctr"/>
        <c:lblOffset val="100"/>
        <c:noMultiLvlLbl val="0"/>
      </c:catAx>
      <c:valAx>
        <c:axId val="5896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1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EEA116"/>
              </a:solidFill>
              <a:round/>
            </a:ln>
            <a:effectLst/>
          </c:spPr>
          <c:marker>
            <c:symbol val="none"/>
          </c:marker>
          <c:cat>
            <c:numRef>
              <c:f>Calcs!$A$16:$A$35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Calcs!$Z$16:$Z$35</c:f>
              <c:numCache>
                <c:formatCode>_-[$£-809]* #,##0.00_-;\-[$£-809]* #,##0.00_-;_-[$£-809]* "-"??_-;_-@_-</c:formatCode>
                <c:ptCount val="20"/>
                <c:pt idx="0">
                  <c:v>271.38436513724889</c:v>
                </c:pt>
                <c:pt idx="1">
                  <c:v>616.20959367077842</c:v>
                </c:pt>
                <c:pt idx="2">
                  <c:v>1038.4876530204313</c:v>
                </c:pt>
                <c:pt idx="3">
                  <c:v>1534.3713094953637</c:v>
                </c:pt>
                <c:pt idx="4">
                  <c:v>2064.5157274310614</c:v>
                </c:pt>
                <c:pt idx="5">
                  <c:v>2648.8537808207616</c:v>
                </c:pt>
                <c:pt idx="6">
                  <c:v>3319.3047842347341</c:v>
                </c:pt>
                <c:pt idx="7">
                  <c:v>4049.5674749303134</c:v>
                </c:pt>
                <c:pt idx="8">
                  <c:v>4851.0619469681706</c:v>
                </c:pt>
                <c:pt idx="9">
                  <c:v>5728.5747221070151</c:v>
                </c:pt>
                <c:pt idx="10">
                  <c:v>6711.262678858684</c:v>
                </c:pt>
                <c:pt idx="11">
                  <c:v>7815.7242854381775</c:v>
                </c:pt>
                <c:pt idx="12">
                  <c:v>9003.2251460741918</c:v>
                </c:pt>
                <c:pt idx="13">
                  <c:v>10255.920081148008</c:v>
                </c:pt>
                <c:pt idx="14">
                  <c:v>11596.594648929929</c:v>
                </c:pt>
                <c:pt idx="15">
                  <c:v>12992.821429837306</c:v>
                </c:pt>
                <c:pt idx="16">
                  <c:v>14479.505580215849</c:v>
                </c:pt>
                <c:pt idx="17">
                  <c:v>16217.243178922638</c:v>
                </c:pt>
                <c:pt idx="18">
                  <c:v>18379.193006837551</c:v>
                </c:pt>
                <c:pt idx="19">
                  <c:v>20974.584671523138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5-C540-AD71-DB08CE87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311952"/>
        <c:axId val="1657313664"/>
      </c:lineChart>
      <c:catAx>
        <c:axId val="16573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657313664"/>
        <c:crosses val="autoZero"/>
        <c:auto val="1"/>
        <c:lblAlgn val="ctr"/>
        <c:lblOffset val="100"/>
        <c:noMultiLvlLbl val="0"/>
      </c:catAx>
      <c:valAx>
        <c:axId val="16573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3D3D"/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6573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3D3D3D"/>
          </a:solidFill>
          <a:latin typeface="Poppins" panose="00000500000000000000" pitchFamily="2" charset="0"/>
          <a:cs typeface="Poppins" panose="000005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12700</xdr:rowOff>
    </xdr:from>
    <xdr:to>
      <xdr:col>7</xdr:col>
      <xdr:colOff>508000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156CA-67C2-9D49-8EF4-0BE72EA26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25400</xdr:rowOff>
    </xdr:from>
    <xdr:to>
      <xdr:col>20</xdr:col>
      <xdr:colOff>114300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69BCD-73BF-904C-B6DF-FC723B561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20</xdr:col>
      <xdr:colOff>114300</xdr:colOff>
      <xdr:row>63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7C035-5186-0D4D-9003-04085B89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8101</xdr:colOff>
      <xdr:row>35</xdr:row>
      <xdr:rowOff>191688</xdr:rowOff>
    </xdr:from>
    <xdr:to>
      <xdr:col>8</xdr:col>
      <xdr:colOff>1724797</xdr:colOff>
      <xdr:row>50</xdr:row>
      <xdr:rowOff>77388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8ADD7-BCB4-7E2C-3FD9-77D7578E4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37170</xdr:colOff>
      <xdr:row>37</xdr:row>
      <xdr:rowOff>16494</xdr:rowOff>
    </xdr:from>
    <xdr:to>
      <xdr:col>3</xdr:col>
      <xdr:colOff>1902676</xdr:colOff>
      <xdr:row>51</xdr:row>
      <xdr:rowOff>157743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082232-5D48-C7D8-4EE4-603E8DF3C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70023</xdr:rowOff>
    </xdr:from>
    <xdr:to>
      <xdr:col>14</xdr:col>
      <xdr:colOff>446216</xdr:colOff>
      <xdr:row>57</xdr:row>
      <xdr:rowOff>120135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76461-21A8-2BA4-3B1E-7C93F0918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600677</xdr:colOff>
      <xdr:row>42</xdr:row>
      <xdr:rowOff>102974</xdr:rowOff>
    </xdr:from>
    <xdr:to>
      <xdr:col>23</xdr:col>
      <xdr:colOff>350110</xdr:colOff>
      <xdr:row>56</xdr:row>
      <xdr:rowOff>134552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EBEFE-126A-1443-9DB8-72BF91226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17162</xdr:colOff>
      <xdr:row>59</xdr:row>
      <xdr:rowOff>172995</xdr:rowOff>
    </xdr:from>
    <xdr:to>
      <xdr:col>14</xdr:col>
      <xdr:colOff>429054</xdr:colOff>
      <xdr:row>78</xdr:row>
      <xdr:rowOff>137297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DF64FD-8510-A971-5D94-75EAB6CB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580081</xdr:colOff>
      <xdr:row>64</xdr:row>
      <xdr:rowOff>44279</xdr:rowOff>
    </xdr:from>
    <xdr:to>
      <xdr:col>20</xdr:col>
      <xdr:colOff>483972</xdr:colOff>
      <xdr:row>78</xdr:row>
      <xdr:rowOff>144506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E9759-A812-92D3-6414-B9031A7A7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526255</xdr:colOff>
      <xdr:row>106</xdr:row>
      <xdr:rowOff>38100</xdr:rowOff>
    </xdr:from>
    <xdr:to>
      <xdr:col>9</xdr:col>
      <xdr:colOff>919162</xdr:colOff>
      <xdr:row>133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F6C22-96F1-CFC4-48BA-54C2405F6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eiffarth/Downloads/migration/pipr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3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DEB42-21FF-4DD8-B0C3-ECC538919140}" name="Table104" displayName="Table104" ref="A1:N57" totalsRowShown="0">
  <autoFilter ref="A1:N57" xr:uid="{5D3DEB42-21FF-4DD8-B0C3-ECC538919140}"/>
  <tableColumns count="14">
    <tableColumn id="1" xr3:uid="{AD34D96B-FF8C-4F57-8305-41305FDC0920}" name="Date"/>
    <tableColumn id="2" xr3:uid="{197D315D-C7F8-415B-A7BF-0E2EDEF3AAA2}" name="Year"/>
    <tableColumn id="3" xr3:uid="{DAE0F57A-5842-4006-B99D-0F1DE8439939}" name="Owner Occupied"/>
    <tableColumn id="4" xr3:uid="{3ED76100-2C42-4560-A539-275478AFF70D}" name="Rented Privately or with a job or business"/>
    <tableColumn id="5" xr3:uid="{7C51A3DB-5B59-4B1D-88AD-FBA8543BFEE3}" name="Rented from Private Registered Providers"/>
    <tableColumn id="6" xr3:uid="{20F13E56-8A10-41B0-A04D-FEA67F157B2C}" name="Rented from Local Authorities"/>
    <tableColumn id="7" xr3:uid="{2E3F7050-153C-42CB-B878-02F745594EA8}" name="Other public sector dwellings"/>
    <tableColumn id="8" xr3:uid="{492125CF-C281-490A-A6DD-BA779FF0FB7C}" name="All Dwellings"/>
    <tableColumn id="9" xr3:uid="{8CCDB36A-0569-40ED-9C43-9712D1C871C1}" name="OO" dataDxfId="5">
      <calculatedColumnFormula>Table104[[#This Row],[Owner Occupied]]*1000</calculatedColumnFormula>
    </tableColumn>
    <tableColumn id="10" xr3:uid="{CBCC5801-D5E4-4FED-B8F0-A4DAE93CCC31}" name="PRS" dataDxfId="4">
      <calculatedColumnFormula>Table104[[#This Row],[Rented Privately or with a job or business]]*1000</calculatedColumnFormula>
    </tableColumn>
    <tableColumn id="11" xr3:uid="{49AE0FF0-B76D-4BC8-A164-44DBACC9E9A8}" name="Social" dataDxfId="3">
      <calculatedColumnFormula>(Table104[[#This Row],[Rented from Private Registered Providers]]+Table104[[#This Row],[Rented from Local Authorities]]+Table104[[#This Row],[Other public sector dwellings]])*1000</calculatedColumnFormula>
    </tableColumn>
    <tableColumn id="12" xr3:uid="{06DF8C0F-F9BE-4531-BF00-8F8E5B8D78AF}" name="Tot ex social" dataDxfId="2">
      <calculatedColumnFormula>Table104[[#This Row],[OO]]+Table104[[#This Row],[PRS]]</calculatedColumnFormula>
    </tableColumn>
    <tableColumn id="13" xr3:uid="{7D3BDFB4-31D5-4C00-8204-32A3DDC0FAB1}" name="PRS +15" dataDxfId="1">
      <calculatedColumnFormula>Table104[[#This Row],[PRS]]*1.15</calculatedColumnFormula>
    </tableColumn>
    <tableColumn id="14" xr3:uid="{DAFC20F2-E308-4F63-96BF-5C71A6775B16}" name="Tot inc soc adj" dataDxfId="0">
      <calculatedColumnFormula>Table104[[#This Row],[OO]]+Table104[[#This Row],[PRS +15]]+Table104[[#This Row],[Social]]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0A5D-BF96-A64E-B942-44AC0DCC5901}">
  <dimension ref="A1"/>
  <sheetViews>
    <sheetView topLeftCell="G1" workbookViewId="0">
      <selection activeCell="U54" sqref="U54"/>
    </sheetView>
  </sheetViews>
  <sheetFormatPr defaultColWidth="10.6640625"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EEE0-882C-46F8-B7E7-D728355A2118}">
  <dimension ref="A1:AA64"/>
  <sheetViews>
    <sheetView tabSelected="1" zoomScale="74" workbookViewId="0">
      <selection activeCell="A32" sqref="A32"/>
    </sheetView>
  </sheetViews>
  <sheetFormatPr defaultColWidth="8.796875" defaultRowHeight="14.25" x14ac:dyDescent="0.45"/>
  <cols>
    <col min="2" max="2" width="20.46484375" customWidth="1"/>
    <col min="3" max="3" width="20.1328125" customWidth="1"/>
    <col min="4" max="4" width="18.796875" customWidth="1"/>
    <col min="5" max="5" width="15.46484375" customWidth="1"/>
    <col min="6" max="6" width="27.33203125" customWidth="1"/>
    <col min="7" max="7" width="21" customWidth="1"/>
    <col min="8" max="8" width="11.33203125" bestFit="1" customWidth="1"/>
    <col min="9" max="9" width="26.46484375" bestFit="1" customWidth="1"/>
    <col min="10" max="10" width="20" customWidth="1"/>
    <col min="11" max="12" width="14.796875" bestFit="1" customWidth="1"/>
    <col min="13" max="13" width="10.46484375" bestFit="1" customWidth="1"/>
    <col min="14" max="14" width="11.6640625" bestFit="1" customWidth="1"/>
    <col min="15" max="15" width="13.796875" customWidth="1"/>
    <col min="16" max="16" width="12.6640625" bestFit="1" customWidth="1"/>
    <col min="17" max="17" width="11.796875" customWidth="1"/>
    <col min="18" max="18" width="10.46484375" bestFit="1" customWidth="1"/>
    <col min="19" max="19" width="14.6640625" customWidth="1"/>
    <col min="20" max="20" width="11.46484375" bestFit="1" customWidth="1"/>
    <col min="22" max="22" width="12.33203125" bestFit="1" customWidth="1"/>
    <col min="23" max="23" width="16" bestFit="1" customWidth="1"/>
    <col min="24" max="24" width="15.6640625" bestFit="1" customWidth="1"/>
    <col min="25" max="25" width="16.6640625" bestFit="1" customWidth="1"/>
    <col min="26" max="26" width="36.33203125" customWidth="1"/>
  </cols>
  <sheetData>
    <row r="1" spans="1:26" x14ac:dyDescent="0.45">
      <c r="A1" s="1" t="s">
        <v>0</v>
      </c>
      <c r="B1" s="1" t="s">
        <v>55</v>
      </c>
      <c r="C1" s="1" t="s">
        <v>56</v>
      </c>
      <c r="D1" s="1" t="s">
        <v>60</v>
      </c>
      <c r="E1" s="1" t="s">
        <v>81</v>
      </c>
      <c r="F1" s="1" t="s">
        <v>57</v>
      </c>
      <c r="G1" s="1" t="s">
        <v>58</v>
      </c>
      <c r="H1" s="1" t="s">
        <v>59</v>
      </c>
      <c r="I1" s="1" t="s">
        <v>76</v>
      </c>
      <c r="J1" s="1" t="s">
        <v>75</v>
      </c>
      <c r="K1" s="1" t="s">
        <v>92</v>
      </c>
      <c r="L1" s="1" t="s">
        <v>93</v>
      </c>
      <c r="M1" s="1" t="s">
        <v>94</v>
      </c>
      <c r="N1" s="1" t="s">
        <v>84</v>
      </c>
      <c r="O1" s="1" t="s">
        <v>85</v>
      </c>
      <c r="P1" s="1" t="s">
        <v>86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116</v>
      </c>
    </row>
    <row r="2" spans="1:26" x14ac:dyDescent="0.45">
      <c r="A2" s="7">
        <v>1991</v>
      </c>
      <c r="B2" s="10"/>
      <c r="C2" s="10"/>
    </row>
    <row r="3" spans="1:26" x14ac:dyDescent="0.45">
      <c r="A3" s="6">
        <v>1992</v>
      </c>
      <c r="B3" s="10"/>
      <c r="C3" s="10"/>
    </row>
    <row r="4" spans="1:26" x14ac:dyDescent="0.45">
      <c r="A4" s="6">
        <v>1993</v>
      </c>
      <c r="B4" s="10"/>
      <c r="C4" s="10"/>
    </row>
    <row r="5" spans="1:26" x14ac:dyDescent="0.45">
      <c r="A5" s="6">
        <v>1994</v>
      </c>
      <c r="B5" s="10"/>
      <c r="C5" s="10"/>
    </row>
    <row r="6" spans="1:26" x14ac:dyDescent="0.45">
      <c r="A6" s="6">
        <v>1995</v>
      </c>
      <c r="B6" s="10"/>
      <c r="C6" s="10"/>
    </row>
    <row r="7" spans="1:26" x14ac:dyDescent="0.45">
      <c r="A7" s="6">
        <v>1996</v>
      </c>
      <c r="B7" s="10"/>
      <c r="C7" s="10"/>
    </row>
    <row r="8" spans="1:26" x14ac:dyDescent="0.45">
      <c r="A8" s="6">
        <v>1997</v>
      </c>
      <c r="B8" s="10"/>
      <c r="C8" s="10"/>
    </row>
    <row r="9" spans="1:26" x14ac:dyDescent="0.45">
      <c r="A9" s="6">
        <v>1998</v>
      </c>
      <c r="B9" s="10"/>
      <c r="C9" s="10"/>
    </row>
    <row r="10" spans="1:26" x14ac:dyDescent="0.45">
      <c r="A10" s="6">
        <v>1999</v>
      </c>
      <c r="B10" s="10"/>
      <c r="C10" s="10"/>
    </row>
    <row r="11" spans="1:26" x14ac:dyDescent="0.45">
      <c r="A11" s="6">
        <v>2000</v>
      </c>
      <c r="B11" s="9"/>
      <c r="C11" s="9"/>
      <c r="F11" s="4"/>
      <c r="L11" s="8"/>
    </row>
    <row r="12" spans="1:26" x14ac:dyDescent="0.45">
      <c r="A12" s="6">
        <v>2001</v>
      </c>
      <c r="B12" s="38"/>
      <c r="C12" s="38"/>
      <c r="F12" s="4"/>
      <c r="L12" s="8"/>
    </row>
    <row r="13" spans="1:26" x14ac:dyDescent="0.45">
      <c r="A13" s="6">
        <v>2002</v>
      </c>
      <c r="B13" s="38"/>
      <c r="C13" s="38"/>
      <c r="F13" s="4"/>
      <c r="L13" s="8"/>
    </row>
    <row r="14" spans="1:26" x14ac:dyDescent="0.45">
      <c r="A14" s="6">
        <v>2003</v>
      </c>
      <c r="B14" s="38"/>
      <c r="C14" s="38"/>
      <c r="F14" s="4"/>
      <c r="L14" s="8"/>
    </row>
    <row r="15" spans="1:26" x14ac:dyDescent="0.45">
      <c r="A15" s="6">
        <v>2004</v>
      </c>
      <c r="B15" s="38"/>
      <c r="C15" s="38"/>
      <c r="F15" s="4"/>
      <c r="L15" s="8"/>
    </row>
    <row r="16" spans="1:26" x14ac:dyDescent="0.45">
      <c r="A16" s="6">
        <v>2005</v>
      </c>
      <c r="B16" s="38">
        <f>(Rents!$C2)/(Wages!$C7)</f>
        <v>0.67164179104477617</v>
      </c>
      <c r="C16" s="38">
        <f>(Rents!$C2)/(Wages!$C7)</f>
        <v>0.67164179104477617</v>
      </c>
      <c r="D16" s="8">
        <f t="shared" ref="D16:D25" si="0">C16*(1/59)*100</f>
        <v>1.1383759170250445</v>
      </c>
      <c r="E16" s="29">
        <f>Pop!$E16/'Housing Stock'!$N38</f>
        <v>2.2715764014735274</v>
      </c>
      <c r="F16" s="29">
        <f>Pop!$K16/'Housing Stock'!$N38</f>
        <v>2.231330588249171</v>
      </c>
      <c r="I16" s="29">
        <f>D16/E16</f>
        <v>0.50113917202459146</v>
      </c>
      <c r="K16" s="8">
        <f>$I16*F16</f>
        <v>1.1182071635083342</v>
      </c>
      <c r="N16" s="12">
        <f t="shared" ref="N16:N24" si="1">(D16-K16)/D16</f>
        <v>1.7717129478123532E-2</v>
      </c>
      <c r="Q16" s="32">
        <f>(Rents!C2)-(Rents!C2*N16)</f>
        <v>766.18063900706363</v>
      </c>
      <c r="T16" s="31">
        <f>Rents!$C2-Q16</f>
        <v>13.819360992936367</v>
      </c>
      <c r="W16" s="31">
        <f t="shared" ref="W16:X34" si="2">T16*$X$39</f>
        <v>22.615363761437408</v>
      </c>
      <c r="Z16" s="31">
        <f>W16*12</f>
        <v>271.38436513724889</v>
      </c>
    </row>
    <row r="17" spans="1:27" x14ac:dyDescent="0.45">
      <c r="A17" s="6">
        <v>2006</v>
      </c>
      <c r="B17" s="38">
        <f>(Rents!$C3)/(Wages!$C8)</f>
        <v>0.66206896551724137</v>
      </c>
      <c r="C17" s="38">
        <f>(Rents!$C3)/(Wages!$C8)</f>
        <v>0.66206896551724137</v>
      </c>
      <c r="D17" s="8">
        <f t="shared" si="0"/>
        <v>1.1221507890122735</v>
      </c>
      <c r="E17" s="29">
        <f>Pop!$E17/'Housing Stock'!$N39</f>
        <v>2.2630508895416548</v>
      </c>
      <c r="F17" s="29">
        <f>Pop!$K17/'Housing Stock'!$N39</f>
        <v>2.2133794777599567</v>
      </c>
      <c r="I17" s="29">
        <f t="shared" ref="I17:I35" si="3">D17/E17</f>
        <v>0.49585751438384462</v>
      </c>
      <c r="J17" s="13">
        <f t="shared" ref="J17:J35" si="4">(I16-I17)/I16</f>
        <v>1.0539303122940992E-2</v>
      </c>
      <c r="K17" s="8">
        <f t="shared" ref="K17:K35" si="5">I17*F17</f>
        <v>1.0975208462302641</v>
      </c>
      <c r="L17" s="8"/>
      <c r="N17" s="12">
        <f t="shared" si="1"/>
        <v>2.1948870885426051E-2</v>
      </c>
      <c r="Q17" s="32">
        <f>(Rents!C3)*(1-N17)</f>
        <v>782.4409032916592</v>
      </c>
      <c r="T17" s="31">
        <f>Rents!$C3-Q17</f>
        <v>17.559096708340803</v>
      </c>
      <c r="W17" s="31">
        <f t="shared" si="2"/>
        <v>28.735435711127458</v>
      </c>
      <c r="Z17" s="31">
        <f>W17*12+Z16</f>
        <v>616.20959367077842</v>
      </c>
    </row>
    <row r="18" spans="1:27" x14ac:dyDescent="0.45">
      <c r="A18" s="6">
        <v>2007</v>
      </c>
      <c r="B18" s="38">
        <f>(Rents!$C4)/(Wages!$C9)</f>
        <v>0.64736842105263159</v>
      </c>
      <c r="C18" s="38">
        <f>(Rents!$C4)/(Wages!$C9)</f>
        <v>0.64736842105263159</v>
      </c>
      <c r="D18" s="8">
        <f t="shared" si="0"/>
        <v>1.0972346119536129</v>
      </c>
      <c r="E18" s="29">
        <f>Pop!$E18/'Housing Stock'!$N40</f>
        <v>2.2570415195823852</v>
      </c>
      <c r="F18" s="29">
        <f>Pop!$K18/'Housing Stock'!$N40</f>
        <v>2.1978543801105079</v>
      </c>
      <c r="I18" s="29">
        <f t="shared" si="3"/>
        <v>0.48613842609179453</v>
      </c>
      <c r="J18" s="13">
        <f t="shared" si="4"/>
        <v>1.9600566715474884E-2</v>
      </c>
      <c r="K18" s="8">
        <f t="shared" si="5"/>
        <v>1.0684614691258791</v>
      </c>
      <c r="L18" s="8"/>
      <c r="N18" s="12">
        <f t="shared" si="1"/>
        <v>2.6223327731617549E-2</v>
      </c>
      <c r="Q18" s="32">
        <f>(Rents!C4)*(1-N18)</f>
        <v>798.49687126007359</v>
      </c>
      <c r="T18" s="31">
        <f>Rents!$C4-Q18</f>
        <v>21.50312873992641</v>
      </c>
      <c r="W18" s="31">
        <f t="shared" si="2"/>
        <v>35.189838279137732</v>
      </c>
      <c r="Z18" s="31">
        <f t="shared" ref="Z18:Z35" si="6">W18*12+Z17</f>
        <v>1038.4876530204313</v>
      </c>
    </row>
    <row r="19" spans="1:27" x14ac:dyDescent="0.45">
      <c r="A19" s="6">
        <v>2008</v>
      </c>
      <c r="B19" s="38">
        <f>(Rents!$C5)/(Wages!$C10)</f>
        <v>0.64589665653495443</v>
      </c>
      <c r="C19" s="38">
        <f>(Rents!$C5)/(Wages!$C10)</f>
        <v>0.64589665653495443</v>
      </c>
      <c r="D19" s="8">
        <f t="shared" si="0"/>
        <v>1.0947400958219566</v>
      </c>
      <c r="E19" s="29">
        <f>Pop!$E19/'Housing Stock'!$N41</f>
        <v>2.2501693617990841</v>
      </c>
      <c r="F19" s="29">
        <f>Pop!$K19/'Housing Stock'!$N41</f>
        <v>2.1833227784977027</v>
      </c>
      <c r="I19" s="29">
        <f t="shared" si="3"/>
        <v>0.48651453282017676</v>
      </c>
      <c r="J19" s="13">
        <f t="shared" si="4"/>
        <v>-7.7366179712609813E-4</v>
      </c>
      <c r="K19" s="8">
        <f t="shared" si="5"/>
        <v>1.0622182615764602</v>
      </c>
      <c r="L19" s="8"/>
      <c r="N19" s="12">
        <f t="shared" si="1"/>
        <v>2.9707356448909754E-2</v>
      </c>
      <c r="Q19" s="32">
        <f>(Rents!C5)*(1-N19)</f>
        <v>824.74874701842668</v>
      </c>
      <c r="T19" s="31">
        <f>Rents!$C5-Q19</f>
        <v>25.251252981573316</v>
      </c>
      <c r="W19" s="31">
        <f t="shared" si="2"/>
        <v>41.323638039577695</v>
      </c>
      <c r="Z19" s="31">
        <f t="shared" si="6"/>
        <v>1534.3713094953637</v>
      </c>
    </row>
    <row r="20" spans="1:27" x14ac:dyDescent="0.45">
      <c r="A20" s="6">
        <v>2009</v>
      </c>
      <c r="B20" s="38">
        <f>(Rents!$C6)/(Wages!$C11)</f>
        <v>0.64749813293502612</v>
      </c>
      <c r="C20" s="38">
        <f>(Rents!$C6)/(Wages!$C11)</f>
        <v>0.64749813293502612</v>
      </c>
      <c r="D20" s="8">
        <f t="shared" si="0"/>
        <v>1.0974544626017391</v>
      </c>
      <c r="E20" s="29">
        <f>Pop!$E20/'Housing Stock'!$N42</f>
        <v>2.2450535879494335</v>
      </c>
      <c r="F20" s="29">
        <f>Pop!$K20/'Housing Stock'!$N42</f>
        <v>2.1751491182780587</v>
      </c>
      <c r="I20" s="29">
        <f t="shared" si="3"/>
        <v>0.48883219023921914</v>
      </c>
      <c r="J20" s="13">
        <f t="shared" si="4"/>
        <v>-4.7637989467809519E-3</v>
      </c>
      <c r="K20" s="8">
        <f t="shared" si="5"/>
        <v>1.0632829075847698</v>
      </c>
      <c r="L20" s="8"/>
      <c r="N20" s="12">
        <f t="shared" si="1"/>
        <v>3.1137105166039056E-2</v>
      </c>
      <c r="Q20" s="32">
        <f>(Rents!C6)*(1-N20)</f>
        <v>840.0041298210441</v>
      </c>
      <c r="T20" s="31">
        <f>Rents!$C6-Q20</f>
        <v>26.995870178955897</v>
      </c>
      <c r="W20" s="31">
        <f t="shared" si="2"/>
        <v>44.17870149464148</v>
      </c>
      <c r="Z20" s="31">
        <f t="shared" si="6"/>
        <v>2064.5157274310614</v>
      </c>
    </row>
    <row r="21" spans="1:27" x14ac:dyDescent="0.45">
      <c r="A21" s="6">
        <v>2010</v>
      </c>
      <c r="B21" s="38">
        <f>(Rents!$C7)/(Wages!$C12)</f>
        <v>0.63769555500372488</v>
      </c>
      <c r="C21" s="38">
        <f>(Rents!$C7)/(Wages!$C12)</f>
        <v>0.63769555500372488</v>
      </c>
      <c r="D21" s="8">
        <f t="shared" si="0"/>
        <v>1.0808399237351269</v>
      </c>
      <c r="E21" s="29">
        <f>Pop!$E21/'Housing Stock'!$N43</f>
        <v>2.2472389693018</v>
      </c>
      <c r="F21" s="29">
        <f>Pop!$K21/'Housing Stock'!$N43</f>
        <v>2.1691224650523004</v>
      </c>
      <c r="I21" s="29">
        <f t="shared" si="3"/>
        <v>0.48096350165685126</v>
      </c>
      <c r="J21" s="13">
        <f t="shared" si="4"/>
        <v>1.6096911659023928E-2</v>
      </c>
      <c r="K21" s="8">
        <f t="shared" si="5"/>
        <v>1.0432687363140953</v>
      </c>
      <c r="L21" s="8"/>
      <c r="N21" s="12">
        <f t="shared" si="1"/>
        <v>3.4761102542543464E-2</v>
      </c>
      <c r="Q21" s="32">
        <f>(Rents!C7)*(1-N21)</f>
        <v>826.24449622358281</v>
      </c>
      <c r="T21" s="31">
        <f>Rents!$C7-Q21</f>
        <v>29.755503776417186</v>
      </c>
      <c r="W21" s="31">
        <f t="shared" si="2"/>
        <v>48.694837782475012</v>
      </c>
      <c r="Z21" s="31">
        <f t="shared" si="6"/>
        <v>2648.8537808207616</v>
      </c>
    </row>
    <row r="22" spans="1:27" x14ac:dyDescent="0.45">
      <c r="A22" s="6">
        <v>2011</v>
      </c>
      <c r="B22" s="38">
        <f>(Rents!$C8)/(Wages!$C13)</f>
        <v>0.64739173228346458</v>
      </c>
      <c r="C22" s="38">
        <f>(Rents!$C8)/(Wages!$C13)</f>
        <v>0.64739173228346458</v>
      </c>
      <c r="D22" s="8">
        <f t="shared" si="0"/>
        <v>1.0972741225143468</v>
      </c>
      <c r="E22" s="29">
        <f>Pop!$E22/'Housing Stock'!$N44</f>
        <v>2.2510840472429616</v>
      </c>
      <c r="F22" s="29">
        <f>Pop!$K22/'Housing Stock'!$N44</f>
        <v>2.1634521327056131</v>
      </c>
      <c r="I22" s="29">
        <f t="shared" si="3"/>
        <v>0.48744253856636072</v>
      </c>
      <c r="J22" s="13">
        <f t="shared" si="4"/>
        <v>-1.3470953382512592E-2</v>
      </c>
      <c r="K22" s="8">
        <f t="shared" si="5"/>
        <v>1.0545585996328311</v>
      </c>
      <c r="L22" s="8"/>
      <c r="N22" s="12">
        <f t="shared" si="1"/>
        <v>3.8928761742448907E-2</v>
      </c>
      <c r="Q22" s="32">
        <f>(Rents!C8)*(1-N22)</f>
        <v>842.85947595187235</v>
      </c>
      <c r="T22" s="31">
        <f>Rents!$C8-Q22</f>
        <v>34.140524048127645</v>
      </c>
      <c r="W22" s="31">
        <f t="shared" si="2"/>
        <v>55.870916951164382</v>
      </c>
      <c r="Z22" s="31">
        <f t="shared" si="6"/>
        <v>3319.3047842347341</v>
      </c>
    </row>
    <row r="23" spans="1:27" ht="15" x14ac:dyDescent="0.45">
      <c r="A23" s="6">
        <v>2012</v>
      </c>
      <c r="B23" s="38">
        <f>(Rents!$C9)/(Wages!$C14)</f>
        <v>0.63966942148760331</v>
      </c>
      <c r="C23" s="38">
        <f>(Rents!$C9)/(Wages!$C14)</f>
        <v>0.63966942148760331</v>
      </c>
      <c r="D23" s="8">
        <f t="shared" si="0"/>
        <v>1.0841854601484802</v>
      </c>
      <c r="E23" s="29">
        <f>Pop!$E23/'Housing Stock'!$N45</f>
        <v>2.2519981198512351</v>
      </c>
      <c r="F23" s="29">
        <f>Pop!$K23/'Housing Stock'!$N45</f>
        <v>2.1592590951416843</v>
      </c>
      <c r="G23" s="3"/>
      <c r="H23" s="2"/>
      <c r="I23" s="29">
        <f t="shared" si="3"/>
        <v>0.48143266665786577</v>
      </c>
      <c r="J23" s="13">
        <f t="shared" si="4"/>
        <v>1.2329395637423956E-2</v>
      </c>
      <c r="K23" s="8">
        <f t="shared" si="5"/>
        <v>1.0395378641793114</v>
      </c>
      <c r="L23" s="8"/>
      <c r="N23" s="12">
        <f t="shared" si="1"/>
        <v>4.1180773594818601E-2</v>
      </c>
      <c r="Q23" s="32">
        <f>(Rents!C9)*(1-N23)</f>
        <v>865.81376144387878</v>
      </c>
      <c r="R23" s="32"/>
      <c r="T23" s="31">
        <f>Rents!$C9-Q23</f>
        <v>37.186238556121225</v>
      </c>
      <c r="W23" s="31">
        <f t="shared" si="2"/>
        <v>60.85522422463162</v>
      </c>
      <c r="Z23" s="31">
        <f t="shared" si="6"/>
        <v>4049.5674749303134</v>
      </c>
    </row>
    <row r="24" spans="1:27" ht="15" x14ac:dyDescent="0.45">
      <c r="A24" s="6">
        <v>2013</v>
      </c>
      <c r="B24" s="38">
        <f>(Rents!$C10)/(Wages!$C15)</f>
        <v>0.63787145818935731</v>
      </c>
      <c r="C24" s="38">
        <f>(Rents!$C10)/(Wages!$C15)</f>
        <v>0.63787145818935731</v>
      </c>
      <c r="D24" s="8">
        <f t="shared" si="0"/>
        <v>1.0811380647277242</v>
      </c>
      <c r="E24" s="29">
        <f>Pop!$E24/'Housing Stock'!$N46</f>
        <v>2.2543913000162146</v>
      </c>
      <c r="F24" s="29">
        <f>Pop!$K24/'Housing Stock'!$N46</f>
        <v>2.1547059660606935</v>
      </c>
      <c r="G24" s="3"/>
      <c r="H24" s="2"/>
      <c r="I24" s="29">
        <f t="shared" si="3"/>
        <v>0.47956983542295795</v>
      </c>
      <c r="J24" s="13">
        <f t="shared" si="4"/>
        <v>3.8693494727719867E-3</v>
      </c>
      <c r="K24" s="8">
        <f t="shared" si="5"/>
        <v>1.0333319855285925</v>
      </c>
      <c r="L24" s="8"/>
      <c r="N24" s="12">
        <f t="shared" si="1"/>
        <v>4.4218292518607497E-2</v>
      </c>
      <c r="Q24" s="32">
        <f>(Rents!C10)*(1-N24)</f>
        <v>882.18651600532519</v>
      </c>
      <c r="R24" s="32"/>
      <c r="T24" s="31">
        <f>Rents!$C10-Q24</f>
        <v>40.813483994674812</v>
      </c>
      <c r="W24" s="31">
        <f t="shared" si="2"/>
        <v>66.79120600315477</v>
      </c>
      <c r="Z24" s="31">
        <f t="shared" si="6"/>
        <v>4851.0619469681706</v>
      </c>
    </row>
    <row r="25" spans="1:27" x14ac:dyDescent="0.45">
      <c r="A25" s="6">
        <v>2014</v>
      </c>
      <c r="B25" s="38">
        <f>(Rents!$C11)/(Wages!$C16)</f>
        <v>0.62369647215442647</v>
      </c>
      <c r="C25" s="38">
        <f>(Rents!$C11)/(Wages!$C16)</f>
        <v>0.62369647215442647</v>
      </c>
      <c r="D25" s="8">
        <f t="shared" si="0"/>
        <v>1.0571126646685196</v>
      </c>
      <c r="E25" s="29">
        <f>Pop!$E25/'Housing Stock'!$N47</f>
        <v>2.2575878193390646</v>
      </c>
      <c r="F25" s="29">
        <f>Pop!$K25/'Housing Stock'!$N47</f>
        <v>2.1499260164520009</v>
      </c>
      <c r="G25" s="29">
        <f>Pop!$M25/'Housing Stock'!$N47</f>
        <v>2.2489235341125293</v>
      </c>
      <c r="H25" s="2"/>
      <c r="I25" s="29">
        <f t="shared" si="3"/>
        <v>0.46824874568024633</v>
      </c>
      <c r="J25" s="13">
        <f t="shared" si="4"/>
        <v>2.3606759446675694E-2</v>
      </c>
      <c r="K25" s="8">
        <f t="shared" si="5"/>
        <v>1.006700160508978</v>
      </c>
      <c r="L25" s="8">
        <f t="shared" ref="L25:M35" si="7">$I25*G25</f>
        <v>1.0530556239789786</v>
      </c>
      <c r="N25" s="12">
        <f>($D25-K25)/$D25</f>
        <v>4.7688865950110904E-2</v>
      </c>
      <c r="O25" s="12">
        <f>($D25-L25)/$D25</f>
        <v>3.8378508035500827E-3</v>
      </c>
      <c r="P25" s="12"/>
      <c r="Q25" s="32">
        <f>(Rents!C11)*(1-N25)</f>
        <v>892.31553260474607</v>
      </c>
      <c r="R25" s="32">
        <f>(Rents!$C11)-(Rents!$C11*O25)</f>
        <v>933.40393379707359</v>
      </c>
      <c r="T25" s="31">
        <f>Rents!$C11-Q25</f>
        <v>44.684467395253932</v>
      </c>
      <c r="U25" s="31">
        <f>Rents!$C11-R25</f>
        <v>3.5960662029264086</v>
      </c>
      <c r="W25" s="31">
        <f t="shared" si="2"/>
        <v>73.126064594903696</v>
      </c>
      <c r="X25" s="31">
        <f t="shared" si="2"/>
        <v>5.8849570056792713</v>
      </c>
      <c r="Y25" s="31"/>
      <c r="Z25" s="31">
        <f t="shared" si="6"/>
        <v>5728.5747221070151</v>
      </c>
    </row>
    <row r="26" spans="1:27" x14ac:dyDescent="0.45">
      <c r="A26" s="6">
        <v>2015</v>
      </c>
      <c r="B26" s="38">
        <f>(Rents!$C12)/(Wages!$C17)</f>
        <v>0.61282811176968666</v>
      </c>
      <c r="C26" s="38">
        <f>(Rents!$C12)/(Wages!$C17)</f>
        <v>0.61282811176968666</v>
      </c>
      <c r="D26" s="8">
        <f>C26*(1/59)*100</f>
        <v>1.0386917148638757</v>
      </c>
      <c r="E26" s="29">
        <f>Pop!$E26/'Housing Stock'!$N48</f>
        <v>2.2571239999617001</v>
      </c>
      <c r="F26" s="29">
        <f>Pop!$K26/'Housing Stock'!$N48</f>
        <v>2.1400806140243707</v>
      </c>
      <c r="G26" s="29">
        <f>Pop!$M26/'Housing Stock'!$N48</f>
        <v>2.2382661009929645</v>
      </c>
      <c r="H26" s="2"/>
      <c r="I26" s="29">
        <f t="shared" si="3"/>
        <v>0.46018371825451354</v>
      </c>
      <c r="J26" s="13">
        <f t="shared" si="4"/>
        <v>1.7223809994442913E-2</v>
      </c>
      <c r="K26" s="8">
        <f t="shared" si="5"/>
        <v>0.98483025432613736</v>
      </c>
      <c r="L26" s="8">
        <f t="shared" si="7"/>
        <v>1.030013616797975</v>
      </c>
      <c r="N26" s="12">
        <f t="shared" ref="N26:P35" si="8">($D26-K26)/$D26</f>
        <v>5.1855097876463821E-2</v>
      </c>
      <c r="O26" s="12">
        <f t="shared" si="8"/>
        <v>8.354835165926007E-3</v>
      </c>
      <c r="P26" s="12"/>
      <c r="Q26" s="32">
        <f>(Rents!C12)*(1-N26)</f>
        <v>914.95983054921237</v>
      </c>
      <c r="R26" s="32">
        <f>(Rents!$C12)-(Rents!$C12*O26)</f>
        <v>956.93758406488143</v>
      </c>
      <c r="T26" s="31">
        <f>Rents!$C12-Q26</f>
        <v>50.04016945078763</v>
      </c>
      <c r="U26" s="31">
        <f>Rents!$C12-R26</f>
        <v>8.0624159351185654</v>
      </c>
      <c r="W26" s="31">
        <f t="shared" si="2"/>
        <v>81.890663062639106</v>
      </c>
      <c r="X26" s="31">
        <f t="shared" si="2"/>
        <v>13.194131715780086</v>
      </c>
      <c r="Y26" s="31"/>
      <c r="Z26" s="31">
        <f t="shared" si="6"/>
        <v>6711.262678858684</v>
      </c>
    </row>
    <row r="27" spans="1:27" x14ac:dyDescent="0.45">
      <c r="A27" s="6">
        <v>2016</v>
      </c>
      <c r="B27" s="38">
        <f>(Rents!$C13)/(Wages!$C18)</f>
        <v>0.62294741218041982</v>
      </c>
      <c r="C27" s="38">
        <f>(Rents!$C13)/(Wages!$C18)</f>
        <v>0.62294741218041982</v>
      </c>
      <c r="D27" s="8">
        <f t="shared" ref="D27:D34" si="9">C27*(1/59)*100</f>
        <v>1.0558430714922371</v>
      </c>
      <c r="E27" s="29">
        <f>Pop!$E27/'Housing Stock'!$N49</f>
        <v>2.2579026207283017</v>
      </c>
      <c r="F27" s="29">
        <f>Pop!$K27/'Housing Stock'!$N49</f>
        <v>2.1307885927129027</v>
      </c>
      <c r="G27" s="29">
        <f>Pop!$M27/'Housing Stock'!$N49</f>
        <v>2.2281547104158679</v>
      </c>
      <c r="H27" s="2"/>
      <c r="I27" s="29">
        <f t="shared" si="3"/>
        <v>0.46762117276415927</v>
      </c>
      <c r="J27" s="13">
        <f t="shared" si="4"/>
        <v>-1.6161924498016022E-2</v>
      </c>
      <c r="K27" s="8">
        <f t="shared" si="5"/>
        <v>0.99640186063690006</v>
      </c>
      <c r="L27" s="8">
        <f t="shared" si="7"/>
        <v>1.0419323187846539</v>
      </c>
      <c r="M27" s="8"/>
      <c r="N27" s="12">
        <f t="shared" si="8"/>
        <v>5.629739159184706E-2</v>
      </c>
      <c r="O27" s="12">
        <f t="shared" si="8"/>
        <v>1.3175019170152803E-2</v>
      </c>
      <c r="P27" s="12"/>
      <c r="Q27" s="32">
        <f>(Rents!C13)*(1-N27)</f>
        <v>942.75890579974475</v>
      </c>
      <c r="R27" s="32">
        <f>(Rents!$C13)-(Rents!$C13*O27)</f>
        <v>985.83815584901731</v>
      </c>
      <c r="T27" s="31">
        <f>Rents!$C13-Q27</f>
        <v>56.241094200255247</v>
      </c>
      <c r="U27" s="31">
        <f>Rents!$C13-R27</f>
        <v>13.161844150982688</v>
      </c>
      <c r="W27" s="31">
        <f t="shared" si="2"/>
        <v>92.038467214957777</v>
      </c>
      <c r="X27" s="31">
        <f t="shared" si="2"/>
        <v>21.539338425124487</v>
      </c>
      <c r="Y27" s="31"/>
      <c r="Z27" s="31">
        <f t="shared" si="6"/>
        <v>7815.7242854381775</v>
      </c>
    </row>
    <row r="28" spans="1:27" x14ac:dyDescent="0.45">
      <c r="A28" s="6">
        <v>2017</v>
      </c>
      <c r="B28" s="38">
        <f>(Rents!$C14)/(Wages!$C19)</f>
        <v>0.624872993294046</v>
      </c>
      <c r="C28" s="38">
        <f>(Rents!$C14)/(Wages!$C19)</f>
        <v>0.624872993294046</v>
      </c>
      <c r="D28" s="8">
        <f t="shared" si="9"/>
        <v>1.0591067682949933</v>
      </c>
      <c r="E28" s="29">
        <f>Pop!$E28/'Housing Stock'!$N50</f>
        <v>2.2513456796222329</v>
      </c>
      <c r="F28" s="29">
        <f>Pop!$K28/'Housing Stock'!$N50</f>
        <v>2.1185281528281426</v>
      </c>
      <c r="G28" s="29">
        <f>Pop!$M28/'Housing Stock'!$N50</f>
        <v>2.2150346347199972</v>
      </c>
      <c r="H28" s="2"/>
      <c r="I28" s="29">
        <f t="shared" si="3"/>
        <v>0.47043276289437141</v>
      </c>
      <c r="J28" s="13">
        <f t="shared" si="4"/>
        <v>-6.0125381269469395E-3</v>
      </c>
      <c r="K28" s="8">
        <f t="shared" si="5"/>
        <v>0.99662505220445219</v>
      </c>
      <c r="L28" s="8">
        <f t="shared" si="7"/>
        <v>1.0420248631180531</v>
      </c>
      <c r="M28" s="8"/>
      <c r="N28" s="12">
        <f t="shared" si="8"/>
        <v>5.8994728351257263E-2</v>
      </c>
      <c r="O28" s="12">
        <f t="shared" si="8"/>
        <v>1.6128595990789064E-2</v>
      </c>
      <c r="P28" s="12"/>
      <c r="Q28" s="32">
        <f>(Rents!C14)*(1-N28)</f>
        <v>964.53040343996122</v>
      </c>
      <c r="R28" s="32">
        <f>(Rents!$C14)-(Rents!$C14*O28)</f>
        <v>1008.4681891094413</v>
      </c>
      <c r="S28" s="32"/>
      <c r="T28" s="31">
        <f>Rents!$C14-Q28</f>
        <v>60.469596560038781</v>
      </c>
      <c r="U28" s="31">
        <f>Rents!$C14-R28</f>
        <v>16.531810890558745</v>
      </c>
      <c r="W28" s="31">
        <f t="shared" si="2"/>
        <v>98.958405053001158</v>
      </c>
      <c r="X28" s="31">
        <f t="shared" si="2"/>
        <v>27.054283994490053</v>
      </c>
      <c r="Y28" s="31"/>
      <c r="Z28" s="31">
        <f t="shared" si="6"/>
        <v>9003.2251460741918</v>
      </c>
    </row>
    <row r="29" spans="1:27" x14ac:dyDescent="0.45">
      <c r="A29" s="6">
        <v>2018</v>
      </c>
      <c r="B29" s="38">
        <f>(Rents!$C15)/(Wages!$C20)</f>
        <v>0.61176004751534352</v>
      </c>
      <c r="C29" s="38">
        <f>(Rents!$C15)/(Wages!$C20)</f>
        <v>0.61176004751534352</v>
      </c>
      <c r="D29" s="8">
        <f t="shared" si="9"/>
        <v>1.0368814364666838</v>
      </c>
      <c r="E29" s="29">
        <f>Pop!$E29/'Housing Stock'!$N51</f>
        <v>2.2433106122798114</v>
      </c>
      <c r="F29" s="29">
        <f>Pop!$K29/'Housing Stock'!$N51</f>
        <v>2.1043791375599845</v>
      </c>
      <c r="G29" s="29">
        <f>Pop!$M29/'Housing Stock'!$N51</f>
        <v>2.200016740390343</v>
      </c>
      <c r="H29" s="2"/>
      <c r="I29" s="29">
        <f t="shared" si="3"/>
        <v>0.46221037371767765</v>
      </c>
      <c r="J29" s="13">
        <f t="shared" si="4"/>
        <v>1.747835147812607E-2</v>
      </c>
      <c r="K29" s="8">
        <f t="shared" si="5"/>
        <v>0.97266586761528462</v>
      </c>
      <c r="L29" s="8">
        <f t="shared" si="7"/>
        <v>1.0168705597609675</v>
      </c>
      <c r="M29" s="8"/>
      <c r="N29" s="12">
        <f t="shared" si="8"/>
        <v>6.1931448083613699E-2</v>
      </c>
      <c r="O29" s="12">
        <f t="shared" si="8"/>
        <v>1.9299098240109443E-2</v>
      </c>
      <c r="P29" s="12"/>
      <c r="Q29" s="32">
        <f>(Rents!C15)*(1-N29)</f>
        <v>966.21060847387787</v>
      </c>
      <c r="R29" s="32">
        <f>(Rents!$C15)-(Rents!$C15*O29)</f>
        <v>1010.1219288126873</v>
      </c>
      <c r="S29" s="32"/>
      <c r="T29" s="31">
        <f>Rents!$C15-Q29</f>
        <v>63.789391526122131</v>
      </c>
      <c r="U29" s="31">
        <f>Rents!$C15-R29</f>
        <v>19.878071187312685</v>
      </c>
      <c r="W29" s="31">
        <f t="shared" si="2"/>
        <v>104.39124458948474</v>
      </c>
      <c r="X29" s="31">
        <f t="shared" si="2"/>
        <v>32.530434005349989</v>
      </c>
      <c r="Y29" s="31"/>
      <c r="Z29" s="31">
        <f t="shared" si="6"/>
        <v>10255.920081148008</v>
      </c>
    </row>
    <row r="30" spans="1:27" x14ac:dyDescent="0.45">
      <c r="A30" s="6">
        <v>2019</v>
      </c>
      <c r="B30" s="38">
        <f>(Rents!$C16)/(Wages!$C21)</f>
        <v>0.59954363947518541</v>
      </c>
      <c r="C30" s="38">
        <f>(Rents!$C16)/(Wages!$C21)</f>
        <v>0.59954363947518541</v>
      </c>
      <c r="D30" s="8">
        <f t="shared" si="9"/>
        <v>1.0161756601274328</v>
      </c>
      <c r="E30" s="29">
        <f>Pop!$E30/'Housing Stock'!$N52</f>
        <v>2.2335173157432435</v>
      </c>
      <c r="F30" s="29">
        <f>Pop!$K30/'Housing Stock'!$N52</f>
        <v>2.0884354550585034</v>
      </c>
      <c r="G30" s="29">
        <f>Pop!$M30/'Housing Stock'!$N52</f>
        <v>2.1831380433860628</v>
      </c>
      <c r="H30" s="2"/>
      <c r="I30" s="29">
        <f t="shared" si="3"/>
        <v>0.45496654669510894</v>
      </c>
      <c r="J30" s="13">
        <f t="shared" si="4"/>
        <v>1.5672142890919408E-2</v>
      </c>
      <c r="K30" s="8">
        <f t="shared" si="5"/>
        <v>0.95016826698359569</v>
      </c>
      <c r="L30" s="8">
        <f t="shared" si="7"/>
        <v>0.99325477655807393</v>
      </c>
      <c r="M30" s="8"/>
      <c r="N30" s="12">
        <f t="shared" si="8"/>
        <v>6.4956676029378102E-2</v>
      </c>
      <c r="O30" s="12">
        <f t="shared" si="8"/>
        <v>2.2556024975528801E-2</v>
      </c>
      <c r="P30" s="12"/>
      <c r="Q30" s="32">
        <f>(Rents!C16)*(1-N30)</f>
        <v>982.73053349312363</v>
      </c>
      <c r="R30" s="32">
        <f>(Rents!$C16)-(Rents!$C16*O30)</f>
        <v>1027.2936177507192</v>
      </c>
      <c r="S30" s="32"/>
      <c r="T30" s="31">
        <f>Rents!$C16-Q30</f>
        <v>68.26946650687637</v>
      </c>
      <c r="U30" s="31">
        <f>Rents!$C16-R30</f>
        <v>23.70638224928075</v>
      </c>
      <c r="W30" s="31">
        <f t="shared" si="2"/>
        <v>111.72288064849353</v>
      </c>
      <c r="X30" s="31">
        <f t="shared" si="2"/>
        <v>38.795459378273989</v>
      </c>
      <c r="Y30" s="31"/>
      <c r="Z30" s="31">
        <f t="shared" si="6"/>
        <v>11596.594648929929</v>
      </c>
    </row>
    <row r="31" spans="1:27" x14ac:dyDescent="0.45">
      <c r="A31" s="6">
        <v>2020</v>
      </c>
      <c r="B31" s="38">
        <f>(Rents!$C17)/(Wages!$C22)</f>
        <v>0.62441588785046731</v>
      </c>
      <c r="C31" s="38">
        <f>(Rents!$C17)/(Wages!$C22)</f>
        <v>0.62441588785046731</v>
      </c>
      <c r="D31" s="8">
        <f t="shared" si="9"/>
        <v>1.0583320133058767</v>
      </c>
      <c r="E31" s="29">
        <f>Pop!$E31/'Housing Stock'!$N53</f>
        <v>2.2147912853913301</v>
      </c>
      <c r="F31" s="29">
        <f>Pop!$K31/'Housing Stock'!$N53</f>
        <v>2.0674873998256591</v>
      </c>
      <c r="G31" s="29">
        <f>Pop!$M31/'Housing Stock'!$N53</f>
        <v>2.1612361045848401</v>
      </c>
      <c r="H31" s="2"/>
      <c r="I31" s="29">
        <f t="shared" si="3"/>
        <v>0.47784728984920161</v>
      </c>
      <c r="J31" s="13">
        <f t="shared" si="4"/>
        <v>-5.0291045177495115E-2</v>
      </c>
      <c r="K31" s="8">
        <f t="shared" si="5"/>
        <v>0.98794325080406387</v>
      </c>
      <c r="L31" s="8">
        <f t="shared" si="7"/>
        <v>1.0327408153001114</v>
      </c>
      <c r="M31" s="8"/>
      <c r="N31" s="12">
        <f t="shared" si="8"/>
        <v>6.6509149885716642E-2</v>
      </c>
      <c r="O31" s="12">
        <f t="shared" si="8"/>
        <v>2.4180689692856291E-2</v>
      </c>
      <c r="P31" s="12"/>
      <c r="Q31" s="32">
        <f>(Rents!C17)*(1-N31)</f>
        <v>997.90171877216892</v>
      </c>
      <c r="R31" s="32">
        <f>(Rents!$C17)-(Rents!$C17*O31)</f>
        <v>1043.1508427183367</v>
      </c>
      <c r="S31" s="32"/>
      <c r="T31" s="31">
        <f>Rents!$C17-Q31</f>
        <v>71.09828122783108</v>
      </c>
      <c r="U31" s="31">
        <f>Rents!$C17-R31</f>
        <v>25.849157281663338</v>
      </c>
      <c r="V31" s="31"/>
      <c r="W31" s="31">
        <f t="shared" si="2"/>
        <v>116.35223174228143</v>
      </c>
      <c r="X31" s="31">
        <f t="shared" si="2"/>
        <v>42.302107539576653</v>
      </c>
      <c r="Y31" s="31"/>
      <c r="Z31" s="31">
        <f t="shared" si="6"/>
        <v>12992.821429837306</v>
      </c>
    </row>
    <row r="32" spans="1:27" x14ac:dyDescent="0.45">
      <c r="A32" s="6">
        <v>2021</v>
      </c>
      <c r="B32" s="38">
        <f>(Rents!$C18)/(Wages!$C23)</f>
        <v>0.59778801843317975</v>
      </c>
      <c r="C32" s="38">
        <f>(Rents!$C18)/(Wages!$C23)</f>
        <v>0.59778801843317975</v>
      </c>
      <c r="D32" s="8">
        <f t="shared" si="9"/>
        <v>1.0132000312426777</v>
      </c>
      <c r="E32" s="29">
        <f>Pop!$E32/'Housing Stock'!$N54</f>
        <v>2.2041128174295261</v>
      </c>
      <c r="F32" s="29">
        <f>Pop!$K32/'Housing Stock'!$N54</f>
        <v>2.0497545214422148</v>
      </c>
      <c r="G32" s="29">
        <f>Pop!$M32/'Housing Stock'!$N54</f>
        <v>2.1426736145237113</v>
      </c>
      <c r="H32" s="29">
        <f>Pop!$O32/'Housing Stock'!$N54</f>
        <v>2.1957548687462372</v>
      </c>
      <c r="I32" s="29">
        <f t="shared" si="3"/>
        <v>0.45968610283038452</v>
      </c>
      <c r="J32" s="13">
        <f t="shared" si="4"/>
        <v>3.8006257238684692E-2</v>
      </c>
      <c r="K32" s="8">
        <f t="shared" si="5"/>
        <v>0.94224366772073154</v>
      </c>
      <c r="L32" s="8">
        <f t="shared" si="7"/>
        <v>0.98495728349789846</v>
      </c>
      <c r="M32" s="8">
        <f>$I32*H32</f>
        <v>1.0093579983848002</v>
      </c>
      <c r="N32" s="12">
        <f t="shared" si="8"/>
        <v>7.0031939729530993E-2</v>
      </c>
      <c r="O32" s="12">
        <f t="shared" si="8"/>
        <v>2.78747995202288E-2</v>
      </c>
      <c r="P32" s="12">
        <f t="shared" si="8"/>
        <v>3.7919786216007354E-3</v>
      </c>
      <c r="Q32" s="32">
        <f>(Rents!C18)*(1-N32)</f>
        <v>1005.295473152377</v>
      </c>
      <c r="R32" s="32">
        <f>(Rents!$C18)-(Rents!$C18*O32)</f>
        <v>1050.8673417186326</v>
      </c>
      <c r="S32" s="32">
        <f>(Rents!$C18)-(Rents!$C18*P32)</f>
        <v>1076.9008711100496</v>
      </c>
      <c r="T32" s="31">
        <f>Rents!$C18-Q32</f>
        <v>75.704526847623015</v>
      </c>
      <c r="U32" s="31">
        <f>Rents!$C18-R32</f>
        <v>30.132658281367412</v>
      </c>
      <c r="V32" s="31">
        <f>Rents!$C18-S32</f>
        <v>4.099128889950407</v>
      </c>
      <c r="W32" s="31">
        <f t="shared" si="2"/>
        <v>123.89034586487861</v>
      </c>
      <c r="X32" s="31">
        <f t="shared" si="2"/>
        <v>49.312050570249639</v>
      </c>
      <c r="Y32" s="31">
        <f>V32*$X$39</f>
        <v>6.7082183466102361</v>
      </c>
      <c r="Z32" s="31">
        <f t="shared" si="6"/>
        <v>14479.505580215849</v>
      </c>
      <c r="AA32" s="31"/>
    </row>
    <row r="33" spans="1:27" x14ac:dyDescent="0.45">
      <c r="A33" s="6">
        <v>2022</v>
      </c>
      <c r="B33" s="38">
        <f>(Rents!$C19)/(Wages!$C24)</f>
        <v>0.59882791688865211</v>
      </c>
      <c r="C33" s="38">
        <f>(Rents!$C19)/(Wages!$C24)</f>
        <v>0.59882791688865211</v>
      </c>
      <c r="D33" s="8">
        <f t="shared" si="9"/>
        <v>1.0149625709977155</v>
      </c>
      <c r="E33" s="29">
        <f>Pop!$E33/'Housing Stock'!$N55</f>
        <v>2.2053175746270428</v>
      </c>
      <c r="F33" s="29">
        <f>Pop!$K33/'Housing Stock'!$N55</f>
        <v>2.0317006083869251</v>
      </c>
      <c r="G33" s="29">
        <f>Pop!$M33/'Housing Stock'!$N55</f>
        <v>2.123762808269781</v>
      </c>
      <c r="H33" s="29">
        <f>Pop!$O33/'Housing Stock'!$N55</f>
        <v>2.1763545509806232</v>
      </c>
      <c r="I33" s="29">
        <f>D33/E33</f>
        <v>0.46023420058644532</v>
      </c>
      <c r="J33" s="13">
        <f t="shared" si="4"/>
        <v>-1.1923304896233342E-3</v>
      </c>
      <c r="K33" s="8">
        <f t="shared" si="5"/>
        <v>0.93505810533195111</v>
      </c>
      <c r="L33" s="8">
        <f t="shared" si="7"/>
        <v>0.97742827829926682</v>
      </c>
      <c r="M33" s="8">
        <f t="shared" si="7"/>
        <v>1.0016327969632393</v>
      </c>
      <c r="N33" s="12">
        <f t="shared" si="8"/>
        <v>7.8726514601634726E-2</v>
      </c>
      <c r="O33" s="12">
        <f t="shared" si="8"/>
        <v>3.6980962422636113E-2</v>
      </c>
      <c r="P33" s="12">
        <f t="shared" si="8"/>
        <v>1.3133266600533804E-2</v>
      </c>
      <c r="Q33" s="32">
        <f>(Rents!C19)*(1-N33)</f>
        <v>1035.5113975877625</v>
      </c>
      <c r="R33" s="32">
        <f>(Rents!$C19)-(Rents!$C19*O33)</f>
        <v>1082.4333982369569</v>
      </c>
      <c r="S33" s="32">
        <f>(Rents!$C19)-(Rents!$C19*P33)</f>
        <v>1109.238208341</v>
      </c>
      <c r="T33" s="31">
        <f>Rents!$C19-Q33</f>
        <v>88.488602412237469</v>
      </c>
      <c r="U33" s="31">
        <f>Rents!$C19-R33</f>
        <v>41.566601763043082</v>
      </c>
      <c r="V33" s="31">
        <f>Rents!$C19-S33</f>
        <v>14.761791658999982</v>
      </c>
      <c r="W33" s="31">
        <f t="shared" si="2"/>
        <v>144.81146655889901</v>
      </c>
      <c r="X33" s="31">
        <f t="shared" si="2"/>
        <v>68.023682113704041</v>
      </c>
      <c r="Y33" s="31">
        <f>V33*$X$39</f>
        <v>24.157650148185432</v>
      </c>
      <c r="Z33" s="31">
        <f t="shared" si="6"/>
        <v>16217.243178922638</v>
      </c>
      <c r="AA33" s="31"/>
    </row>
    <row r="34" spans="1:27" x14ac:dyDescent="0.45">
      <c r="A34" s="5">
        <v>2023</v>
      </c>
      <c r="B34" s="38">
        <f>(Rents!$C20)/(Wages!$C25)</f>
        <v>0.5851648351648352</v>
      </c>
      <c r="C34" s="38">
        <f>(Rents!$C20)/(Wages!$C25)</f>
        <v>0.5851648351648352</v>
      </c>
      <c r="D34" s="8">
        <f t="shared" si="9"/>
        <v>0.99180480536412741</v>
      </c>
      <c r="E34" s="29">
        <f>Pop!$E34/'Housing Stock'!$N56</f>
        <v>2.2072020590109456</v>
      </c>
      <c r="F34" s="29">
        <f>Pop!$K34/'Housing Stock'!$N56</f>
        <v>2.0058836119413583</v>
      </c>
      <c r="G34" s="29">
        <f>Pop!$M34/'Housing Stock'!$N56</f>
        <v>2.0971016393220689</v>
      </c>
      <c r="H34" s="29">
        <f>Pop!$O34/'Housing Stock'!$N56</f>
        <v>2.1492111373864344</v>
      </c>
      <c r="I34" s="29">
        <f>D34/E34</f>
        <v>0.44934934765716844</v>
      </c>
      <c r="J34" s="13">
        <f t="shared" si="4"/>
        <v>2.3650682446908652E-2</v>
      </c>
      <c r="K34" s="8">
        <f t="shared" si="5"/>
        <v>0.90134249250205423</v>
      </c>
      <c r="L34" s="8">
        <f t="shared" si="7"/>
        <v>0.94233125360015024</v>
      </c>
      <c r="M34" s="8">
        <f t="shared" si="7"/>
        <v>0.9657466225621153</v>
      </c>
      <c r="N34" s="11">
        <f t="shared" si="8"/>
        <v>9.12097948838443E-2</v>
      </c>
      <c r="O34" s="12">
        <f t="shared" si="8"/>
        <v>4.988234730906918E-2</v>
      </c>
      <c r="P34" s="12">
        <f t="shared" si="8"/>
        <v>2.6273499242066293E-2</v>
      </c>
      <c r="Q34" s="32">
        <f>(Rents!C20)*(1-N34)</f>
        <v>1096.9097775752</v>
      </c>
      <c r="R34" s="32">
        <f>(Rents!$C20)-(Rents!$C20*O34)</f>
        <v>1146.7920067979535</v>
      </c>
      <c r="S34" s="32">
        <f>(Rents!$C20)-(Rents!$C20*P34)</f>
        <v>1175.2878864148261</v>
      </c>
      <c r="T34" s="31">
        <f>Rents!$C20-Q34</f>
        <v>110.0902224248</v>
      </c>
      <c r="U34" s="31">
        <f>Rents!$C20-R34</f>
        <v>60.207993202046509</v>
      </c>
      <c r="V34" s="31">
        <f>Rents!$C20-S34</f>
        <v>31.712113585173938</v>
      </c>
      <c r="W34" s="31">
        <f t="shared" si="2"/>
        <v>180.16248565957628</v>
      </c>
      <c r="X34" s="31">
        <f t="shared" si="2"/>
        <v>98.530291545782347</v>
      </c>
      <c r="Y34" s="31">
        <f>V34*$X$39</f>
        <v>51.896826831523526</v>
      </c>
      <c r="Z34" s="31">
        <f t="shared" si="6"/>
        <v>18379.193006837551</v>
      </c>
      <c r="AA34" s="31"/>
    </row>
    <row r="35" spans="1:27" x14ac:dyDescent="0.45">
      <c r="A35" s="6">
        <v>2024</v>
      </c>
      <c r="B35" s="38">
        <f>(Rents!$C21)/(Wages!$C26)</f>
        <v>0.60461183704842425</v>
      </c>
      <c r="C35" s="38">
        <f>(Rents!$C21)/(Wages!$C26)</f>
        <v>0.60461183704842425</v>
      </c>
      <c r="D35" s="8">
        <f>C35*(1/59)*100</f>
        <v>1.0247658255058039</v>
      </c>
      <c r="E35" s="29">
        <f>Pop!$E35/'Housing Stock'!$N57</f>
        <v>2.2167375237958105</v>
      </c>
      <c r="F35" s="29">
        <f>Pop!$K35/'Housing Stock'!$N57</f>
        <v>1.9932683492768941</v>
      </c>
      <c r="G35" s="29">
        <f>Pop!$M35/'Housing Stock'!$N57</f>
        <v>2.0837232967714123</v>
      </c>
      <c r="H35" s="29">
        <f>Pop!$O35/'Housing Stock'!$N57</f>
        <v>2.1353968754128934</v>
      </c>
      <c r="I35" s="29">
        <f t="shared" si="3"/>
        <v>0.46228559516196366</v>
      </c>
      <c r="J35" s="13">
        <f t="shared" si="4"/>
        <v>-2.8788842294403288E-2</v>
      </c>
      <c r="K35" s="8">
        <f t="shared" si="5"/>
        <v>0.92145924516297384</v>
      </c>
      <c r="L35" s="8">
        <f t="shared" si="7"/>
        <v>0.96327526440082134</v>
      </c>
      <c r="M35" s="8">
        <f t="shared" si="7"/>
        <v>0.98716321545724695</v>
      </c>
      <c r="N35" s="13">
        <f t="shared" si="8"/>
        <v>0.10080993898468459</v>
      </c>
      <c r="O35" s="12">
        <f t="shared" si="8"/>
        <v>6.0004500125315961E-2</v>
      </c>
      <c r="P35" s="12">
        <f t="shared" si="8"/>
        <v>3.6693856403727187E-2</v>
      </c>
      <c r="Q35" s="32">
        <f>(Rents!C21)*(1-N35)</f>
        <v>1178.8381699910785</v>
      </c>
      <c r="R35" s="32">
        <f>(Rents!$C21)-(Rents!$C21*O35)</f>
        <v>1232.3341003357107</v>
      </c>
      <c r="S35" s="32">
        <f>(Rents!$C21)-(Rents!$C21*P35)</f>
        <v>1262.8943542547136</v>
      </c>
      <c r="T35" s="31">
        <f>Rents!$C21-Q35</f>
        <v>132.16183000892147</v>
      </c>
      <c r="U35" s="31">
        <f>Rents!$C21-R35</f>
        <v>78.665899664289327</v>
      </c>
      <c r="V35" s="31">
        <f>Rents!$C21-S35</f>
        <v>48.105645745286438</v>
      </c>
      <c r="W35" s="31">
        <f>T35*$X$39</f>
        <v>216.28263872379878</v>
      </c>
      <c r="X35" s="31">
        <f t="shared" ref="X35" si="10">U35*$X$39</f>
        <v>128.73662808562483</v>
      </c>
      <c r="Y35" s="31">
        <f>V35*$X$39</f>
        <v>78.72481788879962</v>
      </c>
      <c r="Z35" s="31">
        <f t="shared" si="6"/>
        <v>20974.584671523138</v>
      </c>
      <c r="AA35" s="31"/>
    </row>
    <row r="37" spans="1:27" x14ac:dyDescent="0.45">
      <c r="B37" s="38"/>
      <c r="C37" s="38"/>
      <c r="D37" s="8" t="s">
        <v>70</v>
      </c>
      <c r="E37" s="29" t="s">
        <v>72</v>
      </c>
      <c r="F37" s="29"/>
      <c r="G37" s="29"/>
      <c r="H37" s="29"/>
      <c r="I37" s="29"/>
      <c r="N37" t="s">
        <v>87</v>
      </c>
      <c r="O37" s="12" t="s">
        <v>89</v>
      </c>
      <c r="P37" t="s">
        <v>88</v>
      </c>
      <c r="Q37" s="1" t="s">
        <v>90</v>
      </c>
      <c r="R37" s="1" t="s">
        <v>91</v>
      </c>
      <c r="S37" s="1" t="s">
        <v>95</v>
      </c>
      <c r="U37" s="31"/>
      <c r="V37" s="31"/>
      <c r="W37" t="s">
        <v>105</v>
      </c>
      <c r="X37" t="s">
        <v>106</v>
      </c>
      <c r="Y37" t="s">
        <v>107</v>
      </c>
    </row>
    <row r="38" spans="1:27" x14ac:dyDescent="0.45">
      <c r="E38" t="s">
        <v>63</v>
      </c>
      <c r="O38" s="12"/>
      <c r="U38" s="31"/>
      <c r="V38" s="31"/>
      <c r="W38" t="s">
        <v>108</v>
      </c>
      <c r="X38" s="37">
        <v>45566</v>
      </c>
      <c r="Y38" t="s">
        <v>109</v>
      </c>
    </row>
    <row r="39" spans="1:27" x14ac:dyDescent="0.45">
      <c r="E39" t="s">
        <v>71</v>
      </c>
      <c r="O39" s="12"/>
      <c r="U39" s="31"/>
      <c r="V39" s="31"/>
      <c r="W39" t="s">
        <v>110</v>
      </c>
      <c r="X39" s="8">
        <f>2206/1348</f>
        <v>1.6364985163204748</v>
      </c>
    </row>
    <row r="40" spans="1:27" x14ac:dyDescent="0.45">
      <c r="O40" s="12"/>
      <c r="U40" s="31"/>
      <c r="V40" s="31"/>
    </row>
    <row r="41" spans="1:27" x14ac:dyDescent="0.45">
      <c r="O41" s="12"/>
      <c r="U41" s="31"/>
      <c r="V41" s="31"/>
    </row>
    <row r="42" spans="1:27" x14ac:dyDescent="0.45">
      <c r="O42" s="12"/>
      <c r="U42" s="31"/>
    </row>
    <row r="43" spans="1:27" x14ac:dyDescent="0.45">
      <c r="O43" s="12"/>
      <c r="U43" s="31"/>
    </row>
    <row r="44" spans="1:27" x14ac:dyDescent="0.45">
      <c r="O44" s="12"/>
      <c r="U44" s="31"/>
    </row>
    <row r="52" spans="2:8" ht="15" x14ac:dyDescent="0.45">
      <c r="F52" s="35"/>
      <c r="G52" s="30"/>
      <c r="H52" s="34"/>
    </row>
    <row r="53" spans="2:8" ht="15" x14ac:dyDescent="0.45">
      <c r="B53" t="s">
        <v>64</v>
      </c>
      <c r="C53" t="s">
        <v>65</v>
      </c>
      <c r="G53" s="30"/>
      <c r="H53" s="34"/>
    </row>
    <row r="54" spans="2:8" x14ac:dyDescent="0.45">
      <c r="B54" t="s">
        <v>66</v>
      </c>
      <c r="C54" t="s">
        <v>67</v>
      </c>
      <c r="D54" t="s">
        <v>68</v>
      </c>
    </row>
    <row r="55" spans="2:8" x14ac:dyDescent="0.45">
      <c r="B55" t="s">
        <v>69</v>
      </c>
    </row>
    <row r="56" spans="2:8" x14ac:dyDescent="0.45">
      <c r="F56" t="s">
        <v>62</v>
      </c>
    </row>
    <row r="57" spans="2:8" x14ac:dyDescent="0.45">
      <c r="F57" t="s">
        <v>77</v>
      </c>
    </row>
    <row r="58" spans="2:8" x14ac:dyDescent="0.45">
      <c r="F58" t="s">
        <v>83</v>
      </c>
    </row>
    <row r="59" spans="2:8" x14ac:dyDescent="0.45">
      <c r="F59" t="s">
        <v>78</v>
      </c>
    </row>
    <row r="60" spans="2:8" x14ac:dyDescent="0.45">
      <c r="F60" t="s">
        <v>82</v>
      </c>
    </row>
    <row r="61" spans="2:8" x14ac:dyDescent="0.45">
      <c r="F61" t="s">
        <v>73</v>
      </c>
    </row>
    <row r="62" spans="2:8" x14ac:dyDescent="0.45">
      <c r="F62" t="s">
        <v>74</v>
      </c>
    </row>
    <row r="63" spans="2:8" x14ac:dyDescent="0.45">
      <c r="F63" s="33" t="s">
        <v>79</v>
      </c>
    </row>
    <row r="64" spans="2:8" x14ac:dyDescent="0.45">
      <c r="F64" t="s">
        <v>80</v>
      </c>
    </row>
  </sheetData>
  <pageMargins left="0.7" right="0.7" top="0.75" bottom="0.75" header="0.3" footer="0.3"/>
  <pageSetup paperSize="9" orientation="portrait" r:id="rId1"/>
  <headerFooter>
    <oddHeader>&amp;C&amp;"Calibri"&amp;10&amp;K000000 OFFICIAL&amp;1#_x000D_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7B75-5E39-4C80-BF35-197ED4336655}">
  <dimension ref="A1:O143"/>
  <sheetViews>
    <sheetView topLeftCell="A24" workbookViewId="0">
      <selection activeCell="A41" sqref="A41"/>
    </sheetView>
  </sheetViews>
  <sheetFormatPr defaultColWidth="8.796875" defaultRowHeight="14.25" x14ac:dyDescent="0.45"/>
  <cols>
    <col min="3" max="3" width="10.6640625" customWidth="1"/>
    <col min="4" max="4" width="12.6640625" bestFit="1" customWidth="1"/>
    <col min="5" max="5" width="15" bestFit="1" customWidth="1"/>
    <col min="6" max="6" width="14.33203125" bestFit="1" customWidth="1"/>
    <col min="7" max="7" width="17.1328125" bestFit="1" customWidth="1"/>
    <col min="8" max="8" width="23.6640625" customWidth="1"/>
    <col min="9" max="9" width="22.46484375" customWidth="1"/>
    <col min="10" max="10" width="21.46484375" customWidth="1"/>
    <col min="11" max="11" width="16.33203125" bestFit="1" customWidth="1"/>
    <col min="12" max="12" width="21.46484375" customWidth="1"/>
    <col min="13" max="13" width="21.6640625" customWidth="1"/>
    <col min="14" max="14" width="18.46484375" bestFit="1" customWidth="1"/>
    <col min="15" max="15" width="14.33203125" bestFit="1" customWidth="1"/>
  </cols>
  <sheetData>
    <row r="1" spans="1:15" x14ac:dyDescent="0.45">
      <c r="A1" s="1" t="s">
        <v>0</v>
      </c>
      <c r="B1" s="1" t="s">
        <v>41</v>
      </c>
      <c r="C1" s="1" t="s">
        <v>43</v>
      </c>
      <c r="D1" s="1" t="s">
        <v>42</v>
      </c>
      <c r="E1" s="1" t="s">
        <v>44</v>
      </c>
      <c r="F1" s="1" t="s">
        <v>45</v>
      </c>
      <c r="G1" s="1" t="s">
        <v>46</v>
      </c>
      <c r="H1" s="1" t="s">
        <v>48</v>
      </c>
      <c r="I1" s="1" t="s">
        <v>47</v>
      </c>
      <c r="J1" s="1" t="s">
        <v>49</v>
      </c>
      <c r="K1" s="1" t="s">
        <v>51</v>
      </c>
      <c r="L1" s="1" t="s">
        <v>50</v>
      </c>
      <c r="M1" s="1" t="s">
        <v>52</v>
      </c>
      <c r="N1" s="1" t="s">
        <v>113</v>
      </c>
      <c r="O1" s="1" t="s">
        <v>114</v>
      </c>
    </row>
    <row r="2" spans="1:15" ht="14.65" x14ac:dyDescent="0.5">
      <c r="A2" s="27">
        <v>1991</v>
      </c>
      <c r="B2" s="27" t="s">
        <v>222</v>
      </c>
      <c r="C2" s="42">
        <v>-30</v>
      </c>
      <c r="D2" s="8">
        <v>44000</v>
      </c>
      <c r="E2" s="25">
        <v>47875000</v>
      </c>
      <c r="F2" s="25">
        <v>57438700</v>
      </c>
      <c r="G2" s="28">
        <f>D2*(E2/F2)</f>
        <v>36673.880153972845</v>
      </c>
      <c r="H2" s="28">
        <f>G2</f>
        <v>36673.880153972845</v>
      </c>
      <c r="I2" s="28">
        <f>E2-H2</f>
        <v>47838326.119846024</v>
      </c>
    </row>
    <row r="3" spans="1:15" ht="14.65" x14ac:dyDescent="0.5">
      <c r="A3" s="27">
        <v>1992</v>
      </c>
      <c r="B3" s="27" t="s">
        <v>222</v>
      </c>
      <c r="C3" s="42">
        <v>-10</v>
      </c>
      <c r="D3" s="8">
        <v>-13000</v>
      </c>
      <c r="E3" s="25">
        <v>47998000</v>
      </c>
      <c r="F3" s="25">
        <v>57584500</v>
      </c>
      <c r="G3" s="28">
        <f t="shared" ref="G3" si="0">D3*(E3/F3)</f>
        <v>-10835.797827540397</v>
      </c>
      <c r="H3" s="28">
        <f t="shared" ref="H3:H34" si="1">H2+G3</f>
        <v>25838.08232643245</v>
      </c>
      <c r="I3" s="28">
        <f>E3-H3</f>
        <v>47972161.917673565</v>
      </c>
    </row>
    <row r="4" spans="1:15" ht="14.65" x14ac:dyDescent="0.5">
      <c r="A4" s="27">
        <v>1993</v>
      </c>
      <c r="B4" s="27" t="s">
        <v>222</v>
      </c>
      <c r="C4" s="42">
        <f t="shared" ref="C4:C35" si="2">D4/1000</f>
        <v>-1</v>
      </c>
      <c r="D4" s="25">
        <v>-1000</v>
      </c>
      <c r="E4" s="25">
        <v>48102300</v>
      </c>
      <c r="F4" s="25">
        <v>57713900</v>
      </c>
      <c r="G4" s="28">
        <f t="shared" ref="G4:G31" si="3">D4*(E4/F4)</f>
        <v>-833.46126323121462</v>
      </c>
      <c r="H4" s="28">
        <f t="shared" si="1"/>
        <v>25004.621063201237</v>
      </c>
      <c r="I4" s="28">
        <f t="shared" ref="I4:I31" si="4">E4-H4</f>
        <v>48077295.378936797</v>
      </c>
    </row>
    <row r="5" spans="1:15" ht="14.65" x14ac:dyDescent="0.5">
      <c r="A5" s="27">
        <v>1994</v>
      </c>
      <c r="B5" s="27" t="s">
        <v>222</v>
      </c>
      <c r="C5" s="42">
        <f t="shared" si="2"/>
        <v>77</v>
      </c>
      <c r="D5" s="25">
        <v>77000</v>
      </c>
      <c r="E5" s="25">
        <v>48228800</v>
      </c>
      <c r="F5" s="25">
        <v>57862100</v>
      </c>
      <c r="G5" s="28">
        <f t="shared" si="3"/>
        <v>64180.484289370768</v>
      </c>
      <c r="H5" s="28">
        <f t="shared" si="1"/>
        <v>89185.105352572005</v>
      </c>
      <c r="I5" s="28">
        <f t="shared" si="4"/>
        <v>48139614.894647427</v>
      </c>
    </row>
    <row r="6" spans="1:15" ht="14.65" x14ac:dyDescent="0.5">
      <c r="A6" s="27">
        <v>1995</v>
      </c>
      <c r="B6" s="27" t="s">
        <v>222</v>
      </c>
      <c r="C6" s="42">
        <f t="shared" si="2"/>
        <v>76</v>
      </c>
      <c r="D6" s="25">
        <v>76000</v>
      </c>
      <c r="E6" s="25">
        <v>48383500</v>
      </c>
      <c r="F6" s="25">
        <v>58024800</v>
      </c>
      <c r="G6" s="28">
        <f t="shared" si="3"/>
        <v>63371.971984392883</v>
      </c>
      <c r="H6" s="28">
        <f t="shared" si="1"/>
        <v>152557.0773369649</v>
      </c>
      <c r="I6" s="28">
        <f t="shared" si="4"/>
        <v>48230942.922663033</v>
      </c>
    </row>
    <row r="7" spans="1:15" ht="14.65" x14ac:dyDescent="0.5">
      <c r="A7" s="27">
        <v>1996</v>
      </c>
      <c r="B7" s="27" t="s">
        <v>222</v>
      </c>
      <c r="C7" s="42">
        <f t="shared" si="2"/>
        <v>55</v>
      </c>
      <c r="D7" s="25">
        <v>55000</v>
      </c>
      <c r="E7" s="25">
        <v>48519100</v>
      </c>
      <c r="F7" s="25">
        <v>58164400</v>
      </c>
      <c r="G7" s="28">
        <f t="shared" si="3"/>
        <v>45879.446878159149</v>
      </c>
      <c r="H7" s="28">
        <f t="shared" si="1"/>
        <v>198436.52421512405</v>
      </c>
      <c r="I7" s="28">
        <f t="shared" si="4"/>
        <v>48320663.475784875</v>
      </c>
    </row>
    <row r="8" spans="1:15" ht="14.65" x14ac:dyDescent="0.5">
      <c r="A8" s="27">
        <v>1997</v>
      </c>
      <c r="B8" s="27" t="s">
        <v>222</v>
      </c>
      <c r="C8" s="42">
        <f t="shared" si="2"/>
        <v>48</v>
      </c>
      <c r="D8" s="25">
        <v>48000</v>
      </c>
      <c r="E8" s="25">
        <v>48664800</v>
      </c>
      <c r="F8" s="25">
        <v>58314200</v>
      </c>
      <c r="G8" s="28">
        <f t="shared" si="3"/>
        <v>40057.317085718401</v>
      </c>
      <c r="H8" s="28">
        <f t="shared" si="1"/>
        <v>238493.84130084247</v>
      </c>
      <c r="I8" s="28">
        <f t="shared" si="4"/>
        <v>48426306.158699155</v>
      </c>
    </row>
    <row r="9" spans="1:15" ht="14.65" x14ac:dyDescent="0.5">
      <c r="A9" s="27">
        <v>1998</v>
      </c>
      <c r="B9" s="27" t="s">
        <v>222</v>
      </c>
      <c r="C9" s="42">
        <f t="shared" si="2"/>
        <v>140</v>
      </c>
      <c r="D9" s="25">
        <v>140000</v>
      </c>
      <c r="E9" s="25">
        <v>48820600</v>
      </c>
      <c r="F9" s="25">
        <v>58474900</v>
      </c>
      <c r="G9" s="28">
        <f t="shared" si="3"/>
        <v>116885.77492223159</v>
      </c>
      <c r="H9" s="28">
        <f t="shared" si="1"/>
        <v>355379.61622307403</v>
      </c>
      <c r="I9" s="28">
        <f t="shared" si="4"/>
        <v>48465220.383776926</v>
      </c>
    </row>
    <row r="10" spans="1:15" ht="14.65" x14ac:dyDescent="0.5">
      <c r="A10" s="27">
        <v>1999</v>
      </c>
      <c r="B10" s="27" t="s">
        <v>222</v>
      </c>
      <c r="C10" s="42">
        <f t="shared" si="2"/>
        <v>163</v>
      </c>
      <c r="D10" s="25">
        <v>163000</v>
      </c>
      <c r="E10" s="25">
        <v>49032900</v>
      </c>
      <c r="F10" s="25">
        <v>58684400</v>
      </c>
      <c r="G10" s="28">
        <f t="shared" si="3"/>
        <v>136192.28789933951</v>
      </c>
      <c r="H10" s="28">
        <f t="shared" si="1"/>
        <v>491571.90412241354</v>
      </c>
      <c r="I10" s="28">
        <f t="shared" si="4"/>
        <v>48541328.095877588</v>
      </c>
    </row>
    <row r="11" spans="1:15" ht="14.65" x14ac:dyDescent="0.5">
      <c r="A11" s="27">
        <v>2000</v>
      </c>
      <c r="B11" s="27" t="s">
        <v>222</v>
      </c>
      <c r="C11" s="42">
        <f t="shared" si="2"/>
        <v>158</v>
      </c>
      <c r="D11" s="25">
        <v>158000</v>
      </c>
      <c r="E11" s="25">
        <v>49233300</v>
      </c>
      <c r="F11" s="25">
        <v>58886100</v>
      </c>
      <c r="G11" s="28">
        <f t="shared" si="3"/>
        <v>132100.12889289664</v>
      </c>
      <c r="H11" s="28">
        <f t="shared" si="1"/>
        <v>623672.03301531018</v>
      </c>
      <c r="I11" s="28">
        <f t="shared" si="4"/>
        <v>48609627.966984689</v>
      </c>
    </row>
    <row r="12" spans="1:15" ht="14.65" x14ac:dyDescent="0.5">
      <c r="A12" s="27">
        <v>2001</v>
      </c>
      <c r="B12" s="27" t="s">
        <v>222</v>
      </c>
      <c r="C12" s="42">
        <f t="shared" si="2"/>
        <v>179</v>
      </c>
      <c r="D12" s="25">
        <v>179000</v>
      </c>
      <c r="E12" s="25">
        <v>49449700</v>
      </c>
      <c r="F12" s="25">
        <v>59113000</v>
      </c>
      <c r="G12" s="28">
        <f t="shared" si="3"/>
        <v>149738.57357941568</v>
      </c>
      <c r="H12" s="28">
        <f t="shared" si="1"/>
        <v>773410.60659472586</v>
      </c>
      <c r="I12" s="28">
        <f t="shared" si="4"/>
        <v>48676289.393405274</v>
      </c>
      <c r="J12" s="29">
        <f>G12</f>
        <v>149738.57357941568</v>
      </c>
      <c r="K12" s="29">
        <f>$E12-J12</f>
        <v>49299961.426420584</v>
      </c>
    </row>
    <row r="13" spans="1:15" ht="14.65" x14ac:dyDescent="0.5">
      <c r="A13" s="27">
        <v>2002</v>
      </c>
      <c r="B13" s="27" t="s">
        <v>222</v>
      </c>
      <c r="C13" s="42">
        <f t="shared" si="2"/>
        <v>172</v>
      </c>
      <c r="D13" s="25">
        <v>172000</v>
      </c>
      <c r="E13" s="25">
        <v>49679300</v>
      </c>
      <c r="F13" s="25">
        <v>59365700</v>
      </c>
      <c r="G13" s="28">
        <f t="shared" si="3"/>
        <v>143935.63286544252</v>
      </c>
      <c r="H13" s="28">
        <f t="shared" si="1"/>
        <v>917346.23946016841</v>
      </c>
      <c r="I13" s="28">
        <f t="shared" si="4"/>
        <v>48761953.76053983</v>
      </c>
      <c r="J13" s="29">
        <f>J12+G13</f>
        <v>293674.20644485822</v>
      </c>
      <c r="K13" s="29">
        <f t="shared" ref="K13:K31" si="5">E13-J13</f>
        <v>49385625.79355514</v>
      </c>
    </row>
    <row r="14" spans="1:15" ht="14.65" x14ac:dyDescent="0.5">
      <c r="A14" s="27">
        <v>2003</v>
      </c>
      <c r="B14" s="27" t="s">
        <v>222</v>
      </c>
      <c r="C14" s="42">
        <f t="shared" si="2"/>
        <v>185</v>
      </c>
      <c r="D14" s="25">
        <v>185000</v>
      </c>
      <c r="E14" s="25">
        <v>49925500</v>
      </c>
      <c r="F14" s="25">
        <v>59636700</v>
      </c>
      <c r="G14" s="28">
        <f t="shared" si="3"/>
        <v>154874.7247919486</v>
      </c>
      <c r="H14" s="28">
        <f t="shared" si="1"/>
        <v>1072220.9642521171</v>
      </c>
      <c r="I14" s="28">
        <f t="shared" si="4"/>
        <v>48853279.035747886</v>
      </c>
      <c r="J14" s="29">
        <f>J13+G14</f>
        <v>448548.93123680679</v>
      </c>
      <c r="K14" s="29">
        <f t="shared" si="5"/>
        <v>49476951.068763196</v>
      </c>
    </row>
    <row r="15" spans="1:15" ht="14.65" x14ac:dyDescent="0.5">
      <c r="A15" s="27">
        <v>2004</v>
      </c>
      <c r="B15" s="27" t="s">
        <v>222</v>
      </c>
      <c r="C15" s="42">
        <f t="shared" si="2"/>
        <v>268</v>
      </c>
      <c r="D15" s="25">
        <v>268000</v>
      </c>
      <c r="E15" s="25">
        <v>50194600</v>
      </c>
      <c r="F15" s="25">
        <v>59950400</v>
      </c>
      <c r="G15" s="28">
        <f t="shared" si="3"/>
        <v>224388.04078037845</v>
      </c>
      <c r="H15" s="28">
        <f t="shared" si="1"/>
        <v>1296609.0050324956</v>
      </c>
      <c r="I15" s="28">
        <f t="shared" si="4"/>
        <v>48897990.994967505</v>
      </c>
      <c r="J15" s="29">
        <f t="shared" ref="J15:J33" si="6">J14+G15</f>
        <v>672936.9720171853</v>
      </c>
      <c r="K15" s="29">
        <f t="shared" si="5"/>
        <v>49521663.027982816</v>
      </c>
    </row>
    <row r="16" spans="1:15" ht="14.65" x14ac:dyDescent="0.5">
      <c r="A16" s="27">
        <v>2005</v>
      </c>
      <c r="B16" s="27" t="s">
        <v>222</v>
      </c>
      <c r="C16" s="42">
        <f t="shared" si="2"/>
        <v>267</v>
      </c>
      <c r="D16" s="25">
        <v>267000</v>
      </c>
      <c r="E16" s="25">
        <v>50606000</v>
      </c>
      <c r="F16" s="25">
        <v>60413300</v>
      </c>
      <c r="G16" s="28">
        <f t="shared" si="3"/>
        <v>223656.08235272695</v>
      </c>
      <c r="H16" s="28">
        <f t="shared" si="1"/>
        <v>1520265.0873852225</v>
      </c>
      <c r="I16" s="28">
        <f t="shared" si="4"/>
        <v>49085734.912614778</v>
      </c>
      <c r="J16" s="29">
        <f t="shared" si="6"/>
        <v>896593.05436991225</v>
      </c>
      <c r="K16" s="29">
        <f t="shared" si="5"/>
        <v>49709406.945630088</v>
      </c>
    </row>
    <row r="17" spans="1:15" ht="14.65" x14ac:dyDescent="0.5">
      <c r="A17" s="27">
        <v>2006</v>
      </c>
      <c r="B17" s="27" t="s">
        <v>222</v>
      </c>
      <c r="C17" s="42">
        <f t="shared" si="2"/>
        <v>265</v>
      </c>
      <c r="D17" s="25">
        <v>265000</v>
      </c>
      <c r="E17" s="25">
        <v>50965200</v>
      </c>
      <c r="F17" s="25">
        <v>60827100</v>
      </c>
      <c r="G17" s="28">
        <f t="shared" si="3"/>
        <v>222035.54007999724</v>
      </c>
      <c r="H17" s="28">
        <f t="shared" si="1"/>
        <v>1742300.6274652197</v>
      </c>
      <c r="I17" s="28">
        <f t="shared" si="4"/>
        <v>49222899.372534782</v>
      </c>
      <c r="J17" s="29">
        <f t="shared" si="6"/>
        <v>1118628.5944499094</v>
      </c>
      <c r="K17" s="29">
        <f t="shared" si="5"/>
        <v>49846571.405550092</v>
      </c>
    </row>
    <row r="18" spans="1:15" ht="14.65" x14ac:dyDescent="0.5">
      <c r="A18" s="27">
        <v>2007</v>
      </c>
      <c r="B18" s="27" t="s">
        <v>222</v>
      </c>
      <c r="C18" s="42">
        <f t="shared" si="2"/>
        <v>273</v>
      </c>
      <c r="D18" s="25">
        <v>273000</v>
      </c>
      <c r="E18" s="25">
        <v>51381100</v>
      </c>
      <c r="F18" s="25">
        <v>61319100</v>
      </c>
      <c r="G18" s="28">
        <f t="shared" si="3"/>
        <v>228754.83006110656</v>
      </c>
      <c r="H18" s="28">
        <f t="shared" si="1"/>
        <v>1971055.4575263262</v>
      </c>
      <c r="I18" s="28">
        <f t="shared" si="4"/>
        <v>49410044.542473674</v>
      </c>
      <c r="J18" s="29">
        <f t="shared" si="6"/>
        <v>1347383.4245110159</v>
      </c>
      <c r="K18" s="29">
        <f t="shared" si="5"/>
        <v>50033716.575488985</v>
      </c>
    </row>
    <row r="19" spans="1:15" ht="14.65" x14ac:dyDescent="0.5">
      <c r="A19" s="27">
        <v>2008</v>
      </c>
      <c r="B19" s="27" t="s">
        <v>222</v>
      </c>
      <c r="C19" s="42">
        <f t="shared" si="2"/>
        <v>229</v>
      </c>
      <c r="D19" s="25">
        <v>229000</v>
      </c>
      <c r="E19" s="25">
        <v>51815900</v>
      </c>
      <c r="F19" s="25">
        <v>61823800</v>
      </c>
      <c r="G19" s="28">
        <f t="shared" si="3"/>
        <v>191929.98651004952</v>
      </c>
      <c r="H19" s="28">
        <f t="shared" si="1"/>
        <v>2162985.4440363757</v>
      </c>
      <c r="I19" s="28">
        <f t="shared" si="4"/>
        <v>49652914.555963621</v>
      </c>
      <c r="J19" s="29">
        <f t="shared" si="6"/>
        <v>1539313.4110210654</v>
      </c>
      <c r="K19" s="29">
        <f t="shared" si="5"/>
        <v>50276586.588978931</v>
      </c>
    </row>
    <row r="20" spans="1:15" ht="14.65" x14ac:dyDescent="0.5">
      <c r="A20" s="27">
        <v>2009</v>
      </c>
      <c r="B20" s="27" t="s">
        <v>40</v>
      </c>
      <c r="C20" s="42">
        <f t="shared" si="2"/>
        <v>102.5</v>
      </c>
      <c r="D20" s="25">
        <f>205000/2</f>
        <v>102500</v>
      </c>
      <c r="E20" s="25">
        <v>52196400</v>
      </c>
      <c r="F20" s="25">
        <v>62260500</v>
      </c>
      <c r="G20" s="28">
        <f t="shared" si="3"/>
        <v>85931.385067578973</v>
      </c>
      <c r="H20" s="28">
        <f t="shared" si="1"/>
        <v>2248916.8291039546</v>
      </c>
      <c r="I20" s="28">
        <f t="shared" si="4"/>
        <v>49947483.170896046</v>
      </c>
      <c r="J20" s="29">
        <f t="shared" si="6"/>
        <v>1625244.7960886443</v>
      </c>
      <c r="K20" s="29">
        <f t="shared" si="5"/>
        <v>50571155.203911357</v>
      </c>
    </row>
    <row r="21" spans="1:15" ht="14.65" x14ac:dyDescent="0.5">
      <c r="A21" s="27">
        <v>2010</v>
      </c>
      <c r="B21" s="27" t="s">
        <v>40</v>
      </c>
      <c r="C21" s="42">
        <f t="shared" si="2"/>
        <v>244</v>
      </c>
      <c r="D21" s="25">
        <v>244000</v>
      </c>
      <c r="E21" s="25">
        <v>52642500</v>
      </c>
      <c r="F21" s="25">
        <v>62759500</v>
      </c>
      <c r="G21" s="28">
        <f t="shared" si="3"/>
        <v>204666.54450720607</v>
      </c>
      <c r="H21" s="28">
        <f t="shared" si="1"/>
        <v>2453583.3736111606</v>
      </c>
      <c r="I21" s="28">
        <f t="shared" si="4"/>
        <v>50188916.62638884</v>
      </c>
      <c r="J21" s="29">
        <f t="shared" si="6"/>
        <v>1829911.3405958503</v>
      </c>
      <c r="K21" s="29">
        <f t="shared" si="5"/>
        <v>50812588.659404151</v>
      </c>
    </row>
    <row r="22" spans="1:15" ht="14.65" x14ac:dyDescent="0.5">
      <c r="A22" s="27">
        <v>2011</v>
      </c>
      <c r="B22" s="27" t="s">
        <v>40</v>
      </c>
      <c r="C22" s="42">
        <f t="shared" si="2"/>
        <v>283</v>
      </c>
      <c r="D22" s="25">
        <v>283000</v>
      </c>
      <c r="E22" s="25">
        <v>53107200</v>
      </c>
      <c r="F22" s="25">
        <v>63285100</v>
      </c>
      <c r="G22" s="28">
        <f t="shared" si="3"/>
        <v>237486.1950127281</v>
      </c>
      <c r="H22" s="28">
        <f t="shared" si="1"/>
        <v>2691069.5686238888</v>
      </c>
      <c r="I22" s="28">
        <f t="shared" si="4"/>
        <v>50416130.431376114</v>
      </c>
      <c r="J22" s="29">
        <f t="shared" si="6"/>
        <v>2067397.5356085785</v>
      </c>
      <c r="K22" s="29">
        <f t="shared" si="5"/>
        <v>51039802.464391425</v>
      </c>
    </row>
    <row r="23" spans="1:15" ht="14.65" x14ac:dyDescent="0.5">
      <c r="A23" s="27">
        <v>2012</v>
      </c>
      <c r="B23" s="27" t="s">
        <v>40</v>
      </c>
      <c r="C23" s="42">
        <f t="shared" si="2"/>
        <v>162</v>
      </c>
      <c r="D23" s="25">
        <v>162000</v>
      </c>
      <c r="E23" s="25">
        <v>53506800</v>
      </c>
      <c r="F23" s="25">
        <v>63710800</v>
      </c>
      <c r="G23" s="28">
        <f t="shared" si="3"/>
        <v>136053.88097465422</v>
      </c>
      <c r="H23" s="28">
        <f t="shared" si="1"/>
        <v>2827123.4495985429</v>
      </c>
      <c r="I23" s="28">
        <f t="shared" si="4"/>
        <v>50679676.550401457</v>
      </c>
      <c r="J23" s="29">
        <f t="shared" si="6"/>
        <v>2203451.4165832326</v>
      </c>
      <c r="K23" s="29">
        <f t="shared" si="5"/>
        <v>51303348.583416767</v>
      </c>
    </row>
    <row r="24" spans="1:15" ht="14.65" x14ac:dyDescent="0.5">
      <c r="A24" s="27">
        <v>2013</v>
      </c>
      <c r="B24" s="27" t="s">
        <v>40</v>
      </c>
      <c r="C24" s="42">
        <f t="shared" si="2"/>
        <v>215</v>
      </c>
      <c r="D24" s="25">
        <v>215000</v>
      </c>
      <c r="E24" s="25">
        <v>53918700</v>
      </c>
      <c r="F24" s="25">
        <v>64138700</v>
      </c>
      <c r="G24" s="28">
        <f t="shared" si="3"/>
        <v>180741.43223981778</v>
      </c>
      <c r="H24" s="28">
        <f t="shared" si="1"/>
        <v>3007864.8818383608</v>
      </c>
      <c r="I24" s="28">
        <f t="shared" si="4"/>
        <v>50910835.118161641</v>
      </c>
      <c r="J24" s="29">
        <f t="shared" si="6"/>
        <v>2384192.8488230505</v>
      </c>
      <c r="K24" s="29">
        <f t="shared" si="5"/>
        <v>51534507.151176952</v>
      </c>
    </row>
    <row r="25" spans="1:15" ht="14.65" x14ac:dyDescent="0.5">
      <c r="A25" s="27">
        <v>2014</v>
      </c>
      <c r="B25" s="27" t="s">
        <v>40</v>
      </c>
      <c r="C25" s="42">
        <f t="shared" si="2"/>
        <v>248</v>
      </c>
      <c r="D25" s="25">
        <v>248000</v>
      </c>
      <c r="E25" s="25">
        <v>54370300</v>
      </c>
      <c r="F25" s="25">
        <v>64619500</v>
      </c>
      <c r="G25" s="28">
        <f t="shared" si="3"/>
        <v>208665.09954425521</v>
      </c>
      <c r="H25" s="28">
        <f t="shared" si="1"/>
        <v>3216529.9813826159</v>
      </c>
      <c r="I25" s="28">
        <f t="shared" si="4"/>
        <v>51153770.018617384</v>
      </c>
      <c r="J25" s="29">
        <f t="shared" si="6"/>
        <v>2592857.9483673056</v>
      </c>
      <c r="K25" s="29">
        <f t="shared" si="5"/>
        <v>51777442.051632695</v>
      </c>
      <c r="L25" s="29">
        <f>G25</f>
        <v>208665.09954425521</v>
      </c>
      <c r="M25" s="29">
        <f>$E25-L25</f>
        <v>54161634.900455743</v>
      </c>
    </row>
    <row r="26" spans="1:15" ht="14.65" x14ac:dyDescent="0.5">
      <c r="A26" s="27">
        <v>2015</v>
      </c>
      <c r="B26" s="27" t="s">
        <v>40</v>
      </c>
      <c r="C26" s="42">
        <f t="shared" si="2"/>
        <v>296</v>
      </c>
      <c r="D26" s="25">
        <v>296000</v>
      </c>
      <c r="E26" s="25">
        <v>54808700</v>
      </c>
      <c r="F26" s="25">
        <v>65088100</v>
      </c>
      <c r="G26" s="28">
        <f t="shared" si="3"/>
        <v>249252.55461443798</v>
      </c>
      <c r="H26" s="28">
        <f t="shared" si="1"/>
        <v>3465782.5359970536</v>
      </c>
      <c r="I26" s="28">
        <f t="shared" si="4"/>
        <v>51342917.464002945</v>
      </c>
      <c r="J26" s="29">
        <f t="shared" si="6"/>
        <v>2842110.5029817438</v>
      </c>
      <c r="K26" s="29">
        <f t="shared" si="5"/>
        <v>51966589.497018255</v>
      </c>
      <c r="L26" s="29">
        <f>G26+L25</f>
        <v>457917.65415869316</v>
      </c>
      <c r="M26" s="29">
        <f t="shared" ref="M26:M31" si="7">$E26-L26</f>
        <v>54350782.345841303</v>
      </c>
    </row>
    <row r="27" spans="1:15" ht="14.65" x14ac:dyDescent="0.5">
      <c r="A27" s="27">
        <v>2016</v>
      </c>
      <c r="B27" s="27" t="s">
        <v>40</v>
      </c>
      <c r="C27" s="42">
        <f t="shared" si="2"/>
        <v>321</v>
      </c>
      <c r="D27" s="25">
        <v>321000</v>
      </c>
      <c r="E27" s="25">
        <v>55289000</v>
      </c>
      <c r="F27" s="25">
        <v>65607100</v>
      </c>
      <c r="G27" s="28">
        <f t="shared" si="3"/>
        <v>270515.98073988943</v>
      </c>
      <c r="H27" s="28">
        <f t="shared" si="1"/>
        <v>3736298.5167369433</v>
      </c>
      <c r="I27" s="28">
        <f t="shared" si="4"/>
        <v>51552701.48326306</v>
      </c>
      <c r="J27" s="29">
        <f t="shared" si="6"/>
        <v>3112626.4837216334</v>
      </c>
      <c r="K27" s="29">
        <f t="shared" si="5"/>
        <v>52176373.516278364</v>
      </c>
      <c r="L27" s="29">
        <f>G27+L26</f>
        <v>728433.63489858259</v>
      </c>
      <c r="M27" s="29">
        <f t="shared" si="7"/>
        <v>54560566.365101419</v>
      </c>
    </row>
    <row r="28" spans="1:15" ht="14.65" x14ac:dyDescent="0.5">
      <c r="A28" s="27">
        <v>2017</v>
      </c>
      <c r="B28" s="27" t="s">
        <v>40</v>
      </c>
      <c r="C28" s="42">
        <f t="shared" si="2"/>
        <v>200</v>
      </c>
      <c r="D28" s="25">
        <v>200000</v>
      </c>
      <c r="E28" s="25">
        <v>55619500</v>
      </c>
      <c r="F28" s="25">
        <v>65966000</v>
      </c>
      <c r="G28" s="28">
        <f t="shared" si="3"/>
        <v>168630.80981111483</v>
      </c>
      <c r="H28" s="28">
        <f t="shared" si="1"/>
        <v>3904929.3265480581</v>
      </c>
      <c r="I28" s="28">
        <f t="shared" si="4"/>
        <v>51714570.673451945</v>
      </c>
      <c r="J28" s="29">
        <f t="shared" si="6"/>
        <v>3281257.2935327482</v>
      </c>
      <c r="K28" s="29">
        <f t="shared" si="5"/>
        <v>52338242.706467248</v>
      </c>
      <c r="L28" s="29">
        <f>G28+L27</f>
        <v>897064.44470969739</v>
      </c>
      <c r="M28" s="29">
        <f t="shared" si="7"/>
        <v>54722435.555290304</v>
      </c>
    </row>
    <row r="29" spans="1:15" ht="14.65" x14ac:dyDescent="0.5">
      <c r="A29" s="27">
        <v>2018</v>
      </c>
      <c r="B29" s="27" t="s">
        <v>40</v>
      </c>
      <c r="C29" s="42">
        <f t="shared" si="2"/>
        <v>216</v>
      </c>
      <c r="D29" s="25">
        <v>216000</v>
      </c>
      <c r="E29" s="25">
        <v>55924500</v>
      </c>
      <c r="F29" s="25">
        <v>66288900</v>
      </c>
      <c r="G29" s="28">
        <f t="shared" si="3"/>
        <v>182227.97481931365</v>
      </c>
      <c r="H29" s="28">
        <f t="shared" si="1"/>
        <v>4087157.3013673718</v>
      </c>
      <c r="I29" s="28">
        <f t="shared" si="4"/>
        <v>51837342.698632628</v>
      </c>
      <c r="J29" s="29">
        <f t="shared" si="6"/>
        <v>3463485.268352062</v>
      </c>
      <c r="K29" s="29">
        <f t="shared" si="5"/>
        <v>52461014.731647938</v>
      </c>
      <c r="L29" s="29">
        <f>G29+L28</f>
        <v>1079292.419529011</v>
      </c>
      <c r="M29" s="29">
        <f t="shared" si="7"/>
        <v>54845207.580470987</v>
      </c>
    </row>
    <row r="30" spans="1:15" ht="14.65" x14ac:dyDescent="0.5">
      <c r="A30" s="27">
        <v>2019</v>
      </c>
      <c r="B30" s="27" t="s">
        <v>40</v>
      </c>
      <c r="C30" s="42">
        <f t="shared" si="2"/>
        <v>224</v>
      </c>
      <c r="D30" s="25">
        <v>224000</v>
      </c>
      <c r="E30" s="25">
        <v>56230100</v>
      </c>
      <c r="F30" s="25">
        <v>66630700</v>
      </c>
      <c r="G30" s="28">
        <f t="shared" si="3"/>
        <v>189035.1204474814</v>
      </c>
      <c r="H30" s="28">
        <f t="shared" si="1"/>
        <v>4276192.4218148533</v>
      </c>
      <c r="I30" s="28">
        <f t="shared" si="4"/>
        <v>51953907.578185149</v>
      </c>
      <c r="J30" s="29">
        <f t="shared" si="6"/>
        <v>3652520.3887995435</v>
      </c>
      <c r="K30" s="29">
        <f t="shared" si="5"/>
        <v>52577579.611200459</v>
      </c>
      <c r="L30" s="29">
        <f>G30+L29</f>
        <v>1268327.5399764925</v>
      </c>
      <c r="M30" s="29">
        <f t="shared" si="7"/>
        <v>54961772.460023507</v>
      </c>
    </row>
    <row r="31" spans="1:15" ht="14.65" x14ac:dyDescent="0.5">
      <c r="A31" s="27">
        <v>2020</v>
      </c>
      <c r="B31" s="27" t="s">
        <v>40</v>
      </c>
      <c r="C31" s="42">
        <f t="shared" si="2"/>
        <v>111</v>
      </c>
      <c r="D31" s="25">
        <v>111000</v>
      </c>
      <c r="E31" s="25">
        <v>56326000</v>
      </c>
      <c r="F31" s="25">
        <v>66744100</v>
      </c>
      <c r="G31" s="28">
        <f t="shared" si="3"/>
        <v>93673.987663329041</v>
      </c>
      <c r="H31" s="28">
        <f t="shared" si="1"/>
        <v>4369866.409478182</v>
      </c>
      <c r="I31" s="28">
        <f t="shared" si="4"/>
        <v>51956133.59052182</v>
      </c>
      <c r="J31" s="29">
        <f t="shared" si="6"/>
        <v>3746194.3764628726</v>
      </c>
      <c r="K31" s="29">
        <f t="shared" si="5"/>
        <v>52579805.623537131</v>
      </c>
      <c r="L31" s="29">
        <f t="shared" ref="L31:L33" si="8">G31+L30</f>
        <v>1362001.5276398216</v>
      </c>
      <c r="M31" s="29">
        <f t="shared" si="7"/>
        <v>54963998.472360179</v>
      </c>
    </row>
    <row r="32" spans="1:15" ht="14.65" x14ac:dyDescent="0.5">
      <c r="A32" s="27">
        <v>2021</v>
      </c>
      <c r="B32" s="27" t="s">
        <v>40</v>
      </c>
      <c r="C32" s="42">
        <f t="shared" si="2"/>
        <v>254</v>
      </c>
      <c r="D32" s="25">
        <v>254000</v>
      </c>
      <c r="E32" s="25">
        <v>56554900</v>
      </c>
      <c r="F32" s="25">
        <v>66983500</v>
      </c>
      <c r="G32" s="28">
        <f>D32*(E32/F32)</f>
        <v>214454.97174677346</v>
      </c>
      <c r="H32" s="28">
        <f t="shared" si="1"/>
        <v>4584321.3812249554</v>
      </c>
      <c r="I32" s="28">
        <f>E32-H32</f>
        <v>51970578.618775047</v>
      </c>
      <c r="J32" s="29">
        <f t="shared" si="6"/>
        <v>3960649.3482096461</v>
      </c>
      <c r="K32" s="29">
        <f>E32-J32</f>
        <v>52594250.651790351</v>
      </c>
      <c r="L32" s="29">
        <f t="shared" si="8"/>
        <v>1576456.4993865951</v>
      </c>
      <c r="M32" s="29">
        <f>$E32-L32</f>
        <v>54978443.500613406</v>
      </c>
      <c r="N32" s="29">
        <f>G32</f>
        <v>214454.97174677346</v>
      </c>
      <c r="O32" s="29">
        <f>$E32-N32</f>
        <v>56340445.028253227</v>
      </c>
    </row>
    <row r="33" spans="1:15" ht="14.65" x14ac:dyDescent="0.5">
      <c r="A33" s="27">
        <v>2022</v>
      </c>
      <c r="B33" s="27" t="s">
        <v>40</v>
      </c>
      <c r="C33" s="42">
        <f t="shared" si="2"/>
        <v>634</v>
      </c>
      <c r="D33" s="25">
        <v>634000</v>
      </c>
      <c r="E33" s="25">
        <v>57112500</v>
      </c>
      <c r="F33" s="25">
        <v>67602800</v>
      </c>
      <c r="G33" s="28">
        <f>D33*(E33/F33)</f>
        <v>535618.7169762199</v>
      </c>
      <c r="H33" s="28">
        <f t="shared" si="1"/>
        <v>5119940.0982011752</v>
      </c>
      <c r="I33" s="28">
        <f>E33-H33</f>
        <v>51992559.901798822</v>
      </c>
      <c r="J33" s="29">
        <f t="shared" si="6"/>
        <v>4496268.0651858663</v>
      </c>
      <c r="K33" s="29">
        <f>E33-J33</f>
        <v>52616231.934814133</v>
      </c>
      <c r="L33" s="29">
        <f t="shared" si="8"/>
        <v>2112075.2163628149</v>
      </c>
      <c r="M33" s="29">
        <f>$E33-L33</f>
        <v>55000424.783637188</v>
      </c>
      <c r="N33" s="29">
        <f>N32+G33</f>
        <v>750073.68872299336</v>
      </c>
      <c r="O33" s="29">
        <f>$E33-N33</f>
        <v>56362426.31127701</v>
      </c>
    </row>
    <row r="34" spans="1:15" ht="14.65" x14ac:dyDescent="0.5">
      <c r="A34" s="27">
        <v>2023</v>
      </c>
      <c r="B34" s="27" t="s">
        <v>40</v>
      </c>
      <c r="C34" s="42">
        <f t="shared" si="2"/>
        <v>906</v>
      </c>
      <c r="D34" s="25">
        <v>906000</v>
      </c>
      <c r="E34" s="25">
        <v>57690300</v>
      </c>
      <c r="F34" s="25">
        <v>68265200</v>
      </c>
      <c r="G34" s="28">
        <f>D34*(E34/F34)</f>
        <v>765652.36460158322</v>
      </c>
      <c r="H34" s="28">
        <f t="shared" si="1"/>
        <v>5885592.4628027584</v>
      </c>
      <c r="I34" s="28">
        <f>E34-H34</f>
        <v>51804707.53719724</v>
      </c>
      <c r="J34" s="29">
        <f>J33+G34</f>
        <v>5261920.4297874495</v>
      </c>
      <c r="K34" s="29">
        <f>E34-J34</f>
        <v>52428379.57021255</v>
      </c>
      <c r="L34" s="29">
        <f>G34+L33</f>
        <v>2877727.5809643981</v>
      </c>
      <c r="M34" s="29">
        <f>$E34-L34</f>
        <v>54812572.419035599</v>
      </c>
      <c r="N34" s="29">
        <f>N33+G34</f>
        <v>1515726.0533245765</v>
      </c>
      <c r="O34" s="29">
        <f>$E34-N34</f>
        <v>56174573.94667542</v>
      </c>
    </row>
    <row r="35" spans="1:15" ht="14.65" x14ac:dyDescent="0.5">
      <c r="A35" s="27">
        <v>2024</v>
      </c>
      <c r="B35" s="27" t="s">
        <v>40</v>
      </c>
      <c r="C35" s="42">
        <f t="shared" si="2"/>
        <v>739</v>
      </c>
      <c r="D35" s="25">
        <v>739000</v>
      </c>
      <c r="E35" s="25">
        <f>E34*(47027/46433)</f>
        <v>58428310.427928418</v>
      </c>
      <c r="F35" s="25">
        <v>68730000</v>
      </c>
      <c r="G35" s="28">
        <f>D35*(E35/F35)</f>
        <v>628233.97943022114</v>
      </c>
      <c r="H35" s="28">
        <f>H34+G35</f>
        <v>6513826.4422329795</v>
      </c>
      <c r="I35" s="28">
        <f>E35-H35</f>
        <v>51914483.985695437</v>
      </c>
      <c r="J35" s="29">
        <f>J34+G35</f>
        <v>5890154.4092176706</v>
      </c>
      <c r="K35" s="29">
        <f>E35-J35</f>
        <v>52538156.018710747</v>
      </c>
      <c r="L35" s="29">
        <f>G35+L34</f>
        <v>3505961.5603946191</v>
      </c>
      <c r="M35" s="29">
        <f>$E35-L35</f>
        <v>54922348.867533796</v>
      </c>
      <c r="N35" s="29">
        <f>N34+G35</f>
        <v>2143960.0327547975</v>
      </c>
      <c r="O35" s="29">
        <f>$E35-N35</f>
        <v>56284350.395173624</v>
      </c>
    </row>
    <row r="36" spans="1:15" x14ac:dyDescent="0.45">
      <c r="I36" s="28"/>
    </row>
    <row r="37" spans="1:15" x14ac:dyDescent="0.45">
      <c r="A37" t="s">
        <v>223</v>
      </c>
      <c r="I37" s="28"/>
    </row>
    <row r="38" spans="1:15" x14ac:dyDescent="0.45">
      <c r="A38" t="s">
        <v>224</v>
      </c>
      <c r="I38" s="28"/>
    </row>
    <row r="39" spans="1:15" x14ac:dyDescent="0.45">
      <c r="A39" t="s">
        <v>219</v>
      </c>
      <c r="C39" s="1"/>
      <c r="D39" s="1"/>
      <c r="E39" s="1"/>
      <c r="F39" s="1"/>
      <c r="I39" s="28"/>
    </row>
    <row r="40" spans="1:15" x14ac:dyDescent="0.45">
      <c r="A40" t="s">
        <v>220</v>
      </c>
      <c r="D40" s="8"/>
      <c r="E40" s="8"/>
      <c r="F40" s="8"/>
      <c r="I40" s="28"/>
    </row>
    <row r="41" spans="1:15" x14ac:dyDescent="0.45">
      <c r="A41" t="s">
        <v>228</v>
      </c>
      <c r="D41" s="8"/>
      <c r="E41" s="8"/>
      <c r="F41" s="8"/>
      <c r="I41" s="28"/>
    </row>
    <row r="42" spans="1:15" x14ac:dyDescent="0.45">
      <c r="A42" t="s">
        <v>229</v>
      </c>
      <c r="D42" s="8"/>
      <c r="E42" s="8"/>
      <c r="F42" s="8"/>
    </row>
    <row r="43" spans="1:15" x14ac:dyDescent="0.45">
      <c r="D43" s="8"/>
      <c r="E43" s="1" t="s">
        <v>44</v>
      </c>
      <c r="F43" s="8"/>
    </row>
    <row r="44" spans="1:15" x14ac:dyDescent="0.45">
      <c r="D44" s="8"/>
      <c r="E44" s="25">
        <v>47875000</v>
      </c>
      <c r="F44" s="8"/>
    </row>
    <row r="45" spans="1:15" x14ac:dyDescent="0.45">
      <c r="D45" s="8"/>
      <c r="E45" s="25">
        <v>47998000</v>
      </c>
      <c r="F45" s="8"/>
    </row>
    <row r="46" spans="1:15" x14ac:dyDescent="0.45">
      <c r="D46" s="8"/>
      <c r="E46" s="25">
        <v>48102300</v>
      </c>
      <c r="F46" s="8"/>
    </row>
    <row r="47" spans="1:15" x14ac:dyDescent="0.45">
      <c r="D47" s="8"/>
      <c r="E47" s="25">
        <v>48228800</v>
      </c>
      <c r="F47" s="8"/>
    </row>
    <row r="48" spans="1:15" x14ac:dyDescent="0.45">
      <c r="D48" s="8"/>
      <c r="E48" s="25">
        <v>48383500</v>
      </c>
      <c r="F48" s="8"/>
    </row>
    <row r="49" spans="4:6" x14ac:dyDescent="0.45">
      <c r="D49" s="8"/>
      <c r="E49" s="25">
        <v>48519100</v>
      </c>
      <c r="F49" s="8"/>
    </row>
    <row r="50" spans="4:6" x14ac:dyDescent="0.45">
      <c r="D50" s="8"/>
      <c r="E50" s="25">
        <v>48664800</v>
      </c>
      <c r="F50" s="8"/>
    </row>
    <row r="51" spans="4:6" x14ac:dyDescent="0.45">
      <c r="D51" s="8"/>
      <c r="E51" s="25">
        <v>48820600</v>
      </c>
      <c r="F51" s="8"/>
    </row>
    <row r="52" spans="4:6" x14ac:dyDescent="0.45">
      <c r="D52" s="8"/>
      <c r="E52" s="25">
        <v>49032900</v>
      </c>
      <c r="F52" s="8"/>
    </row>
    <row r="53" spans="4:6" x14ac:dyDescent="0.45">
      <c r="D53" s="48"/>
      <c r="E53" s="25">
        <v>49233300</v>
      </c>
      <c r="F53" s="8"/>
    </row>
    <row r="54" spans="4:6" x14ac:dyDescent="0.45">
      <c r="D54" s="8"/>
      <c r="E54" s="25">
        <v>49449700</v>
      </c>
      <c r="F54" s="8"/>
    </row>
    <row r="55" spans="4:6" x14ac:dyDescent="0.45">
      <c r="D55" s="8"/>
      <c r="E55" s="25">
        <v>49679300</v>
      </c>
      <c r="F55" s="8"/>
    </row>
    <row r="56" spans="4:6" x14ac:dyDescent="0.45">
      <c r="D56" s="8"/>
      <c r="E56" s="25">
        <v>49925500</v>
      </c>
      <c r="F56" s="8"/>
    </row>
    <row r="57" spans="4:6" x14ac:dyDescent="0.45">
      <c r="D57" s="8"/>
      <c r="E57" s="25">
        <v>50194600</v>
      </c>
      <c r="F57" s="8"/>
    </row>
    <row r="58" spans="4:6" x14ac:dyDescent="0.45">
      <c r="D58" s="8"/>
      <c r="E58" s="25">
        <v>50606000</v>
      </c>
      <c r="F58" s="8"/>
    </row>
    <row r="59" spans="4:6" x14ac:dyDescent="0.45">
      <c r="D59" s="8"/>
      <c r="E59" s="25">
        <v>50965200</v>
      </c>
      <c r="F59" s="8"/>
    </row>
    <row r="60" spans="4:6" x14ac:dyDescent="0.45">
      <c r="D60" s="8"/>
      <c r="E60" s="25">
        <v>51381100</v>
      </c>
      <c r="F60" s="8"/>
    </row>
    <row r="61" spans="4:6" x14ac:dyDescent="0.45">
      <c r="D61" s="8"/>
      <c r="E61" s="25">
        <v>51815900</v>
      </c>
      <c r="F61" s="8"/>
    </row>
    <row r="62" spans="4:6" x14ac:dyDescent="0.45">
      <c r="D62" s="8"/>
      <c r="E62" s="25">
        <v>52196400</v>
      </c>
      <c r="F62" s="8"/>
    </row>
    <row r="63" spans="4:6" x14ac:dyDescent="0.45">
      <c r="D63" s="8"/>
      <c r="E63" s="25">
        <v>52642500</v>
      </c>
      <c r="F63" s="8"/>
    </row>
    <row r="64" spans="4:6" x14ac:dyDescent="0.45">
      <c r="D64" s="8"/>
      <c r="E64" s="25">
        <v>53107200</v>
      </c>
      <c r="F64" s="8"/>
    </row>
    <row r="65" spans="4:6" x14ac:dyDescent="0.45">
      <c r="D65" s="8"/>
      <c r="E65" s="25">
        <v>53506800</v>
      </c>
      <c r="F65" s="8"/>
    </row>
    <row r="66" spans="4:6" x14ac:dyDescent="0.45">
      <c r="D66" s="8"/>
      <c r="E66" s="25">
        <v>53918700</v>
      </c>
      <c r="F66" s="8"/>
    </row>
    <row r="67" spans="4:6" x14ac:dyDescent="0.45">
      <c r="D67" s="8"/>
      <c r="E67" s="25">
        <v>54370300</v>
      </c>
      <c r="F67" s="8"/>
    </row>
    <row r="68" spans="4:6" x14ac:dyDescent="0.45">
      <c r="D68" s="8"/>
      <c r="E68" s="25">
        <v>54808700</v>
      </c>
      <c r="F68" s="8"/>
    </row>
    <row r="69" spans="4:6" x14ac:dyDescent="0.45">
      <c r="D69" s="8"/>
      <c r="E69" s="25">
        <v>55289000</v>
      </c>
      <c r="F69" s="8"/>
    </row>
    <row r="70" spans="4:6" x14ac:dyDescent="0.45">
      <c r="D70" s="8"/>
      <c r="E70" s="25">
        <v>55619500</v>
      </c>
      <c r="F70" s="8"/>
    </row>
    <row r="71" spans="4:6" x14ac:dyDescent="0.45">
      <c r="D71" s="8"/>
      <c r="E71" s="25">
        <v>55924500</v>
      </c>
      <c r="F71" s="8"/>
    </row>
    <row r="72" spans="4:6" x14ac:dyDescent="0.45">
      <c r="D72" s="8"/>
      <c r="E72" s="25">
        <v>56230100</v>
      </c>
      <c r="F72" s="8"/>
    </row>
    <row r="73" spans="4:6" x14ac:dyDescent="0.45">
      <c r="D73" s="8"/>
      <c r="E73" s="25">
        <v>56326000</v>
      </c>
      <c r="F73" s="8"/>
    </row>
    <row r="74" spans="4:6" x14ac:dyDescent="0.45">
      <c r="E74" s="25">
        <v>56554900</v>
      </c>
    </row>
    <row r="75" spans="4:6" x14ac:dyDescent="0.45">
      <c r="E75" s="25">
        <v>57112500</v>
      </c>
    </row>
    <row r="76" spans="4:6" x14ac:dyDescent="0.45">
      <c r="E76" s="25">
        <v>57690300</v>
      </c>
    </row>
    <row r="77" spans="4:6" x14ac:dyDescent="0.45">
      <c r="E77" s="25">
        <v>58180000</v>
      </c>
    </row>
    <row r="109" spans="3:4" x14ac:dyDescent="0.45">
      <c r="C109" t="s">
        <v>0</v>
      </c>
      <c r="D109" t="s">
        <v>230</v>
      </c>
    </row>
    <row r="110" spans="3:4" ht="14.65" x14ac:dyDescent="0.5">
      <c r="C110" s="27">
        <v>1991</v>
      </c>
      <c r="D110" s="29">
        <v>36673.880153972845</v>
      </c>
    </row>
    <row r="111" spans="3:4" ht="14.65" x14ac:dyDescent="0.5">
      <c r="C111" s="27">
        <v>1992</v>
      </c>
      <c r="D111" s="29">
        <v>-10835.797827540397</v>
      </c>
    </row>
    <row r="112" spans="3:4" ht="14.65" x14ac:dyDescent="0.5">
      <c r="C112" s="27">
        <v>1993</v>
      </c>
      <c r="D112" s="29">
        <v>-833.46126323121462</v>
      </c>
    </row>
    <row r="113" spans="3:4" ht="14.65" x14ac:dyDescent="0.5">
      <c r="C113" s="27">
        <v>1994</v>
      </c>
      <c r="D113" s="29">
        <v>64180.484289370768</v>
      </c>
    </row>
    <row r="114" spans="3:4" ht="14.65" x14ac:dyDescent="0.5">
      <c r="C114" s="27">
        <v>1995</v>
      </c>
      <c r="D114" s="29">
        <v>63371.971984392883</v>
      </c>
    </row>
    <row r="115" spans="3:4" ht="14.65" x14ac:dyDescent="0.5">
      <c r="C115" s="27">
        <v>1996</v>
      </c>
      <c r="D115" s="29">
        <v>45879.446878159149</v>
      </c>
    </row>
    <row r="116" spans="3:4" ht="14.65" x14ac:dyDescent="0.5">
      <c r="C116" s="27">
        <v>1997</v>
      </c>
      <c r="D116" s="29">
        <v>40057.317085718401</v>
      </c>
    </row>
    <row r="117" spans="3:4" ht="14.65" x14ac:dyDescent="0.5">
      <c r="C117" s="27">
        <v>1998</v>
      </c>
      <c r="D117" s="29">
        <v>116885.77492223159</v>
      </c>
    </row>
    <row r="118" spans="3:4" ht="14.65" x14ac:dyDescent="0.5">
      <c r="C118" s="27">
        <v>1999</v>
      </c>
      <c r="D118" s="29">
        <v>136192.28789933951</v>
      </c>
    </row>
    <row r="119" spans="3:4" ht="14.65" x14ac:dyDescent="0.5">
      <c r="C119" s="27">
        <v>2000</v>
      </c>
      <c r="D119" s="29">
        <v>132100.12889289664</v>
      </c>
    </row>
    <row r="120" spans="3:4" ht="14.65" x14ac:dyDescent="0.5">
      <c r="C120" s="27">
        <v>2001</v>
      </c>
      <c r="D120" s="29">
        <v>149738.57357941568</v>
      </c>
    </row>
    <row r="121" spans="3:4" ht="14.65" x14ac:dyDescent="0.5">
      <c r="C121" s="27">
        <v>2002</v>
      </c>
      <c r="D121" s="29">
        <v>143935.63286544252</v>
      </c>
    </row>
    <row r="122" spans="3:4" ht="14.65" x14ac:dyDescent="0.5">
      <c r="C122" s="27">
        <v>2003</v>
      </c>
      <c r="D122" s="29">
        <v>154874.7247919486</v>
      </c>
    </row>
    <row r="123" spans="3:4" ht="14.65" x14ac:dyDescent="0.5">
      <c r="C123" s="27">
        <v>2004</v>
      </c>
      <c r="D123" s="29">
        <v>224388.04078037845</v>
      </c>
    </row>
    <row r="124" spans="3:4" ht="14.65" x14ac:dyDescent="0.5">
      <c r="C124" s="27">
        <v>2005</v>
      </c>
      <c r="D124" s="29">
        <v>223656.08235272695</v>
      </c>
    </row>
    <row r="125" spans="3:4" ht="14.65" x14ac:dyDescent="0.5">
      <c r="C125" s="27">
        <v>2006</v>
      </c>
      <c r="D125" s="29">
        <v>222035.54007999724</v>
      </c>
    </row>
    <row r="126" spans="3:4" ht="14.65" x14ac:dyDescent="0.5">
      <c r="C126" s="27">
        <v>2007</v>
      </c>
      <c r="D126" s="29">
        <v>228754.83006110656</v>
      </c>
    </row>
    <row r="127" spans="3:4" ht="14.65" x14ac:dyDescent="0.5">
      <c r="C127" s="27">
        <v>2008</v>
      </c>
      <c r="D127" s="29">
        <v>191929.98651004952</v>
      </c>
    </row>
    <row r="128" spans="3:4" ht="14.65" x14ac:dyDescent="0.5">
      <c r="C128" s="27">
        <v>2009</v>
      </c>
      <c r="D128" s="29">
        <v>85931.385067578973</v>
      </c>
    </row>
    <row r="129" spans="3:4" ht="14.65" x14ac:dyDescent="0.5">
      <c r="C129" s="27">
        <v>2010</v>
      </c>
      <c r="D129" s="29">
        <v>204666.54450720607</v>
      </c>
    </row>
    <row r="130" spans="3:4" ht="14.65" x14ac:dyDescent="0.5">
      <c r="C130" s="27">
        <v>2011</v>
      </c>
      <c r="D130" s="29">
        <v>237486.1950127281</v>
      </c>
    </row>
    <row r="131" spans="3:4" ht="14.65" x14ac:dyDescent="0.5">
      <c r="C131" s="27">
        <v>2012</v>
      </c>
      <c r="D131" s="29">
        <v>136053.88097465422</v>
      </c>
    </row>
    <row r="132" spans="3:4" ht="14.65" x14ac:dyDescent="0.5">
      <c r="C132" s="27">
        <v>2013</v>
      </c>
      <c r="D132" s="29">
        <v>180741.43223981778</v>
      </c>
    </row>
    <row r="133" spans="3:4" ht="14.65" x14ac:dyDescent="0.5">
      <c r="C133" s="27">
        <v>2014</v>
      </c>
      <c r="D133" s="29">
        <v>208665.09954425521</v>
      </c>
    </row>
    <row r="134" spans="3:4" ht="14.65" x14ac:dyDescent="0.5">
      <c r="C134" s="27">
        <v>2015</v>
      </c>
      <c r="D134" s="29">
        <v>249252.55461443798</v>
      </c>
    </row>
    <row r="135" spans="3:4" ht="14.65" x14ac:dyDescent="0.5">
      <c r="C135" s="27">
        <v>2016</v>
      </c>
      <c r="D135" s="29">
        <v>270515.98073988943</v>
      </c>
    </row>
    <row r="136" spans="3:4" ht="14.65" x14ac:dyDescent="0.5">
      <c r="C136" s="27">
        <v>2017</v>
      </c>
      <c r="D136" s="29">
        <v>168630.80981111483</v>
      </c>
    </row>
    <row r="137" spans="3:4" ht="14.65" x14ac:dyDescent="0.5">
      <c r="C137" s="27">
        <v>2018</v>
      </c>
      <c r="D137" s="29">
        <v>182227.97481931365</v>
      </c>
    </row>
    <row r="138" spans="3:4" ht="14.65" x14ac:dyDescent="0.5">
      <c r="C138" s="27">
        <v>2019</v>
      </c>
      <c r="D138" s="29">
        <v>189035.1204474814</v>
      </c>
    </row>
    <row r="139" spans="3:4" ht="14.65" x14ac:dyDescent="0.5">
      <c r="C139" s="27">
        <v>2020</v>
      </c>
      <c r="D139" s="29">
        <v>93673.987663329041</v>
      </c>
    </row>
    <row r="140" spans="3:4" ht="14.65" x14ac:dyDescent="0.5">
      <c r="C140" s="27">
        <v>2021</v>
      </c>
      <c r="D140" s="29">
        <v>214454.97174677346</v>
      </c>
    </row>
    <row r="141" spans="3:4" ht="14.65" x14ac:dyDescent="0.5">
      <c r="C141" s="27">
        <v>2022</v>
      </c>
      <c r="D141" s="29">
        <v>535618.7169762199</v>
      </c>
    </row>
    <row r="142" spans="3:4" ht="14.65" x14ac:dyDescent="0.5">
      <c r="C142" s="27">
        <v>2023</v>
      </c>
      <c r="D142" s="29">
        <v>765652.36460158322</v>
      </c>
    </row>
    <row r="143" spans="3:4" ht="14.65" x14ac:dyDescent="0.5">
      <c r="C143" s="27">
        <v>2024</v>
      </c>
      <c r="D143" s="29">
        <v>628233.97943022114</v>
      </c>
    </row>
  </sheetData>
  <phoneticPr fontId="4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FD64-E8BD-4805-952B-83336D4E3D8B}">
  <dimension ref="A1:D28"/>
  <sheetViews>
    <sheetView workbookViewId="0">
      <selection activeCell="G31" sqref="G31"/>
    </sheetView>
  </sheetViews>
  <sheetFormatPr defaultColWidth="8.796875" defaultRowHeight="14.25" x14ac:dyDescent="0.45"/>
  <cols>
    <col min="1" max="1" width="11.46484375" bestFit="1" customWidth="1"/>
    <col min="4" max="4" width="18.46484375" customWidth="1"/>
  </cols>
  <sheetData>
    <row r="1" spans="1:4" x14ac:dyDescent="0.45">
      <c r="A1" s="1" t="s">
        <v>1</v>
      </c>
      <c r="B1" s="1" t="s">
        <v>53</v>
      </c>
      <c r="C1" s="1" t="s">
        <v>54</v>
      </c>
      <c r="D1" s="1" t="s">
        <v>115</v>
      </c>
    </row>
    <row r="2" spans="1:4" ht="15.75" x14ac:dyDescent="0.5">
      <c r="A2" s="40">
        <v>38504</v>
      </c>
      <c r="B2" s="39">
        <f t="shared" ref="B2:B22" si="0">C2/$A$26</f>
        <v>80.829015544041454</v>
      </c>
      <c r="C2">
        <f>VLOOKUP(A2,'[1]Table 3'!$A$5:$D$246,4)</f>
        <v>780</v>
      </c>
      <c r="D2" s="43">
        <f>C2</f>
        <v>780</v>
      </c>
    </row>
    <row r="3" spans="1:4" ht="15.75" x14ac:dyDescent="0.5">
      <c r="A3" s="40">
        <v>38869</v>
      </c>
      <c r="B3" s="39">
        <f t="shared" si="0"/>
        <v>82.901554404145074</v>
      </c>
      <c r="C3">
        <f>VLOOKUP(A3,'[1]Table 3'!$A$5:$D$246,4)</f>
        <v>800</v>
      </c>
      <c r="D3" s="43">
        <f t="shared" ref="D3:D22" si="1">C3</f>
        <v>800</v>
      </c>
    </row>
    <row r="4" spans="1:4" ht="15.75" x14ac:dyDescent="0.5">
      <c r="A4" s="40">
        <v>39234</v>
      </c>
      <c r="B4" s="39">
        <f t="shared" si="0"/>
        <v>84.974093264248708</v>
      </c>
      <c r="C4">
        <f>VLOOKUP(A4,'[1]Table 3'!$A$5:$D$246,4)</f>
        <v>820</v>
      </c>
      <c r="D4" s="43">
        <f t="shared" si="1"/>
        <v>820</v>
      </c>
    </row>
    <row r="5" spans="1:4" ht="15.75" x14ac:dyDescent="0.5">
      <c r="A5" s="40">
        <v>39600</v>
      </c>
      <c r="B5" s="39">
        <f t="shared" si="0"/>
        <v>88.082901554404145</v>
      </c>
      <c r="C5">
        <f>VLOOKUP(A5,'[1]Table 3'!$A$5:$D$246,4)</f>
        <v>850</v>
      </c>
      <c r="D5" s="43">
        <f t="shared" si="1"/>
        <v>850</v>
      </c>
    </row>
    <row r="6" spans="1:4" ht="15.75" x14ac:dyDescent="0.5">
      <c r="A6" s="40">
        <v>39965</v>
      </c>
      <c r="B6" s="39">
        <f t="shared" si="0"/>
        <v>89.84455958549222</v>
      </c>
      <c r="C6">
        <f>VLOOKUP(A6,'[1]Table 3'!$A$5:$D$246,4)</f>
        <v>867</v>
      </c>
      <c r="D6" s="43">
        <f t="shared" si="1"/>
        <v>867</v>
      </c>
    </row>
    <row r="7" spans="1:4" ht="15.75" x14ac:dyDescent="0.5">
      <c r="A7" s="40">
        <v>40330</v>
      </c>
      <c r="B7" s="39">
        <f t="shared" si="0"/>
        <v>88.704663212435236</v>
      </c>
      <c r="C7">
        <f>VLOOKUP(A7,'[1]Table 3'!$A$5:$D$246,4)</f>
        <v>856</v>
      </c>
      <c r="D7" s="43">
        <f t="shared" si="1"/>
        <v>856</v>
      </c>
    </row>
    <row r="8" spans="1:4" ht="15.75" x14ac:dyDescent="0.5">
      <c r="A8" s="40">
        <v>40695</v>
      </c>
      <c r="B8" s="39">
        <f t="shared" si="0"/>
        <v>90.880829015544037</v>
      </c>
      <c r="C8">
        <f>VLOOKUP(A8,'[1]Table 3'!$A$5:$D$246,4)</f>
        <v>877</v>
      </c>
      <c r="D8" s="43">
        <f t="shared" si="1"/>
        <v>877</v>
      </c>
    </row>
    <row r="9" spans="1:4" ht="15.75" x14ac:dyDescent="0.5">
      <c r="A9" s="40">
        <v>41061</v>
      </c>
      <c r="B9" s="39">
        <f t="shared" si="0"/>
        <v>93.575129533678748</v>
      </c>
      <c r="C9">
        <f>VLOOKUP(A9,'[1]Table 3'!$A$5:$D$246,4)</f>
        <v>903</v>
      </c>
      <c r="D9" s="43">
        <f t="shared" si="1"/>
        <v>903</v>
      </c>
    </row>
    <row r="10" spans="1:4" ht="15.75" x14ac:dyDescent="0.5">
      <c r="A10" s="40">
        <v>41426</v>
      </c>
      <c r="B10" s="39">
        <f t="shared" si="0"/>
        <v>95.647668393782382</v>
      </c>
      <c r="C10">
        <f>VLOOKUP(A10,'[1]Table 3'!$A$5:$D$246,4)</f>
        <v>923</v>
      </c>
      <c r="D10" s="43">
        <f t="shared" si="1"/>
        <v>923</v>
      </c>
    </row>
    <row r="11" spans="1:4" ht="15.75" x14ac:dyDescent="0.5">
      <c r="A11" s="40">
        <v>41791</v>
      </c>
      <c r="B11" s="39">
        <f t="shared" si="0"/>
        <v>97.098445595854912</v>
      </c>
      <c r="C11">
        <f>VLOOKUP(A11,'[1]Table 3'!$A$5:$D$246,4)</f>
        <v>937</v>
      </c>
      <c r="D11" s="43">
        <f t="shared" si="1"/>
        <v>937</v>
      </c>
    </row>
    <row r="12" spans="1:4" ht="15.75" x14ac:dyDescent="0.5">
      <c r="A12" s="40">
        <v>42156</v>
      </c>
      <c r="B12" s="39">
        <f>C12/$A$26</f>
        <v>100</v>
      </c>
      <c r="C12">
        <f>VLOOKUP(A12,'[1]Table 3'!$A$5:$D$246,4)</f>
        <v>965</v>
      </c>
      <c r="D12" s="43">
        <f t="shared" si="1"/>
        <v>965</v>
      </c>
    </row>
    <row r="13" spans="1:4" ht="15.75" x14ac:dyDescent="0.5">
      <c r="A13" s="40">
        <v>42522</v>
      </c>
      <c r="B13" s="39">
        <f t="shared" si="0"/>
        <v>103.52331606217616</v>
      </c>
      <c r="C13">
        <f>VLOOKUP(A13,'[1]Table 3'!$A$5:$D$246,4)</f>
        <v>999</v>
      </c>
      <c r="D13" s="43">
        <f t="shared" si="1"/>
        <v>999</v>
      </c>
    </row>
    <row r="14" spans="1:4" ht="15.75" x14ac:dyDescent="0.5">
      <c r="A14" s="40">
        <v>42887</v>
      </c>
      <c r="B14" s="39">
        <f t="shared" si="0"/>
        <v>106.21761658031087</v>
      </c>
      <c r="C14">
        <f>VLOOKUP(A14,'[1]Table 3'!$A$5:$D$246,4)</f>
        <v>1025</v>
      </c>
      <c r="D14" s="43">
        <f t="shared" si="1"/>
        <v>1025</v>
      </c>
    </row>
    <row r="15" spans="1:4" ht="15.75" x14ac:dyDescent="0.5">
      <c r="A15" s="40">
        <v>43252</v>
      </c>
      <c r="B15" s="39">
        <f t="shared" si="0"/>
        <v>106.73575129533678</v>
      </c>
      <c r="C15">
        <f>VLOOKUP(A15,'[1]Table 3'!$A$5:$D$246,4)</f>
        <v>1030</v>
      </c>
      <c r="D15" s="43">
        <f t="shared" si="1"/>
        <v>1030</v>
      </c>
    </row>
    <row r="16" spans="1:4" ht="15.75" x14ac:dyDescent="0.5">
      <c r="A16" s="40">
        <v>43617</v>
      </c>
      <c r="B16" s="39">
        <f t="shared" si="0"/>
        <v>108.91191709844558</v>
      </c>
      <c r="C16">
        <f>VLOOKUP(A16,'[1]Table 3'!$A$5:$D$246,4)</f>
        <v>1051</v>
      </c>
      <c r="D16" s="43">
        <f t="shared" si="1"/>
        <v>1051</v>
      </c>
    </row>
    <row r="17" spans="1:4" ht="15.75" x14ac:dyDescent="0.5">
      <c r="A17" s="40">
        <v>43983</v>
      </c>
      <c r="B17" s="39">
        <f t="shared" si="0"/>
        <v>110.77720207253886</v>
      </c>
      <c r="C17">
        <f>VLOOKUP(A17,'[1]Table 3'!$A$5:$D$246,4)</f>
        <v>1069</v>
      </c>
      <c r="D17" s="43">
        <f t="shared" si="1"/>
        <v>1069</v>
      </c>
    </row>
    <row r="18" spans="1:4" ht="15.75" x14ac:dyDescent="0.5">
      <c r="A18" s="40">
        <v>44348</v>
      </c>
      <c r="B18" s="39">
        <f t="shared" si="0"/>
        <v>112.02072538860104</v>
      </c>
      <c r="C18">
        <f>VLOOKUP(A18,'[1]Table 3'!$A$5:$D$246,4)</f>
        <v>1081</v>
      </c>
      <c r="D18" s="43">
        <f t="shared" si="1"/>
        <v>1081</v>
      </c>
    </row>
    <row r="19" spans="1:4" ht="15.75" x14ac:dyDescent="0.5">
      <c r="A19" s="40">
        <v>44713</v>
      </c>
      <c r="B19" s="39">
        <f t="shared" si="0"/>
        <v>116.47668393782384</v>
      </c>
      <c r="C19">
        <f>VLOOKUP(A19,'[1]Table 3'!$A$5:$D$246,4)</f>
        <v>1124</v>
      </c>
      <c r="D19" s="43">
        <f t="shared" si="1"/>
        <v>1124</v>
      </c>
    </row>
    <row r="20" spans="1:4" ht="15.75" x14ac:dyDescent="0.5">
      <c r="A20" s="40">
        <v>45078</v>
      </c>
      <c r="B20" s="39">
        <f t="shared" si="0"/>
        <v>125.07772020725388</v>
      </c>
      <c r="C20">
        <f>VLOOKUP(A20,'[1]Table 3'!$A$5:$D$246,4)</f>
        <v>1207</v>
      </c>
      <c r="D20" s="43">
        <f t="shared" si="1"/>
        <v>1207</v>
      </c>
    </row>
    <row r="21" spans="1:4" ht="15.75" x14ac:dyDescent="0.5">
      <c r="A21" s="40">
        <v>45444</v>
      </c>
      <c r="B21" s="39">
        <f t="shared" si="0"/>
        <v>135.85492227979273</v>
      </c>
      <c r="C21">
        <f>VLOOKUP(A21,'[1]Table 3'!$A$5:$D$246,4)</f>
        <v>1311</v>
      </c>
      <c r="D21" s="43">
        <f t="shared" si="1"/>
        <v>1311</v>
      </c>
    </row>
    <row r="22" spans="1:4" ht="15.75" x14ac:dyDescent="0.5">
      <c r="A22" s="36">
        <v>45717</v>
      </c>
      <c r="B22" s="39">
        <f t="shared" si="0"/>
        <v>143.10880829015542</v>
      </c>
      <c r="C22">
        <f>VLOOKUP(A22,'[1]Table 3'!$A$5:$D$246,4)</f>
        <v>1381</v>
      </c>
      <c r="D22" s="43">
        <f t="shared" si="1"/>
        <v>1381</v>
      </c>
    </row>
    <row r="26" spans="1:4" x14ac:dyDescent="0.45">
      <c r="A26">
        <f>C12/100</f>
        <v>9.65</v>
      </c>
    </row>
    <row r="28" spans="1:4" x14ac:dyDescent="0.45">
      <c r="A28" t="s">
        <v>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7798-6357-4A01-AC0D-EC515AEEEA0C}">
  <dimension ref="A1:N63"/>
  <sheetViews>
    <sheetView topLeftCell="A17" workbookViewId="0">
      <selection activeCell="A63" sqref="A63"/>
    </sheetView>
  </sheetViews>
  <sheetFormatPr defaultColWidth="8.796875" defaultRowHeight="14.25" x14ac:dyDescent="0.45"/>
  <cols>
    <col min="1" max="1" width="12.46484375" bestFit="1" customWidth="1"/>
    <col min="4" max="4" width="11.46484375" bestFit="1" customWidth="1"/>
    <col min="5" max="5" width="27.1328125" customWidth="1"/>
    <col min="6" max="6" width="24.46484375" customWidth="1"/>
    <col min="7" max="7" width="27.46484375" customWidth="1"/>
    <col min="9" max="9" width="13.33203125" customWidth="1"/>
    <col min="11" max="11" width="13.6640625" customWidth="1"/>
    <col min="12" max="12" width="20" customWidth="1"/>
    <col min="13" max="13" width="9.796875" customWidth="1"/>
    <col min="14" max="14" width="13.46484375" customWidth="1"/>
  </cols>
  <sheetData>
    <row r="1" spans="1:14" ht="84.4" x14ac:dyDescent="0.5">
      <c r="A1" s="14" t="s">
        <v>1</v>
      </c>
      <c r="B1" s="14" t="s">
        <v>0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61</v>
      </c>
    </row>
    <row r="2" spans="1:14" x14ac:dyDescent="0.45">
      <c r="A2" s="15" t="s">
        <v>8</v>
      </c>
      <c r="B2" s="16">
        <v>1969</v>
      </c>
      <c r="C2" s="17">
        <v>8029</v>
      </c>
      <c r="D2" s="17">
        <v>3354</v>
      </c>
      <c r="E2" s="17">
        <v>0</v>
      </c>
      <c r="F2" s="17">
        <v>4390</v>
      </c>
      <c r="G2" s="17">
        <v>0</v>
      </c>
      <c r="H2" s="18">
        <v>15773</v>
      </c>
      <c r="I2" s="2">
        <f>Table104[[#This Row],[Owner Occupied]]*1000</f>
        <v>8029000</v>
      </c>
      <c r="J2" s="2">
        <f>Table104[[#This Row],[Rented Privately or with a job or business]]*1000</f>
        <v>3354000</v>
      </c>
      <c r="K2" s="2">
        <f>(Table104[[#This Row],[Rented from Private Registered Providers]]+Table104[[#This Row],[Rented from Local Authorities]]+Table104[[#This Row],[Other public sector dwellings]])*1000</f>
        <v>4390000</v>
      </c>
      <c r="L2" s="2">
        <f>Table104[[#This Row],[OO]]+Table104[[#This Row],[PRS]]</f>
        <v>11383000</v>
      </c>
      <c r="M2" s="2">
        <f>Table104[[#This Row],[PRS]]*1.15</f>
        <v>3857099.9999999995</v>
      </c>
      <c r="N2" s="2">
        <f>Table104[[#This Row],[OO]]+Table104[[#This Row],[PRS +15]]+Table104[[#This Row],[Social]]</f>
        <v>16276100</v>
      </c>
    </row>
    <row r="3" spans="1:14" x14ac:dyDescent="0.45">
      <c r="A3" s="19" t="s">
        <v>8</v>
      </c>
      <c r="B3" s="20">
        <v>1970</v>
      </c>
      <c r="C3" s="21">
        <v>8272</v>
      </c>
      <c r="D3" s="21">
        <v>3202</v>
      </c>
      <c r="E3" s="17">
        <v>0</v>
      </c>
      <c r="F3" s="21">
        <v>4506</v>
      </c>
      <c r="G3" s="17">
        <v>0</v>
      </c>
      <c r="H3" s="22">
        <v>15980</v>
      </c>
      <c r="I3" s="2">
        <f>Table104[[#This Row],[Owner Occupied]]*1000</f>
        <v>8272000</v>
      </c>
      <c r="J3" s="2">
        <f>Table104[[#This Row],[Rented Privately or with a job or business]]*1000</f>
        <v>3202000</v>
      </c>
      <c r="K3" s="2">
        <f>(Table104[[#This Row],[Rented from Private Registered Providers]]+Table104[[#This Row],[Rented from Local Authorities]]+Table104[[#This Row],[Other public sector dwellings]])*1000</f>
        <v>4506000</v>
      </c>
      <c r="L3" s="2">
        <f>Table104[[#This Row],[OO]]+Table104[[#This Row],[PRS]]</f>
        <v>11474000</v>
      </c>
      <c r="M3" s="2">
        <f>Table104[[#This Row],[PRS]]*1.15</f>
        <v>3682299.9999999995</v>
      </c>
      <c r="N3" s="2">
        <f>Table104[[#This Row],[OO]]+Table104[[#This Row],[PRS +15]]+Table104[[#This Row],[Social]]</f>
        <v>16460300</v>
      </c>
    </row>
    <row r="4" spans="1:14" x14ac:dyDescent="0.45">
      <c r="A4" s="15" t="s">
        <v>8</v>
      </c>
      <c r="B4" s="16">
        <v>1971</v>
      </c>
      <c r="C4" s="17">
        <v>8489</v>
      </c>
      <c r="D4" s="17">
        <v>3128</v>
      </c>
      <c r="E4" s="17">
        <v>0</v>
      </c>
      <c r="F4" s="17">
        <v>4593</v>
      </c>
      <c r="G4" s="17">
        <v>0</v>
      </c>
      <c r="H4" s="18">
        <v>16210</v>
      </c>
      <c r="I4" s="2">
        <f>Table104[[#This Row],[Owner Occupied]]*1000</f>
        <v>8489000</v>
      </c>
      <c r="J4" s="2">
        <f>Table104[[#This Row],[Rented Privately or with a job or business]]*1000</f>
        <v>3128000</v>
      </c>
      <c r="K4" s="2">
        <f>(Table104[[#This Row],[Rented from Private Registered Providers]]+Table104[[#This Row],[Rented from Local Authorities]]+Table104[[#This Row],[Other public sector dwellings]])*1000</f>
        <v>4593000</v>
      </c>
      <c r="L4" s="2">
        <f>Table104[[#This Row],[OO]]+Table104[[#This Row],[PRS]]</f>
        <v>11617000</v>
      </c>
      <c r="M4" s="2">
        <f>Table104[[#This Row],[PRS]]*1.15</f>
        <v>3597199.9999999995</v>
      </c>
      <c r="N4" s="2">
        <f>Table104[[#This Row],[OO]]+Table104[[#This Row],[PRS +15]]+Table104[[#This Row],[Social]]</f>
        <v>16679200</v>
      </c>
    </row>
    <row r="5" spans="1:14" x14ac:dyDescent="0.45">
      <c r="A5" s="15" t="s">
        <v>8</v>
      </c>
      <c r="B5" s="16">
        <v>1972</v>
      </c>
      <c r="C5" s="17">
        <v>8752</v>
      </c>
      <c r="D5" s="17">
        <v>3026</v>
      </c>
      <c r="E5" s="17">
        <v>0</v>
      </c>
      <c r="F5" s="17">
        <v>4619</v>
      </c>
      <c r="G5" s="17">
        <v>0</v>
      </c>
      <c r="H5" s="18">
        <v>16397</v>
      </c>
      <c r="I5" s="2">
        <f>Table104[[#This Row],[Owner Occupied]]*1000</f>
        <v>8752000</v>
      </c>
      <c r="J5" s="2">
        <f>Table104[[#This Row],[Rented Privately or with a job or business]]*1000</f>
        <v>3026000</v>
      </c>
      <c r="K5" s="2">
        <f>(Table104[[#This Row],[Rented from Private Registered Providers]]+Table104[[#This Row],[Rented from Local Authorities]]+Table104[[#This Row],[Other public sector dwellings]])*1000</f>
        <v>4619000</v>
      </c>
      <c r="L5" s="2">
        <f>Table104[[#This Row],[OO]]+Table104[[#This Row],[PRS]]</f>
        <v>11778000</v>
      </c>
      <c r="M5" s="2">
        <f>Table104[[#This Row],[PRS]]*1.15</f>
        <v>3479899.9999999995</v>
      </c>
      <c r="N5" s="2">
        <f>Table104[[#This Row],[OO]]+Table104[[#This Row],[PRS +15]]+Table104[[#This Row],[Social]]</f>
        <v>16850900</v>
      </c>
    </row>
    <row r="6" spans="1:14" x14ac:dyDescent="0.45">
      <c r="A6" s="15" t="s">
        <v>8</v>
      </c>
      <c r="B6" s="16">
        <v>1973</v>
      </c>
      <c r="C6" s="17">
        <v>8985</v>
      </c>
      <c r="D6" s="17">
        <v>2931</v>
      </c>
      <c r="E6" s="17">
        <v>0</v>
      </c>
      <c r="F6" s="17">
        <v>4657</v>
      </c>
      <c r="G6" s="17">
        <v>0</v>
      </c>
      <c r="H6" s="18">
        <v>16573</v>
      </c>
      <c r="I6" s="2">
        <f>Table104[[#This Row],[Owner Occupied]]*1000</f>
        <v>8985000</v>
      </c>
      <c r="J6" s="2">
        <f>Table104[[#This Row],[Rented Privately or with a job or business]]*1000</f>
        <v>2931000</v>
      </c>
      <c r="K6" s="2">
        <f>(Table104[[#This Row],[Rented from Private Registered Providers]]+Table104[[#This Row],[Rented from Local Authorities]]+Table104[[#This Row],[Other public sector dwellings]])*1000</f>
        <v>4657000</v>
      </c>
      <c r="L6" s="2">
        <f>Table104[[#This Row],[OO]]+Table104[[#This Row],[PRS]]</f>
        <v>11916000</v>
      </c>
      <c r="M6" s="2">
        <f>Table104[[#This Row],[PRS]]*1.15</f>
        <v>3370649.9999999995</v>
      </c>
      <c r="N6" s="2">
        <f>Table104[[#This Row],[OO]]+Table104[[#This Row],[PRS +15]]+Table104[[#This Row],[Social]]</f>
        <v>17012650</v>
      </c>
    </row>
    <row r="7" spans="1:14" x14ac:dyDescent="0.45">
      <c r="A7" s="15" t="s">
        <v>8</v>
      </c>
      <c r="B7" s="16">
        <v>1974</v>
      </c>
      <c r="C7" s="17">
        <v>9145</v>
      </c>
      <c r="D7" s="17">
        <v>2839</v>
      </c>
      <c r="E7" s="17">
        <v>0</v>
      </c>
      <c r="F7" s="17">
        <v>4773</v>
      </c>
      <c r="G7" s="17">
        <v>0</v>
      </c>
      <c r="H7" s="18">
        <v>16757</v>
      </c>
      <c r="I7" s="2">
        <f>Table104[[#This Row],[Owner Occupied]]*1000</f>
        <v>9145000</v>
      </c>
      <c r="J7" s="2">
        <f>Table104[[#This Row],[Rented Privately or with a job or business]]*1000</f>
        <v>2839000</v>
      </c>
      <c r="K7" s="2">
        <f>(Table104[[#This Row],[Rented from Private Registered Providers]]+Table104[[#This Row],[Rented from Local Authorities]]+Table104[[#This Row],[Other public sector dwellings]])*1000</f>
        <v>4773000</v>
      </c>
      <c r="L7" s="2">
        <f>Table104[[#This Row],[OO]]+Table104[[#This Row],[PRS]]</f>
        <v>11984000</v>
      </c>
      <c r="M7" s="2">
        <f>Table104[[#This Row],[PRS]]*1.15</f>
        <v>3264849.9999999995</v>
      </c>
      <c r="N7" s="2">
        <f>Table104[[#This Row],[OO]]+Table104[[#This Row],[PRS +15]]+Table104[[#This Row],[Social]]</f>
        <v>17182850</v>
      </c>
    </row>
    <row r="8" spans="1:14" x14ac:dyDescent="0.45">
      <c r="A8" s="15" t="s">
        <v>8</v>
      </c>
      <c r="B8" s="16">
        <v>1975</v>
      </c>
      <c r="C8" s="17">
        <v>9309</v>
      </c>
      <c r="D8" s="17">
        <v>2742</v>
      </c>
      <c r="E8" s="17">
        <v>0</v>
      </c>
      <c r="F8" s="17">
        <v>4910</v>
      </c>
      <c r="G8" s="17">
        <v>0</v>
      </c>
      <c r="H8" s="18">
        <v>16961</v>
      </c>
      <c r="I8" s="2">
        <f>Table104[[#This Row],[Owner Occupied]]*1000</f>
        <v>9309000</v>
      </c>
      <c r="J8" s="2">
        <f>Table104[[#This Row],[Rented Privately or with a job or business]]*1000</f>
        <v>2742000</v>
      </c>
      <c r="K8" s="2">
        <f>(Table104[[#This Row],[Rented from Private Registered Providers]]+Table104[[#This Row],[Rented from Local Authorities]]+Table104[[#This Row],[Other public sector dwellings]])*1000</f>
        <v>4910000</v>
      </c>
      <c r="L8" s="2">
        <f>Table104[[#This Row],[OO]]+Table104[[#This Row],[PRS]]</f>
        <v>12051000</v>
      </c>
      <c r="M8" s="2">
        <f>Table104[[#This Row],[PRS]]*1.15</f>
        <v>3153299.9999999995</v>
      </c>
      <c r="N8" s="2">
        <f>Table104[[#This Row],[OO]]+Table104[[#This Row],[PRS +15]]+Table104[[#This Row],[Social]]</f>
        <v>17372300</v>
      </c>
    </row>
    <row r="9" spans="1:14" x14ac:dyDescent="0.45">
      <c r="A9" s="15" t="s">
        <v>8</v>
      </c>
      <c r="B9" s="16">
        <v>1976</v>
      </c>
      <c r="C9" s="17">
        <v>9476</v>
      </c>
      <c r="D9" s="17">
        <v>2662</v>
      </c>
      <c r="E9" s="17">
        <v>0</v>
      </c>
      <c r="F9" s="17">
        <v>5036</v>
      </c>
      <c r="G9" s="17">
        <v>0</v>
      </c>
      <c r="H9" s="18">
        <v>17174</v>
      </c>
      <c r="I9" s="2">
        <f>Table104[[#This Row],[Owner Occupied]]*1000</f>
        <v>9476000</v>
      </c>
      <c r="J9" s="2">
        <f>Table104[[#This Row],[Rented Privately or with a job or business]]*1000</f>
        <v>2662000</v>
      </c>
      <c r="K9" s="2">
        <f>(Table104[[#This Row],[Rented from Private Registered Providers]]+Table104[[#This Row],[Rented from Local Authorities]]+Table104[[#This Row],[Other public sector dwellings]])*1000</f>
        <v>5036000</v>
      </c>
      <c r="L9" s="2">
        <f>Table104[[#This Row],[OO]]+Table104[[#This Row],[PRS]]</f>
        <v>12138000</v>
      </c>
      <c r="M9" s="2">
        <f>Table104[[#This Row],[PRS]]*1.15</f>
        <v>3061299.9999999995</v>
      </c>
      <c r="N9" s="2">
        <f>Table104[[#This Row],[OO]]+Table104[[#This Row],[PRS +15]]+Table104[[#This Row],[Social]]</f>
        <v>17573300</v>
      </c>
    </row>
    <row r="10" spans="1:14" x14ac:dyDescent="0.45">
      <c r="A10" s="15" t="s">
        <v>8</v>
      </c>
      <c r="B10" s="16">
        <v>1977</v>
      </c>
      <c r="C10" s="17">
        <v>9752</v>
      </c>
      <c r="D10" s="17">
        <v>2246</v>
      </c>
      <c r="E10" s="17">
        <v>300</v>
      </c>
      <c r="F10" s="17">
        <v>5096</v>
      </c>
      <c r="G10" s="17">
        <v>0</v>
      </c>
      <c r="H10" s="18">
        <v>17394</v>
      </c>
      <c r="I10" s="2">
        <f>Table104[[#This Row],[Owner Occupied]]*1000</f>
        <v>9752000</v>
      </c>
      <c r="J10" s="2">
        <f>Table104[[#This Row],[Rented Privately or with a job or business]]*1000</f>
        <v>2246000</v>
      </c>
      <c r="K10" s="2">
        <f>(Table104[[#This Row],[Rented from Private Registered Providers]]+Table104[[#This Row],[Rented from Local Authorities]]+Table104[[#This Row],[Other public sector dwellings]])*1000</f>
        <v>5396000</v>
      </c>
      <c r="L10" s="2">
        <f>Table104[[#This Row],[OO]]+Table104[[#This Row],[PRS]]</f>
        <v>11998000</v>
      </c>
      <c r="M10" s="2">
        <f>Table104[[#This Row],[PRS]]*1.15</f>
        <v>2582900</v>
      </c>
      <c r="N10" s="2">
        <f>Table104[[#This Row],[OO]]+Table104[[#This Row],[PRS +15]]+Table104[[#This Row],[Social]]</f>
        <v>17730900</v>
      </c>
    </row>
    <row r="11" spans="1:14" x14ac:dyDescent="0.45">
      <c r="A11" s="15" t="s">
        <v>8</v>
      </c>
      <c r="B11" s="16">
        <v>1978</v>
      </c>
      <c r="C11" s="17">
        <v>9970</v>
      </c>
      <c r="D11" s="17">
        <v>2150</v>
      </c>
      <c r="E11" s="17">
        <v>326</v>
      </c>
      <c r="F11" s="17">
        <v>5157</v>
      </c>
      <c r="G11" s="17">
        <v>0</v>
      </c>
      <c r="H11" s="18">
        <v>17603</v>
      </c>
      <c r="I11" s="2">
        <f>Table104[[#This Row],[Owner Occupied]]*1000</f>
        <v>9970000</v>
      </c>
      <c r="J11" s="2">
        <f>Table104[[#This Row],[Rented Privately or with a job or business]]*1000</f>
        <v>2150000</v>
      </c>
      <c r="K11" s="2">
        <f>(Table104[[#This Row],[Rented from Private Registered Providers]]+Table104[[#This Row],[Rented from Local Authorities]]+Table104[[#This Row],[Other public sector dwellings]])*1000</f>
        <v>5483000</v>
      </c>
      <c r="L11" s="2">
        <f>Table104[[#This Row],[OO]]+Table104[[#This Row],[PRS]]</f>
        <v>12120000</v>
      </c>
      <c r="M11" s="2">
        <f>Table104[[#This Row],[PRS]]*1.15</f>
        <v>2472500</v>
      </c>
      <c r="N11" s="2">
        <f>Table104[[#This Row],[OO]]+Table104[[#This Row],[PRS +15]]+Table104[[#This Row],[Social]]</f>
        <v>17925500</v>
      </c>
    </row>
    <row r="12" spans="1:14" x14ac:dyDescent="0.45">
      <c r="A12" s="15" t="s">
        <v>8</v>
      </c>
      <c r="B12" s="16">
        <v>1979</v>
      </c>
      <c r="C12" s="17">
        <v>10191</v>
      </c>
      <c r="D12" s="17">
        <v>2051</v>
      </c>
      <c r="E12" s="17">
        <v>353</v>
      </c>
      <c r="F12" s="17">
        <v>5187</v>
      </c>
      <c r="G12" s="17">
        <v>0</v>
      </c>
      <c r="H12" s="18">
        <v>17782</v>
      </c>
      <c r="I12" s="2">
        <f>Table104[[#This Row],[Owner Occupied]]*1000</f>
        <v>10191000</v>
      </c>
      <c r="J12" s="2">
        <f>Table104[[#This Row],[Rented Privately or with a job or business]]*1000</f>
        <v>2051000</v>
      </c>
      <c r="K12" s="2">
        <f>(Table104[[#This Row],[Rented from Private Registered Providers]]+Table104[[#This Row],[Rented from Local Authorities]]+Table104[[#This Row],[Other public sector dwellings]])*1000</f>
        <v>5540000</v>
      </c>
      <c r="L12" s="2">
        <f>Table104[[#This Row],[OO]]+Table104[[#This Row],[PRS]]</f>
        <v>12242000</v>
      </c>
      <c r="M12" s="2">
        <f>Table104[[#This Row],[PRS]]*1.15</f>
        <v>2358650</v>
      </c>
      <c r="N12" s="2">
        <f>Table104[[#This Row],[OO]]+Table104[[#This Row],[PRS +15]]+Table104[[#This Row],[Social]]</f>
        <v>18089650</v>
      </c>
    </row>
    <row r="13" spans="1:14" x14ac:dyDescent="0.45">
      <c r="A13" s="19" t="s">
        <v>8</v>
      </c>
      <c r="B13" s="20">
        <v>1980</v>
      </c>
      <c r="C13" s="21">
        <v>10260</v>
      </c>
      <c r="D13" s="21">
        <v>2084</v>
      </c>
      <c r="E13" s="21">
        <v>401</v>
      </c>
      <c r="F13" s="21">
        <v>5119</v>
      </c>
      <c r="G13" s="17">
        <v>0</v>
      </c>
      <c r="H13" s="22">
        <v>17864</v>
      </c>
      <c r="I13" s="2">
        <f>Table104[[#This Row],[Owner Occupied]]*1000</f>
        <v>10260000</v>
      </c>
      <c r="J13" s="2">
        <f>Table104[[#This Row],[Rented Privately or with a job or business]]*1000</f>
        <v>2084000</v>
      </c>
      <c r="K13" s="2">
        <f>(Table104[[#This Row],[Rented from Private Registered Providers]]+Table104[[#This Row],[Rented from Local Authorities]]+Table104[[#This Row],[Other public sector dwellings]])*1000</f>
        <v>5520000</v>
      </c>
      <c r="L13" s="2">
        <f>Table104[[#This Row],[OO]]+Table104[[#This Row],[PRS]]</f>
        <v>12344000</v>
      </c>
      <c r="M13" s="2">
        <f>Table104[[#This Row],[PRS]]*1.15</f>
        <v>2396600</v>
      </c>
      <c r="N13" s="2">
        <f>Table104[[#This Row],[OO]]+Table104[[#This Row],[PRS +15]]+Table104[[#This Row],[Social]]</f>
        <v>18176600</v>
      </c>
    </row>
    <row r="14" spans="1:14" x14ac:dyDescent="0.45">
      <c r="A14" s="15" t="s">
        <v>8</v>
      </c>
      <c r="B14" s="16">
        <v>1981</v>
      </c>
      <c r="C14" s="17">
        <v>10536</v>
      </c>
      <c r="D14" s="17">
        <v>1994</v>
      </c>
      <c r="E14" s="17">
        <v>420</v>
      </c>
      <c r="F14" s="17">
        <v>5068</v>
      </c>
      <c r="G14" s="17">
        <v>0</v>
      </c>
      <c r="H14" s="18">
        <v>18018</v>
      </c>
      <c r="I14" s="2">
        <f>Table104[[#This Row],[Owner Occupied]]*1000</f>
        <v>10536000</v>
      </c>
      <c r="J14" s="2">
        <f>Table104[[#This Row],[Rented Privately or with a job or business]]*1000</f>
        <v>1994000</v>
      </c>
      <c r="K14" s="2">
        <f>(Table104[[#This Row],[Rented from Private Registered Providers]]+Table104[[#This Row],[Rented from Local Authorities]]+Table104[[#This Row],[Other public sector dwellings]])*1000</f>
        <v>5488000</v>
      </c>
      <c r="L14" s="2">
        <f>Table104[[#This Row],[OO]]+Table104[[#This Row],[PRS]]</f>
        <v>12530000</v>
      </c>
      <c r="M14" s="2">
        <f>Table104[[#This Row],[PRS]]*1.15</f>
        <v>2293100</v>
      </c>
      <c r="N14" s="2">
        <f>Table104[[#This Row],[OO]]+Table104[[#This Row],[PRS +15]]+Table104[[#This Row],[Social]]</f>
        <v>18317100</v>
      </c>
    </row>
    <row r="15" spans="1:14" x14ac:dyDescent="0.45">
      <c r="A15" s="15" t="s">
        <v>8</v>
      </c>
      <c r="B15" s="16">
        <v>1982</v>
      </c>
      <c r="C15" s="17">
        <v>10906</v>
      </c>
      <c r="D15" s="17">
        <v>1919</v>
      </c>
      <c r="E15" s="17">
        <v>428</v>
      </c>
      <c r="F15" s="17">
        <v>4902</v>
      </c>
      <c r="G15" s="17">
        <v>0</v>
      </c>
      <c r="H15" s="18">
        <v>18154</v>
      </c>
      <c r="I15" s="2">
        <f>Table104[[#This Row],[Owner Occupied]]*1000</f>
        <v>10906000</v>
      </c>
      <c r="J15" s="2">
        <f>Table104[[#This Row],[Rented Privately or with a job or business]]*1000</f>
        <v>1919000</v>
      </c>
      <c r="K15" s="2">
        <f>(Table104[[#This Row],[Rented from Private Registered Providers]]+Table104[[#This Row],[Rented from Local Authorities]]+Table104[[#This Row],[Other public sector dwellings]])*1000</f>
        <v>5330000</v>
      </c>
      <c r="L15" s="2">
        <f>Table104[[#This Row],[OO]]+Table104[[#This Row],[PRS]]</f>
        <v>12825000</v>
      </c>
      <c r="M15" s="2">
        <f>Table104[[#This Row],[PRS]]*1.15</f>
        <v>2206850</v>
      </c>
      <c r="N15" s="2">
        <f>Table104[[#This Row],[OO]]+Table104[[#This Row],[PRS +15]]+Table104[[#This Row],[Social]]</f>
        <v>18442850</v>
      </c>
    </row>
    <row r="16" spans="1:14" x14ac:dyDescent="0.45">
      <c r="A16" s="15" t="s">
        <v>8</v>
      </c>
      <c r="B16" s="16">
        <v>1983</v>
      </c>
      <c r="C16" s="17">
        <v>11240</v>
      </c>
      <c r="D16" s="17">
        <v>1849</v>
      </c>
      <c r="E16" s="17">
        <v>441</v>
      </c>
      <c r="F16" s="17">
        <v>4788</v>
      </c>
      <c r="G16" s="17">
        <v>0</v>
      </c>
      <c r="H16" s="18">
        <v>18318</v>
      </c>
      <c r="I16" s="2">
        <f>Table104[[#This Row],[Owner Occupied]]*1000</f>
        <v>11240000</v>
      </c>
      <c r="J16" s="2">
        <f>Table104[[#This Row],[Rented Privately or with a job or business]]*1000</f>
        <v>1849000</v>
      </c>
      <c r="K16" s="2">
        <f>(Table104[[#This Row],[Rented from Private Registered Providers]]+Table104[[#This Row],[Rented from Local Authorities]]+Table104[[#This Row],[Other public sector dwellings]])*1000</f>
        <v>5229000</v>
      </c>
      <c r="L16" s="2">
        <f>Table104[[#This Row],[OO]]+Table104[[#This Row],[PRS]]</f>
        <v>13089000</v>
      </c>
      <c r="M16" s="2">
        <f>Table104[[#This Row],[PRS]]*1.15</f>
        <v>2126350</v>
      </c>
      <c r="N16" s="2">
        <f>Table104[[#This Row],[OO]]+Table104[[#This Row],[PRS +15]]+Table104[[#This Row],[Social]]</f>
        <v>18595350</v>
      </c>
    </row>
    <row r="17" spans="1:14" x14ac:dyDescent="0.45">
      <c r="A17" s="15" t="s">
        <v>8</v>
      </c>
      <c r="B17" s="16">
        <v>1984</v>
      </c>
      <c r="C17" s="17">
        <v>11550</v>
      </c>
      <c r="D17" s="17">
        <v>1778</v>
      </c>
      <c r="E17" s="17">
        <v>455</v>
      </c>
      <c r="F17" s="17">
        <v>4705</v>
      </c>
      <c r="G17" s="17">
        <v>0</v>
      </c>
      <c r="H17" s="18">
        <v>18488</v>
      </c>
      <c r="I17" s="2">
        <f>Table104[[#This Row],[Owner Occupied]]*1000</f>
        <v>11550000</v>
      </c>
      <c r="J17" s="2">
        <f>Table104[[#This Row],[Rented Privately or with a job or business]]*1000</f>
        <v>1778000</v>
      </c>
      <c r="K17" s="2">
        <f>(Table104[[#This Row],[Rented from Private Registered Providers]]+Table104[[#This Row],[Rented from Local Authorities]]+Table104[[#This Row],[Other public sector dwellings]])*1000</f>
        <v>5160000</v>
      </c>
      <c r="L17" s="2">
        <f>Table104[[#This Row],[OO]]+Table104[[#This Row],[PRS]]</f>
        <v>13328000</v>
      </c>
      <c r="M17" s="2">
        <f>Table104[[#This Row],[PRS]]*1.15</f>
        <v>2044699.9999999998</v>
      </c>
      <c r="N17" s="2">
        <f>Table104[[#This Row],[OO]]+Table104[[#This Row],[PRS +15]]+Table104[[#This Row],[Social]]</f>
        <v>18754700</v>
      </c>
    </row>
    <row r="18" spans="1:14" x14ac:dyDescent="0.45">
      <c r="A18" s="15" t="s">
        <v>8</v>
      </c>
      <c r="B18" s="16">
        <v>1985</v>
      </c>
      <c r="C18" s="17">
        <v>11843</v>
      </c>
      <c r="D18" s="17">
        <v>1709</v>
      </c>
      <c r="E18" s="17">
        <v>472</v>
      </c>
      <c r="F18" s="17">
        <v>4627</v>
      </c>
      <c r="G18" s="17">
        <v>0</v>
      </c>
      <c r="H18" s="18">
        <v>18651</v>
      </c>
      <c r="I18" s="2">
        <f>Table104[[#This Row],[Owner Occupied]]*1000</f>
        <v>11843000</v>
      </c>
      <c r="J18" s="2">
        <f>Table104[[#This Row],[Rented Privately or with a job or business]]*1000</f>
        <v>1709000</v>
      </c>
      <c r="K18" s="2">
        <f>(Table104[[#This Row],[Rented from Private Registered Providers]]+Table104[[#This Row],[Rented from Local Authorities]]+Table104[[#This Row],[Other public sector dwellings]])*1000</f>
        <v>5099000</v>
      </c>
      <c r="L18" s="2">
        <f>Table104[[#This Row],[OO]]+Table104[[#This Row],[PRS]]</f>
        <v>13552000</v>
      </c>
      <c r="M18" s="2">
        <f>Table104[[#This Row],[PRS]]*1.15</f>
        <v>1965349.9999999998</v>
      </c>
      <c r="N18" s="2">
        <f>Table104[[#This Row],[OO]]+Table104[[#This Row],[PRS +15]]+Table104[[#This Row],[Social]]</f>
        <v>18907350</v>
      </c>
    </row>
    <row r="19" spans="1:14" x14ac:dyDescent="0.45">
      <c r="A19" s="15" t="s">
        <v>8</v>
      </c>
      <c r="B19" s="16">
        <v>1986</v>
      </c>
      <c r="C19" s="17">
        <v>12145</v>
      </c>
      <c r="D19" s="17">
        <v>1641</v>
      </c>
      <c r="E19" s="17">
        <v>482</v>
      </c>
      <c r="F19" s="17">
        <v>4556</v>
      </c>
      <c r="G19" s="17">
        <v>0</v>
      </c>
      <c r="H19" s="18">
        <v>18824</v>
      </c>
      <c r="I19" s="2">
        <f>Table104[[#This Row],[Owner Occupied]]*1000</f>
        <v>12145000</v>
      </c>
      <c r="J19" s="2">
        <f>Table104[[#This Row],[Rented Privately or with a job or business]]*1000</f>
        <v>1641000</v>
      </c>
      <c r="K19" s="2">
        <f>(Table104[[#This Row],[Rented from Private Registered Providers]]+Table104[[#This Row],[Rented from Local Authorities]]+Table104[[#This Row],[Other public sector dwellings]])*1000</f>
        <v>5038000</v>
      </c>
      <c r="L19" s="2">
        <f>Table104[[#This Row],[OO]]+Table104[[#This Row],[PRS]]</f>
        <v>13786000</v>
      </c>
      <c r="M19" s="2">
        <f>Table104[[#This Row],[PRS]]*1.15</f>
        <v>1887149.9999999998</v>
      </c>
      <c r="N19" s="2">
        <f>Table104[[#This Row],[OO]]+Table104[[#This Row],[PRS +15]]+Table104[[#This Row],[Social]]</f>
        <v>19070150</v>
      </c>
    </row>
    <row r="20" spans="1:14" x14ac:dyDescent="0.45">
      <c r="A20" s="15" t="s">
        <v>8</v>
      </c>
      <c r="B20" s="16">
        <v>1987</v>
      </c>
      <c r="C20" s="17">
        <v>12264</v>
      </c>
      <c r="D20" s="17">
        <v>1899</v>
      </c>
      <c r="E20" s="17">
        <v>512</v>
      </c>
      <c r="F20" s="17">
        <v>4403</v>
      </c>
      <c r="G20" s="17">
        <v>0</v>
      </c>
      <c r="H20" s="18">
        <v>19078</v>
      </c>
      <c r="I20" s="2">
        <f>Table104[[#This Row],[Owner Occupied]]*1000</f>
        <v>12264000</v>
      </c>
      <c r="J20" s="2">
        <f>Table104[[#This Row],[Rented Privately or with a job or business]]*1000</f>
        <v>1899000</v>
      </c>
      <c r="K20" s="2">
        <f>(Table104[[#This Row],[Rented from Private Registered Providers]]+Table104[[#This Row],[Rented from Local Authorities]]+Table104[[#This Row],[Other public sector dwellings]])*1000</f>
        <v>4915000</v>
      </c>
      <c r="L20" s="2">
        <f>Table104[[#This Row],[OO]]+Table104[[#This Row],[PRS]]</f>
        <v>14163000</v>
      </c>
      <c r="M20" s="2">
        <f>Table104[[#This Row],[PRS]]*1.15</f>
        <v>2183850</v>
      </c>
      <c r="N20" s="2">
        <f>Table104[[#This Row],[OO]]+Table104[[#This Row],[PRS +15]]+Table104[[#This Row],[Social]]</f>
        <v>19362850</v>
      </c>
    </row>
    <row r="21" spans="1:14" x14ac:dyDescent="0.45">
      <c r="A21" s="15" t="s">
        <v>8</v>
      </c>
      <c r="B21" s="16">
        <v>1988</v>
      </c>
      <c r="C21" s="17">
        <v>12648</v>
      </c>
      <c r="D21" s="17">
        <v>1848</v>
      </c>
      <c r="E21" s="17">
        <v>534</v>
      </c>
      <c r="F21" s="17">
        <v>4254</v>
      </c>
      <c r="G21" s="17">
        <v>0</v>
      </c>
      <c r="H21" s="18">
        <v>19284</v>
      </c>
      <c r="I21" s="2">
        <f>Table104[[#This Row],[Owner Occupied]]*1000</f>
        <v>12648000</v>
      </c>
      <c r="J21" s="2">
        <f>Table104[[#This Row],[Rented Privately or with a job or business]]*1000</f>
        <v>1848000</v>
      </c>
      <c r="K21" s="2">
        <f>(Table104[[#This Row],[Rented from Private Registered Providers]]+Table104[[#This Row],[Rented from Local Authorities]]+Table104[[#This Row],[Other public sector dwellings]])*1000</f>
        <v>4788000</v>
      </c>
      <c r="L21" s="2">
        <f>Table104[[#This Row],[OO]]+Table104[[#This Row],[PRS]]</f>
        <v>14496000</v>
      </c>
      <c r="M21" s="2">
        <f>Table104[[#This Row],[PRS]]*1.15</f>
        <v>2125200</v>
      </c>
      <c r="N21" s="2">
        <f>Table104[[#This Row],[OO]]+Table104[[#This Row],[PRS +15]]+Table104[[#This Row],[Social]]</f>
        <v>19561200</v>
      </c>
    </row>
    <row r="22" spans="1:14" x14ac:dyDescent="0.45">
      <c r="A22" s="15" t="s">
        <v>8</v>
      </c>
      <c r="B22" s="16">
        <v>1989</v>
      </c>
      <c r="C22" s="17">
        <v>12971</v>
      </c>
      <c r="D22" s="17">
        <v>1849</v>
      </c>
      <c r="E22" s="17">
        <v>567</v>
      </c>
      <c r="F22" s="17">
        <v>4081</v>
      </c>
      <c r="G22" s="17">
        <v>0</v>
      </c>
      <c r="H22" s="18">
        <v>19469</v>
      </c>
      <c r="I22" s="2">
        <f>Table104[[#This Row],[Owner Occupied]]*1000</f>
        <v>12971000</v>
      </c>
      <c r="J22" s="2">
        <f>Table104[[#This Row],[Rented Privately or with a job or business]]*1000</f>
        <v>1849000</v>
      </c>
      <c r="K22" s="2">
        <f>(Table104[[#This Row],[Rented from Private Registered Providers]]+Table104[[#This Row],[Rented from Local Authorities]]+Table104[[#This Row],[Other public sector dwellings]])*1000</f>
        <v>4648000</v>
      </c>
      <c r="L22" s="2">
        <f>Table104[[#This Row],[OO]]+Table104[[#This Row],[PRS]]</f>
        <v>14820000</v>
      </c>
      <c r="M22" s="2">
        <f>Table104[[#This Row],[PRS]]*1.15</f>
        <v>2126350</v>
      </c>
      <c r="N22" s="2">
        <f>Table104[[#This Row],[OO]]+Table104[[#This Row],[PRS +15]]+Table104[[#This Row],[Social]]</f>
        <v>19745350</v>
      </c>
    </row>
    <row r="23" spans="1:14" x14ac:dyDescent="0.45">
      <c r="A23" s="19" t="s">
        <v>8</v>
      </c>
      <c r="B23" s="20">
        <v>1990</v>
      </c>
      <c r="C23" s="21">
        <v>13171</v>
      </c>
      <c r="D23" s="21">
        <v>1906</v>
      </c>
      <c r="E23" s="21">
        <v>613</v>
      </c>
      <c r="F23" s="21">
        <v>3944</v>
      </c>
      <c r="G23" s="17">
        <v>0</v>
      </c>
      <c r="H23" s="22">
        <v>19635</v>
      </c>
      <c r="I23" s="2">
        <f>Table104[[#This Row],[Owner Occupied]]*1000</f>
        <v>13171000</v>
      </c>
      <c r="J23" s="2">
        <f>Table104[[#This Row],[Rented Privately or with a job or business]]*1000</f>
        <v>1906000</v>
      </c>
      <c r="K23" s="2">
        <f>(Table104[[#This Row],[Rented from Private Registered Providers]]+Table104[[#This Row],[Rented from Local Authorities]]+Table104[[#This Row],[Other public sector dwellings]])*1000</f>
        <v>4557000</v>
      </c>
      <c r="L23" s="2">
        <f>Table104[[#This Row],[OO]]+Table104[[#This Row],[PRS]]</f>
        <v>15077000</v>
      </c>
      <c r="M23" s="2">
        <f>Table104[[#This Row],[PRS]]*1.15</f>
        <v>2191900</v>
      </c>
      <c r="N23" s="2">
        <f>Table104[[#This Row],[OO]]+Table104[[#This Row],[PRS +15]]+Table104[[#This Row],[Social]]</f>
        <v>19919900</v>
      </c>
    </row>
    <row r="24" spans="1:14" x14ac:dyDescent="0.45">
      <c r="A24" s="23" t="s">
        <v>9</v>
      </c>
      <c r="B24" s="16">
        <v>1991</v>
      </c>
      <c r="C24" s="17">
        <v>13230.308999999999</v>
      </c>
      <c r="D24" s="17">
        <v>1767</v>
      </c>
      <c r="E24" s="17">
        <v>608</v>
      </c>
      <c r="F24" s="17">
        <v>3899</v>
      </c>
      <c r="G24" s="17">
        <v>166.691</v>
      </c>
      <c r="H24" s="18">
        <v>19671</v>
      </c>
      <c r="I24" s="2">
        <f>Table104[[#This Row],[Owner Occupied]]*1000</f>
        <v>13230309</v>
      </c>
      <c r="J24" s="2">
        <f>Table104[[#This Row],[Rented Privately or with a job or business]]*1000</f>
        <v>1767000</v>
      </c>
      <c r="K24" s="2">
        <f>(Table104[[#This Row],[Rented from Private Registered Providers]]+Table104[[#This Row],[Rented from Local Authorities]]+Table104[[#This Row],[Other public sector dwellings]])*1000</f>
        <v>4673691</v>
      </c>
      <c r="L24" s="2">
        <f>Table104[[#This Row],[OO]]+Table104[[#This Row],[PRS]]</f>
        <v>14997309</v>
      </c>
      <c r="M24" s="2">
        <f>Table104[[#This Row],[PRS]]*1.15</f>
        <v>2032049.9999999998</v>
      </c>
      <c r="N24" s="2">
        <f>Table104[[#This Row],[OO]]+Table104[[#This Row],[PRS +15]]+Table104[[#This Row],[Social]]</f>
        <v>19936050</v>
      </c>
    </row>
    <row r="25" spans="1:14" x14ac:dyDescent="0.45">
      <c r="A25" s="23" t="s">
        <v>9</v>
      </c>
      <c r="B25" s="16">
        <v>1992</v>
      </c>
      <c r="C25" s="17">
        <v>13388.359</v>
      </c>
      <c r="D25" s="17">
        <v>1806</v>
      </c>
      <c r="E25" s="17">
        <v>646</v>
      </c>
      <c r="F25" s="17">
        <v>3844</v>
      </c>
      <c r="G25" s="17">
        <v>150.64099999999999</v>
      </c>
      <c r="H25" s="18">
        <v>19836</v>
      </c>
      <c r="I25" s="2">
        <f>Table104[[#This Row],[Owner Occupied]]*1000</f>
        <v>13388359</v>
      </c>
      <c r="J25" s="2">
        <f>Table104[[#This Row],[Rented Privately or with a job or business]]*1000</f>
        <v>1806000</v>
      </c>
      <c r="K25" s="2">
        <f>(Table104[[#This Row],[Rented from Private Registered Providers]]+Table104[[#This Row],[Rented from Local Authorities]]+Table104[[#This Row],[Other public sector dwellings]])*1000</f>
        <v>4640641</v>
      </c>
      <c r="L25" s="2">
        <f>Table104[[#This Row],[OO]]+Table104[[#This Row],[PRS]]</f>
        <v>15194359</v>
      </c>
      <c r="M25" s="2">
        <f>Table104[[#This Row],[PRS]]*1.15</f>
        <v>2076899.9999999998</v>
      </c>
      <c r="N25" s="2">
        <f>Table104[[#This Row],[OO]]+Table104[[#This Row],[PRS +15]]+Table104[[#This Row],[Social]]</f>
        <v>20105900</v>
      </c>
    </row>
    <row r="26" spans="1:14" x14ac:dyDescent="0.45">
      <c r="A26" s="23" t="s">
        <v>9</v>
      </c>
      <c r="B26" s="16">
        <v>1993</v>
      </c>
      <c r="C26" s="17">
        <v>13492.543</v>
      </c>
      <c r="D26" s="17">
        <v>1867</v>
      </c>
      <c r="E26" s="17">
        <v>714</v>
      </c>
      <c r="F26" s="17">
        <v>3760</v>
      </c>
      <c r="G26" s="17">
        <v>153.45699999999999</v>
      </c>
      <c r="H26" s="18">
        <v>19987</v>
      </c>
      <c r="I26" s="2">
        <f>Table104[[#This Row],[Owner Occupied]]*1000</f>
        <v>13492543</v>
      </c>
      <c r="J26" s="2">
        <f>Table104[[#This Row],[Rented Privately or with a job or business]]*1000</f>
        <v>1867000</v>
      </c>
      <c r="K26" s="2">
        <f>(Table104[[#This Row],[Rented from Private Registered Providers]]+Table104[[#This Row],[Rented from Local Authorities]]+Table104[[#This Row],[Other public sector dwellings]])*1000</f>
        <v>4627457</v>
      </c>
      <c r="L26" s="2">
        <f>Table104[[#This Row],[OO]]+Table104[[#This Row],[PRS]]</f>
        <v>15359543</v>
      </c>
      <c r="M26" s="2">
        <f>Table104[[#This Row],[PRS]]*1.15</f>
        <v>2147050</v>
      </c>
      <c r="N26" s="2">
        <f>Table104[[#This Row],[OO]]+Table104[[#This Row],[PRS +15]]+Table104[[#This Row],[Social]]</f>
        <v>20267050</v>
      </c>
    </row>
    <row r="27" spans="1:14" x14ac:dyDescent="0.45">
      <c r="A27" s="23" t="s">
        <v>9</v>
      </c>
      <c r="B27" s="16">
        <v>1994</v>
      </c>
      <c r="C27" s="17">
        <v>13616.489</v>
      </c>
      <c r="D27" s="17">
        <v>1929</v>
      </c>
      <c r="E27" s="17">
        <v>779</v>
      </c>
      <c r="F27" s="17">
        <v>3666</v>
      </c>
      <c r="G27" s="17">
        <v>149.511</v>
      </c>
      <c r="H27" s="18">
        <v>20139</v>
      </c>
      <c r="I27" s="2">
        <f>Table104[[#This Row],[Owner Occupied]]*1000</f>
        <v>13616489</v>
      </c>
      <c r="J27" s="2">
        <f>Table104[[#This Row],[Rented Privately or with a job or business]]*1000</f>
        <v>1929000</v>
      </c>
      <c r="K27" s="2">
        <f>(Table104[[#This Row],[Rented from Private Registered Providers]]+Table104[[#This Row],[Rented from Local Authorities]]+Table104[[#This Row],[Other public sector dwellings]])*1000</f>
        <v>4594511</v>
      </c>
      <c r="L27" s="2">
        <f>Table104[[#This Row],[OO]]+Table104[[#This Row],[PRS]]</f>
        <v>15545489</v>
      </c>
      <c r="M27" s="2">
        <f>Table104[[#This Row],[PRS]]*1.15</f>
        <v>2218350</v>
      </c>
      <c r="N27" s="2">
        <f>Table104[[#This Row],[OO]]+Table104[[#This Row],[PRS +15]]+Table104[[#This Row],[Social]]</f>
        <v>20429350</v>
      </c>
    </row>
    <row r="28" spans="1:14" x14ac:dyDescent="0.45">
      <c r="A28" s="23" t="s">
        <v>9</v>
      </c>
      <c r="B28" s="16">
        <v>1995</v>
      </c>
      <c r="C28" s="17">
        <v>13740.503000000001</v>
      </c>
      <c r="D28" s="17">
        <v>1998</v>
      </c>
      <c r="E28" s="17">
        <v>857</v>
      </c>
      <c r="F28" s="17">
        <v>3565</v>
      </c>
      <c r="G28" s="17">
        <v>145.49700000000001</v>
      </c>
      <c r="H28" s="18">
        <v>20305</v>
      </c>
      <c r="I28" s="2">
        <f>Table104[[#This Row],[Owner Occupied]]*1000</f>
        <v>13740503</v>
      </c>
      <c r="J28" s="2">
        <f>Table104[[#This Row],[Rented Privately or with a job or business]]*1000</f>
        <v>1998000</v>
      </c>
      <c r="K28" s="2">
        <f>(Table104[[#This Row],[Rented from Private Registered Providers]]+Table104[[#This Row],[Rented from Local Authorities]]+Table104[[#This Row],[Other public sector dwellings]])*1000</f>
        <v>4567497</v>
      </c>
      <c r="L28" s="2">
        <f>Table104[[#This Row],[OO]]+Table104[[#This Row],[PRS]]</f>
        <v>15738503</v>
      </c>
      <c r="M28" s="2">
        <f>Table104[[#This Row],[PRS]]*1.15</f>
        <v>2297700</v>
      </c>
      <c r="N28" s="2">
        <f>Table104[[#This Row],[OO]]+Table104[[#This Row],[PRS +15]]+Table104[[#This Row],[Social]]</f>
        <v>20605700</v>
      </c>
    </row>
    <row r="29" spans="1:14" x14ac:dyDescent="0.45">
      <c r="A29" s="23" t="s">
        <v>9</v>
      </c>
      <c r="B29" s="16">
        <v>1996</v>
      </c>
      <c r="C29" s="17">
        <v>13842.36</v>
      </c>
      <c r="D29" s="17">
        <v>2073</v>
      </c>
      <c r="E29" s="17">
        <v>942</v>
      </c>
      <c r="F29" s="17">
        <v>3470</v>
      </c>
      <c r="G29" s="17">
        <v>140.63999999999999</v>
      </c>
      <c r="H29" s="18">
        <v>20468</v>
      </c>
      <c r="I29" s="2">
        <f>Table104[[#This Row],[Owner Occupied]]*1000</f>
        <v>13842360</v>
      </c>
      <c r="J29" s="2">
        <f>Table104[[#This Row],[Rented Privately or with a job or business]]*1000</f>
        <v>2073000</v>
      </c>
      <c r="K29" s="2">
        <f>(Table104[[#This Row],[Rented from Private Registered Providers]]+Table104[[#This Row],[Rented from Local Authorities]]+Table104[[#This Row],[Other public sector dwellings]])*1000</f>
        <v>4552640</v>
      </c>
      <c r="L29" s="2">
        <f>Table104[[#This Row],[OO]]+Table104[[#This Row],[PRS]]</f>
        <v>15915360</v>
      </c>
      <c r="M29" s="2">
        <f>Table104[[#This Row],[PRS]]*1.15</f>
        <v>2383950</v>
      </c>
      <c r="N29" s="2">
        <f>Table104[[#This Row],[OO]]+Table104[[#This Row],[PRS +15]]+Table104[[#This Row],[Social]]</f>
        <v>20778950</v>
      </c>
    </row>
    <row r="30" spans="1:14" x14ac:dyDescent="0.45">
      <c r="A30" s="23" t="s">
        <v>9</v>
      </c>
      <c r="B30" s="16">
        <v>1997</v>
      </c>
      <c r="C30" s="17">
        <v>13979.103999999999</v>
      </c>
      <c r="D30" s="17">
        <v>2125</v>
      </c>
      <c r="E30" s="17">
        <v>985</v>
      </c>
      <c r="F30" s="17">
        <v>3401</v>
      </c>
      <c r="G30" s="17">
        <v>131.89599999999999</v>
      </c>
      <c r="H30" s="18">
        <v>20622</v>
      </c>
      <c r="I30" s="2">
        <f>Table104[[#This Row],[Owner Occupied]]*1000</f>
        <v>13979104</v>
      </c>
      <c r="J30" s="2">
        <f>Table104[[#This Row],[Rented Privately or with a job or business]]*1000</f>
        <v>2125000</v>
      </c>
      <c r="K30" s="2">
        <f>(Table104[[#This Row],[Rented from Private Registered Providers]]+Table104[[#This Row],[Rented from Local Authorities]]+Table104[[#This Row],[Other public sector dwellings]])*1000</f>
        <v>4517896</v>
      </c>
      <c r="L30" s="2">
        <f>Table104[[#This Row],[OO]]+Table104[[#This Row],[PRS]]</f>
        <v>16104104</v>
      </c>
      <c r="M30" s="2">
        <f>Table104[[#This Row],[PRS]]*1.15</f>
        <v>2443750</v>
      </c>
      <c r="N30" s="2">
        <f>Table104[[#This Row],[OO]]+Table104[[#This Row],[PRS +15]]+Table104[[#This Row],[Social]]</f>
        <v>20940750</v>
      </c>
    </row>
    <row r="31" spans="1:14" x14ac:dyDescent="0.45">
      <c r="A31" s="23" t="s">
        <v>9</v>
      </c>
      <c r="B31" s="16">
        <v>1998</v>
      </c>
      <c r="C31" s="17">
        <v>14186.777</v>
      </c>
      <c r="D31" s="17">
        <v>2121</v>
      </c>
      <c r="E31" s="17">
        <v>1040</v>
      </c>
      <c r="F31" s="17">
        <v>3309</v>
      </c>
      <c r="G31" s="17">
        <v>121.223</v>
      </c>
      <c r="H31" s="18">
        <v>20778</v>
      </c>
      <c r="I31" s="2">
        <f>Table104[[#This Row],[Owner Occupied]]*1000</f>
        <v>14186777</v>
      </c>
      <c r="J31" s="2">
        <f>Table104[[#This Row],[Rented Privately or with a job or business]]*1000</f>
        <v>2121000</v>
      </c>
      <c r="K31" s="2">
        <f>(Table104[[#This Row],[Rented from Private Registered Providers]]+Table104[[#This Row],[Rented from Local Authorities]]+Table104[[#This Row],[Other public sector dwellings]])*1000</f>
        <v>4470223</v>
      </c>
      <c r="L31" s="2">
        <f>Table104[[#This Row],[OO]]+Table104[[#This Row],[PRS]]</f>
        <v>16307777</v>
      </c>
      <c r="M31" s="2">
        <f>Table104[[#This Row],[PRS]]*1.15</f>
        <v>2439150</v>
      </c>
      <c r="N31" s="2">
        <f>Table104[[#This Row],[OO]]+Table104[[#This Row],[PRS +15]]+Table104[[#This Row],[Social]]</f>
        <v>21096150</v>
      </c>
    </row>
    <row r="32" spans="1:14" x14ac:dyDescent="0.45">
      <c r="A32" s="23" t="s">
        <v>9</v>
      </c>
      <c r="B32" s="16">
        <v>1999</v>
      </c>
      <c r="C32" s="17">
        <v>14407.966</v>
      </c>
      <c r="D32" s="17">
        <v>2086</v>
      </c>
      <c r="E32" s="17">
        <v>1146</v>
      </c>
      <c r="F32" s="17">
        <v>3178</v>
      </c>
      <c r="G32" s="17">
        <v>110.03400000000001</v>
      </c>
      <c r="H32" s="18">
        <v>20927</v>
      </c>
      <c r="I32" s="2">
        <f>Table104[[#This Row],[Owner Occupied]]*1000</f>
        <v>14407966</v>
      </c>
      <c r="J32" s="2">
        <f>Table104[[#This Row],[Rented Privately or with a job or business]]*1000</f>
        <v>2086000</v>
      </c>
      <c r="K32" s="2">
        <f>(Table104[[#This Row],[Rented from Private Registered Providers]]+Table104[[#This Row],[Rented from Local Authorities]]+Table104[[#This Row],[Other public sector dwellings]])*1000</f>
        <v>4434034</v>
      </c>
      <c r="L32" s="2">
        <f>Table104[[#This Row],[OO]]+Table104[[#This Row],[PRS]]</f>
        <v>16493966</v>
      </c>
      <c r="M32" s="2">
        <f>Table104[[#This Row],[PRS]]*1.15</f>
        <v>2398900</v>
      </c>
      <c r="N32" s="2">
        <f>Table104[[#This Row],[OO]]+Table104[[#This Row],[PRS +15]]+Table104[[#This Row],[Social]]</f>
        <v>21240900</v>
      </c>
    </row>
    <row r="33" spans="1:14" x14ac:dyDescent="0.45">
      <c r="A33" s="24" t="s">
        <v>9</v>
      </c>
      <c r="B33" s="20">
        <v>2000</v>
      </c>
      <c r="C33" s="21">
        <v>14599.629000000001</v>
      </c>
      <c r="D33" s="21">
        <v>2089</v>
      </c>
      <c r="E33" s="21">
        <v>1273</v>
      </c>
      <c r="F33" s="21">
        <v>3012</v>
      </c>
      <c r="G33" s="21">
        <v>101.371</v>
      </c>
      <c r="H33" s="22">
        <v>21075</v>
      </c>
      <c r="I33" s="2">
        <f>Table104[[#This Row],[Owner Occupied]]*1000</f>
        <v>14599629</v>
      </c>
      <c r="J33" s="2">
        <f>Table104[[#This Row],[Rented Privately or with a job or business]]*1000</f>
        <v>2089000</v>
      </c>
      <c r="K33" s="2">
        <f>(Table104[[#This Row],[Rented from Private Registered Providers]]+Table104[[#This Row],[Rented from Local Authorities]]+Table104[[#This Row],[Other public sector dwellings]])*1000</f>
        <v>4386371</v>
      </c>
      <c r="L33" s="2">
        <f>Table104[[#This Row],[OO]]+Table104[[#This Row],[PRS]]</f>
        <v>16688629</v>
      </c>
      <c r="M33" s="2">
        <f>Table104[[#This Row],[PRS]]*1.15</f>
        <v>2402350</v>
      </c>
      <c r="N33" s="2">
        <f>Table104[[#This Row],[OO]]+Table104[[#This Row],[PRS +15]]+Table104[[#This Row],[Social]]</f>
        <v>21388350</v>
      </c>
    </row>
    <row r="34" spans="1:14" x14ac:dyDescent="0.45">
      <c r="A34" s="23" t="s">
        <v>9</v>
      </c>
      <c r="B34" s="16">
        <v>2001</v>
      </c>
      <c r="C34" s="17">
        <v>14735</v>
      </c>
      <c r="D34" s="17">
        <v>2133</v>
      </c>
      <c r="E34" s="17">
        <v>1424</v>
      </c>
      <c r="F34" s="17">
        <v>2812</v>
      </c>
      <c r="G34" s="17">
        <v>103</v>
      </c>
      <c r="H34" s="18">
        <v>21207</v>
      </c>
      <c r="I34" s="2">
        <f>Table104[[#This Row],[Owner Occupied]]*1000</f>
        <v>14735000</v>
      </c>
      <c r="J34" s="2">
        <f>Table104[[#This Row],[Rented Privately or with a job or business]]*1000</f>
        <v>2133000</v>
      </c>
      <c r="K34" s="2">
        <f>(Table104[[#This Row],[Rented from Private Registered Providers]]+Table104[[#This Row],[Rented from Local Authorities]]+Table104[[#This Row],[Other public sector dwellings]])*1000</f>
        <v>4339000</v>
      </c>
      <c r="L34" s="2">
        <f>Table104[[#This Row],[OO]]+Table104[[#This Row],[PRS]]</f>
        <v>16868000</v>
      </c>
      <c r="M34" s="2">
        <f>Table104[[#This Row],[PRS]]*1.15</f>
        <v>2452950</v>
      </c>
      <c r="N34" s="2">
        <f>Table104[[#This Row],[OO]]+Table104[[#This Row],[PRS +15]]+Table104[[#This Row],[Social]]</f>
        <v>21526950</v>
      </c>
    </row>
    <row r="35" spans="1:14" x14ac:dyDescent="0.45">
      <c r="A35" s="23" t="s">
        <v>9</v>
      </c>
      <c r="B35" s="16">
        <v>2002</v>
      </c>
      <c r="C35" s="17">
        <v>14846.264418435774</v>
      </c>
      <c r="D35" s="17">
        <v>2197</v>
      </c>
      <c r="E35" s="17">
        <v>1492</v>
      </c>
      <c r="F35" s="17">
        <v>2706</v>
      </c>
      <c r="G35" s="17">
        <v>112.252</v>
      </c>
      <c r="H35" s="18">
        <v>21353.516418435775</v>
      </c>
      <c r="I35" s="2">
        <f>Table104[[#This Row],[Owner Occupied]]*1000</f>
        <v>14846264.418435775</v>
      </c>
      <c r="J35" s="2">
        <f>Table104[[#This Row],[Rented Privately or with a job or business]]*1000</f>
        <v>2197000</v>
      </c>
      <c r="K35" s="2">
        <f>(Table104[[#This Row],[Rented from Private Registered Providers]]+Table104[[#This Row],[Rented from Local Authorities]]+Table104[[#This Row],[Other public sector dwellings]])*1000</f>
        <v>4310252</v>
      </c>
      <c r="L35" s="2">
        <f>Table104[[#This Row],[OO]]+Table104[[#This Row],[PRS]]</f>
        <v>17043264.418435775</v>
      </c>
      <c r="M35" s="2">
        <f>Table104[[#This Row],[PRS]]*1.15</f>
        <v>2526550</v>
      </c>
      <c r="N35" s="2">
        <f>Table104[[#This Row],[OO]]+Table104[[#This Row],[PRS +15]]+Table104[[#This Row],[Social]]</f>
        <v>21683066.418435775</v>
      </c>
    </row>
    <row r="36" spans="1:14" x14ac:dyDescent="0.45">
      <c r="A36" s="23" t="s">
        <v>9</v>
      </c>
      <c r="B36" s="16">
        <v>2003</v>
      </c>
      <c r="C36" s="17">
        <v>14769.030555269799</v>
      </c>
      <c r="D36" s="17">
        <v>2549.29478160178</v>
      </c>
      <c r="E36" s="17">
        <v>1651</v>
      </c>
      <c r="F36" s="17">
        <v>2440.143</v>
      </c>
      <c r="G36" s="17">
        <v>103.923</v>
      </c>
      <c r="H36" s="18">
        <v>21513.3913368715</v>
      </c>
      <c r="I36" s="2">
        <f>Table104[[#This Row],[Owner Occupied]]*1000</f>
        <v>14769030.555269798</v>
      </c>
      <c r="J36" s="2">
        <f>Table104[[#This Row],[Rented Privately or with a job or business]]*1000</f>
        <v>2549294.7816017801</v>
      </c>
      <c r="K36" s="2">
        <f>(Table104[[#This Row],[Rented from Private Registered Providers]]+Table104[[#This Row],[Rented from Local Authorities]]+Table104[[#This Row],[Other public sector dwellings]])*1000</f>
        <v>4195066</v>
      </c>
      <c r="L36" s="2">
        <f>Table104[[#This Row],[OO]]+Table104[[#This Row],[PRS]]</f>
        <v>17318325.336871579</v>
      </c>
      <c r="M36" s="2">
        <f>Table104[[#This Row],[PRS]]*1.15</f>
        <v>2931688.9988420471</v>
      </c>
      <c r="N36" s="2">
        <f>Table104[[#This Row],[OO]]+Table104[[#This Row],[PRS +15]]+Table104[[#This Row],[Social]]</f>
        <v>21895785.554111846</v>
      </c>
    </row>
    <row r="37" spans="1:14" x14ac:dyDescent="0.45">
      <c r="A37" s="23" t="s">
        <v>9</v>
      </c>
      <c r="B37" s="16">
        <v>2004</v>
      </c>
      <c r="C37" s="17">
        <v>14986.537728277201</v>
      </c>
      <c r="D37" s="17">
        <v>2578.3815270300902</v>
      </c>
      <c r="E37" s="17">
        <v>1702</v>
      </c>
      <c r="F37" s="17">
        <v>2334.6309999999999</v>
      </c>
      <c r="G37" s="17">
        <v>82.81</v>
      </c>
      <c r="H37" s="18">
        <v>21684.3602553073</v>
      </c>
      <c r="I37" s="2">
        <f>Table104[[#This Row],[Owner Occupied]]*1000</f>
        <v>14986537.728277201</v>
      </c>
      <c r="J37" s="2">
        <f>Table104[[#This Row],[Rented Privately or with a job or business]]*1000</f>
        <v>2578381.5270300903</v>
      </c>
      <c r="K37" s="2">
        <f>(Table104[[#This Row],[Rented from Private Registered Providers]]+Table104[[#This Row],[Rented from Local Authorities]]+Table104[[#This Row],[Other public sector dwellings]])*1000</f>
        <v>4119441</v>
      </c>
      <c r="L37" s="2">
        <f>Table104[[#This Row],[OO]]+Table104[[#This Row],[PRS]]</f>
        <v>17564919.255307291</v>
      </c>
      <c r="M37" s="2">
        <f>Table104[[#This Row],[PRS]]*1.15</f>
        <v>2965138.7560846037</v>
      </c>
      <c r="N37" s="2">
        <f>Table104[[#This Row],[OO]]+Table104[[#This Row],[PRS +15]]+Table104[[#This Row],[Social]]</f>
        <v>22071117.484361805</v>
      </c>
    </row>
    <row r="38" spans="1:14" x14ac:dyDescent="0.45">
      <c r="A38" s="23" t="s">
        <v>9</v>
      </c>
      <c r="B38" s="16">
        <v>2005</v>
      </c>
      <c r="C38" s="17">
        <v>15100.126463030299</v>
      </c>
      <c r="D38" s="17">
        <v>2720.0545263988702</v>
      </c>
      <c r="E38" s="17">
        <v>1802</v>
      </c>
      <c r="F38" s="17">
        <v>2165.5259999999998</v>
      </c>
      <c r="G38" s="17">
        <v>82.206000000000003</v>
      </c>
      <c r="H38" s="18">
        <v>21869.912989429198</v>
      </c>
      <c r="I38" s="2">
        <f>Table104[[#This Row],[Owner Occupied]]*1000</f>
        <v>15100126.463030299</v>
      </c>
      <c r="J38" s="2">
        <f>Table104[[#This Row],[Rented Privately or with a job or business]]*1000</f>
        <v>2720054.5263988702</v>
      </c>
      <c r="K38" s="2">
        <f>(Table104[[#This Row],[Rented from Private Registered Providers]]+Table104[[#This Row],[Rented from Local Authorities]]+Table104[[#This Row],[Other public sector dwellings]])*1000</f>
        <v>4049732</v>
      </c>
      <c r="L38" s="2">
        <f>Table104[[#This Row],[OO]]+Table104[[#This Row],[PRS]]</f>
        <v>17820180.989429168</v>
      </c>
      <c r="M38" s="2">
        <f>Table104[[#This Row],[PRS]]*1.15</f>
        <v>3128062.7053587004</v>
      </c>
      <c r="N38" s="2">
        <f>Table104[[#This Row],[OO]]+Table104[[#This Row],[PRS +15]]+Table104[[#This Row],[Social]]</f>
        <v>22277921.168389</v>
      </c>
    </row>
    <row r="39" spans="1:14" x14ac:dyDescent="0.45">
      <c r="A39" s="23" t="s">
        <v>9</v>
      </c>
      <c r="B39" s="16">
        <v>2006</v>
      </c>
      <c r="C39" s="17">
        <v>15050.5610468381</v>
      </c>
      <c r="D39" s="17">
        <v>2986.70581507115</v>
      </c>
      <c r="E39" s="17">
        <v>1865.38604595571</v>
      </c>
      <c r="F39" s="17">
        <v>2087.4560000000001</v>
      </c>
      <c r="G39" s="17">
        <v>82.456999999999994</v>
      </c>
      <c r="H39" s="18">
        <v>22072.565907864901</v>
      </c>
      <c r="I39" s="2">
        <f>Table104[[#This Row],[Owner Occupied]]*1000</f>
        <v>15050561.046838101</v>
      </c>
      <c r="J39" s="2">
        <f>Table104[[#This Row],[Rented Privately or with a job or business]]*1000</f>
        <v>2986705.8150711502</v>
      </c>
      <c r="K39" s="2">
        <f>(Table104[[#This Row],[Rented from Private Registered Providers]]+Table104[[#This Row],[Rented from Local Authorities]]+Table104[[#This Row],[Other public sector dwellings]])*1000</f>
        <v>4035299.0459557101</v>
      </c>
      <c r="L39" s="2">
        <f>Table104[[#This Row],[OO]]+Table104[[#This Row],[PRS]]</f>
        <v>18037266.861909252</v>
      </c>
      <c r="M39" s="2">
        <f>Table104[[#This Row],[PRS]]*1.15</f>
        <v>3434711.6873318222</v>
      </c>
      <c r="N39" s="2">
        <f>Table104[[#This Row],[OO]]+Table104[[#This Row],[PRS +15]]+Table104[[#This Row],[Social]]</f>
        <v>22520571.780125633</v>
      </c>
    </row>
    <row r="40" spans="1:14" x14ac:dyDescent="0.45">
      <c r="A40" s="23" t="s">
        <v>9</v>
      </c>
      <c r="B40" s="16">
        <v>2007</v>
      </c>
      <c r="C40" s="17">
        <v>15092.527466436601</v>
      </c>
      <c r="D40" s="17">
        <v>3181.9914134626501</v>
      </c>
      <c r="E40" s="17">
        <v>1950.9239464015</v>
      </c>
      <c r="F40" s="17">
        <v>1987.3430000000001</v>
      </c>
      <c r="G40" s="17">
        <v>74.715999999999994</v>
      </c>
      <c r="H40" s="18">
        <v>22287.5018263007</v>
      </c>
      <c r="I40" s="2">
        <f>Table104[[#This Row],[Owner Occupied]]*1000</f>
        <v>15092527.4664366</v>
      </c>
      <c r="J40" s="2">
        <f>Table104[[#This Row],[Rented Privately or with a job or business]]*1000</f>
        <v>3181991.41346265</v>
      </c>
      <c r="K40" s="2">
        <f>(Table104[[#This Row],[Rented from Private Registered Providers]]+Table104[[#This Row],[Rented from Local Authorities]]+Table104[[#This Row],[Other public sector dwellings]])*1000</f>
        <v>4012982.9464014997</v>
      </c>
      <c r="L40" s="2">
        <f>Table104[[#This Row],[OO]]+Table104[[#This Row],[PRS]]</f>
        <v>18274518.879899248</v>
      </c>
      <c r="M40" s="2">
        <f>Table104[[#This Row],[PRS]]*1.15</f>
        <v>3659290.1254820474</v>
      </c>
      <c r="N40" s="2">
        <f>Table104[[#This Row],[OO]]+Table104[[#This Row],[PRS +15]]+Table104[[#This Row],[Social]]</f>
        <v>22764800.538320147</v>
      </c>
    </row>
    <row r="41" spans="1:14" x14ac:dyDescent="0.45">
      <c r="A41" s="23" t="s">
        <v>9</v>
      </c>
      <c r="B41" s="16">
        <v>2008</v>
      </c>
      <c r="C41" s="17">
        <v>15066.5968047925</v>
      </c>
      <c r="D41" s="17">
        <v>3443.4654403100199</v>
      </c>
      <c r="E41" s="17">
        <v>2056.4734996339598</v>
      </c>
      <c r="F41" s="17">
        <v>1870.366</v>
      </c>
      <c r="G41" s="17">
        <v>74.134</v>
      </c>
      <c r="H41" s="18">
        <v>22511.035744736499</v>
      </c>
      <c r="I41" s="2">
        <f>Table104[[#This Row],[Owner Occupied]]*1000</f>
        <v>15066596.804792499</v>
      </c>
      <c r="J41" s="2">
        <f>Table104[[#This Row],[Rented Privately or with a job or business]]*1000</f>
        <v>3443465.44031002</v>
      </c>
      <c r="K41" s="2">
        <f>(Table104[[#This Row],[Rented from Private Registered Providers]]+Table104[[#This Row],[Rented from Local Authorities]]+Table104[[#This Row],[Other public sector dwellings]])*1000</f>
        <v>4000973.49963396</v>
      </c>
      <c r="L41" s="2">
        <f>Table104[[#This Row],[OO]]+Table104[[#This Row],[PRS]]</f>
        <v>18510062.245102517</v>
      </c>
      <c r="M41" s="2">
        <f>Table104[[#This Row],[PRS]]*1.15</f>
        <v>3959985.2563565229</v>
      </c>
      <c r="N41" s="2">
        <f>Table104[[#This Row],[OO]]+Table104[[#This Row],[PRS +15]]+Table104[[#This Row],[Social]]</f>
        <v>23027555.560782984</v>
      </c>
    </row>
    <row r="42" spans="1:14" x14ac:dyDescent="0.45">
      <c r="A42" s="23" t="s">
        <v>9</v>
      </c>
      <c r="B42" s="16">
        <v>2009</v>
      </c>
      <c r="C42" s="17">
        <v>14968.1689439563</v>
      </c>
      <c r="D42" s="17">
        <v>3704.7291284522998</v>
      </c>
      <c r="E42" s="17">
        <v>2127.5104096975201</v>
      </c>
      <c r="F42" s="17">
        <v>1819.6959999999999</v>
      </c>
      <c r="G42" s="17">
        <v>73.697999999999993</v>
      </c>
      <c r="H42" s="18">
        <v>22693.802482106101</v>
      </c>
      <c r="I42" s="2">
        <f>Table104[[#This Row],[Owner Occupied]]*1000</f>
        <v>14968168.943956301</v>
      </c>
      <c r="J42" s="2">
        <f>Table104[[#This Row],[Rented Privately or with a job or business]]*1000</f>
        <v>3704729.1284522996</v>
      </c>
      <c r="K42" s="2">
        <f>(Table104[[#This Row],[Rented from Private Registered Providers]]+Table104[[#This Row],[Rented from Local Authorities]]+Table104[[#This Row],[Other public sector dwellings]])*1000</f>
        <v>4020904.4096975201</v>
      </c>
      <c r="L42" s="2">
        <f>Table104[[#This Row],[OO]]+Table104[[#This Row],[PRS]]</f>
        <v>18672898.072408602</v>
      </c>
      <c r="M42" s="2">
        <f>Table104[[#This Row],[PRS]]*1.15</f>
        <v>4260438.4977201447</v>
      </c>
      <c r="N42" s="2">
        <f>Table104[[#This Row],[OO]]+Table104[[#This Row],[PRS +15]]+Table104[[#This Row],[Social]]</f>
        <v>23249511.851373967</v>
      </c>
    </row>
    <row r="43" spans="1:14" x14ac:dyDescent="0.45">
      <c r="A43" s="24" t="s">
        <v>9</v>
      </c>
      <c r="B43" s="20">
        <v>2010</v>
      </c>
      <c r="C43" s="21">
        <v>14895.636528319799</v>
      </c>
      <c r="D43" s="21">
        <v>3911.6011318682099</v>
      </c>
      <c r="E43" s="21">
        <v>2180.0257403538299</v>
      </c>
      <c r="F43" s="21">
        <v>1786.4269999999999</v>
      </c>
      <c r="G43" s="21">
        <v>64.981999999999999</v>
      </c>
      <c r="H43" s="22">
        <v>22838.6724005418</v>
      </c>
      <c r="I43" s="2">
        <f>Table104[[#This Row],[Owner Occupied]]*1000</f>
        <v>14895636.528319798</v>
      </c>
      <c r="J43" s="2">
        <f>Table104[[#This Row],[Rented Privately or with a job or business]]*1000</f>
        <v>3911601.1318682097</v>
      </c>
      <c r="K43" s="2">
        <f>(Table104[[#This Row],[Rented from Private Registered Providers]]+Table104[[#This Row],[Rented from Local Authorities]]+Table104[[#This Row],[Other public sector dwellings]])*1000</f>
        <v>4031434.7403538297</v>
      </c>
      <c r="L43" s="2">
        <f>Table104[[#This Row],[OO]]+Table104[[#This Row],[PRS]]</f>
        <v>18807237.660188008</v>
      </c>
      <c r="M43" s="2">
        <f>Table104[[#This Row],[PRS]]*1.15</f>
        <v>4498341.3016484408</v>
      </c>
      <c r="N43" s="2">
        <f>Table104[[#This Row],[OO]]+Table104[[#This Row],[PRS +15]]+Table104[[#This Row],[Social]]</f>
        <v>23425412.57032207</v>
      </c>
    </row>
    <row r="44" spans="1:14" x14ac:dyDescent="0.45">
      <c r="A44" s="23" t="s">
        <v>9</v>
      </c>
      <c r="B44" s="16">
        <v>2011</v>
      </c>
      <c r="C44" s="17">
        <v>14827.6324430939</v>
      </c>
      <c r="D44" s="17">
        <v>4105.1165569060804</v>
      </c>
      <c r="E44" s="17">
        <v>2255</v>
      </c>
      <c r="F44" s="17">
        <v>1725.912</v>
      </c>
      <c r="G44" s="17">
        <v>62.405000000000001</v>
      </c>
      <c r="H44" s="18">
        <v>22976.065999999999</v>
      </c>
      <c r="I44" s="2">
        <f>Table104[[#This Row],[Owner Occupied]]*1000</f>
        <v>14827632.4430939</v>
      </c>
      <c r="J44" s="2">
        <f>Table104[[#This Row],[Rented Privately or with a job or business]]*1000</f>
        <v>4105116.5569060803</v>
      </c>
      <c r="K44" s="2">
        <f>(Table104[[#This Row],[Rented from Private Registered Providers]]+Table104[[#This Row],[Rented from Local Authorities]]+Table104[[#This Row],[Other public sector dwellings]])*1000</f>
        <v>4043317.0000000005</v>
      </c>
      <c r="L44" s="2">
        <f>Table104[[#This Row],[OO]]+Table104[[#This Row],[PRS]]</f>
        <v>18932748.999999981</v>
      </c>
      <c r="M44" s="2">
        <f>Table104[[#This Row],[PRS]]*1.15</f>
        <v>4720884.0404419918</v>
      </c>
      <c r="N44" s="2">
        <f>Table104[[#This Row],[OO]]+Table104[[#This Row],[PRS +15]]+Table104[[#This Row],[Social]]</f>
        <v>23591833.483535893</v>
      </c>
    </row>
    <row r="45" spans="1:14" x14ac:dyDescent="0.45">
      <c r="A45" s="23" t="s">
        <v>9</v>
      </c>
      <c r="B45" s="16">
        <v>2012</v>
      </c>
      <c r="C45" s="17">
        <v>14760.109323131701</v>
      </c>
      <c r="D45" s="17">
        <v>4285.6607158085299</v>
      </c>
      <c r="E45" s="17">
        <v>2303.8549743682602</v>
      </c>
      <c r="F45" s="17">
        <v>1692.6310000000001</v>
      </c>
      <c r="G45" s="17">
        <v>74.594999999999999</v>
      </c>
      <c r="H45" s="18">
        <v>23116.8510133085</v>
      </c>
      <c r="I45" s="2">
        <f>Table104[[#This Row],[Owner Occupied]]*1000</f>
        <v>14760109.323131701</v>
      </c>
      <c r="J45" s="2">
        <f>Table104[[#This Row],[Rented Privately or with a job or business]]*1000</f>
        <v>4285660.7158085294</v>
      </c>
      <c r="K45" s="2">
        <f>(Table104[[#This Row],[Rented from Private Registered Providers]]+Table104[[#This Row],[Rented from Local Authorities]]+Table104[[#This Row],[Other public sector dwellings]])*1000</f>
        <v>4071080.9743682598</v>
      </c>
      <c r="L45" s="2">
        <f>Table104[[#This Row],[OO]]+Table104[[#This Row],[PRS]]</f>
        <v>19045770.038940229</v>
      </c>
      <c r="M45" s="2">
        <f>Table104[[#This Row],[PRS]]*1.15</f>
        <v>4928509.8231798084</v>
      </c>
      <c r="N45" s="2">
        <f>Table104[[#This Row],[OO]]+Table104[[#This Row],[PRS +15]]+Table104[[#This Row],[Social]]</f>
        <v>23759700.12067977</v>
      </c>
    </row>
    <row r="46" spans="1:14" x14ac:dyDescent="0.45">
      <c r="A46" s="23" t="s">
        <v>9</v>
      </c>
      <c r="B46" s="16">
        <v>2013</v>
      </c>
      <c r="C46" s="17">
        <v>14702.4161444415</v>
      </c>
      <c r="D46" s="17">
        <v>4464.8375596987098</v>
      </c>
      <c r="E46" s="17">
        <v>2330.9254188006898</v>
      </c>
      <c r="F46" s="17">
        <v>1681.7850000000001</v>
      </c>
      <c r="G46" s="17">
        <v>67.498000000000005</v>
      </c>
      <c r="H46" s="18">
        <v>23247.462122940899</v>
      </c>
      <c r="I46" s="2">
        <f>Table104[[#This Row],[Owner Occupied]]*1000</f>
        <v>14702416.1444415</v>
      </c>
      <c r="J46" s="2">
        <f>Table104[[#This Row],[Rented Privately or with a job or business]]*1000</f>
        <v>4464837.5596987102</v>
      </c>
      <c r="K46" s="2">
        <f>(Table104[[#This Row],[Rented from Private Registered Providers]]+Table104[[#This Row],[Rented from Local Authorities]]+Table104[[#This Row],[Other public sector dwellings]])*1000</f>
        <v>4080208.4188006897</v>
      </c>
      <c r="L46" s="2">
        <f>Table104[[#This Row],[OO]]+Table104[[#This Row],[PRS]]</f>
        <v>19167253.704140209</v>
      </c>
      <c r="M46" s="2">
        <f>Table104[[#This Row],[PRS]]*1.15</f>
        <v>5134563.1936535165</v>
      </c>
      <c r="N46" s="2">
        <f>Table104[[#This Row],[OO]]+Table104[[#This Row],[PRS +15]]+Table104[[#This Row],[Social]]</f>
        <v>23917187.756895706</v>
      </c>
    </row>
    <row r="47" spans="1:14" x14ac:dyDescent="0.45">
      <c r="A47" s="23" t="s">
        <v>9</v>
      </c>
      <c r="B47" s="16">
        <v>2014</v>
      </c>
      <c r="C47" s="17">
        <v>14691.189808274799</v>
      </c>
      <c r="D47" s="17">
        <v>4622.6912372541901</v>
      </c>
      <c r="E47" s="17">
        <v>2343.09518704436</v>
      </c>
      <c r="F47" s="17">
        <v>1668.6849999999999</v>
      </c>
      <c r="G47" s="17">
        <v>64.295000000000002</v>
      </c>
      <c r="H47" s="18">
        <v>23389.956232573299</v>
      </c>
      <c r="I47" s="2">
        <f>Table104[[#This Row],[Owner Occupied]]*1000</f>
        <v>14691189.8082748</v>
      </c>
      <c r="J47" s="2">
        <f>Table104[[#This Row],[Rented Privately or with a job or business]]*1000</f>
        <v>4622691.2372541903</v>
      </c>
      <c r="K47" s="2">
        <f>(Table104[[#This Row],[Rented from Private Registered Providers]]+Table104[[#This Row],[Rented from Local Authorities]]+Table104[[#This Row],[Other public sector dwellings]])*1000</f>
        <v>4076075.1870443602</v>
      </c>
      <c r="L47" s="2">
        <f>Table104[[#This Row],[OO]]+Table104[[#This Row],[PRS]]</f>
        <v>19313881.045528989</v>
      </c>
      <c r="M47" s="2">
        <f>Table104[[#This Row],[PRS]]*1.15</f>
        <v>5316094.9228423182</v>
      </c>
      <c r="N47" s="2">
        <f>Table104[[#This Row],[OO]]+Table104[[#This Row],[PRS +15]]+Table104[[#This Row],[Social]]</f>
        <v>24083359.918161478</v>
      </c>
    </row>
    <row r="48" spans="1:14" x14ac:dyDescent="0.45">
      <c r="A48" s="23" t="s">
        <v>9</v>
      </c>
      <c r="B48" s="16">
        <v>2015</v>
      </c>
      <c r="C48" s="17">
        <v>14707.758227763399</v>
      </c>
      <c r="D48" s="17">
        <v>4773.3331201336796</v>
      </c>
      <c r="E48" s="17">
        <v>2387.0539943086301</v>
      </c>
      <c r="F48" s="17">
        <v>1643.2619999999999</v>
      </c>
      <c r="G48" s="17">
        <v>55.131</v>
      </c>
      <c r="H48" s="18">
        <v>23566.538342205698</v>
      </c>
      <c r="I48" s="2">
        <f>Table104[[#This Row],[Owner Occupied]]*1000</f>
        <v>14707758.227763399</v>
      </c>
      <c r="J48" s="2">
        <f>Table104[[#This Row],[Rented Privately or with a job or business]]*1000</f>
        <v>4773333.1201336794</v>
      </c>
      <c r="K48" s="2">
        <f>(Table104[[#This Row],[Rented from Private Registered Providers]]+Table104[[#This Row],[Rented from Local Authorities]]+Table104[[#This Row],[Other public sector dwellings]])*1000</f>
        <v>4085446.99430863</v>
      </c>
      <c r="L48" s="2">
        <f>Table104[[#This Row],[OO]]+Table104[[#This Row],[PRS]]</f>
        <v>19481091.347897079</v>
      </c>
      <c r="M48" s="2">
        <f>Table104[[#This Row],[PRS]]*1.15</f>
        <v>5489333.0881537311</v>
      </c>
      <c r="N48" s="2">
        <f>Table104[[#This Row],[OO]]+Table104[[#This Row],[PRS +15]]+Table104[[#This Row],[Social]]</f>
        <v>24282538.310225762</v>
      </c>
    </row>
    <row r="49" spans="1:14" x14ac:dyDescent="0.45">
      <c r="A49" s="23" t="s">
        <v>9</v>
      </c>
      <c r="B49" s="16">
        <v>2016</v>
      </c>
      <c r="C49" s="17">
        <v>14830.132370130201</v>
      </c>
      <c r="D49" s="17">
        <v>4832.0782955381801</v>
      </c>
      <c r="E49" s="17">
        <v>2430.17278616971</v>
      </c>
      <c r="F49" s="17">
        <v>1612.329</v>
      </c>
      <c r="G49" s="17">
        <v>57.36</v>
      </c>
      <c r="H49" s="18">
        <v>23762.072451838099</v>
      </c>
      <c r="I49" s="2">
        <f>Table104[[#This Row],[Owner Occupied]]*1000</f>
        <v>14830132.3701302</v>
      </c>
      <c r="J49" s="2">
        <f>Table104[[#This Row],[Rented Privately or with a job or business]]*1000</f>
        <v>4832078.2955381805</v>
      </c>
      <c r="K49" s="2">
        <f>(Table104[[#This Row],[Rented from Private Registered Providers]]+Table104[[#This Row],[Rented from Local Authorities]]+Table104[[#This Row],[Other public sector dwellings]])*1000</f>
        <v>4099861.7861697092</v>
      </c>
      <c r="L49" s="2">
        <f>Table104[[#This Row],[OO]]+Table104[[#This Row],[PRS]]</f>
        <v>19662210.66566838</v>
      </c>
      <c r="M49" s="2">
        <f>Table104[[#This Row],[PRS]]*1.15</f>
        <v>5556890.0398689071</v>
      </c>
      <c r="N49" s="2">
        <f>Table104[[#This Row],[OO]]+Table104[[#This Row],[PRS +15]]+Table104[[#This Row],[Social]]</f>
        <v>24486884.196168814</v>
      </c>
    </row>
    <row r="50" spans="1:14" x14ac:dyDescent="0.45">
      <c r="A50" s="23" t="s">
        <v>9</v>
      </c>
      <c r="B50" s="16">
        <v>2017</v>
      </c>
      <c r="C50" s="17">
        <v>15085.6075673463</v>
      </c>
      <c r="D50" s="17">
        <v>4797.9710182061399</v>
      </c>
      <c r="E50" s="17">
        <v>2443.78097591803</v>
      </c>
      <c r="F50" s="17">
        <v>1601.5730000000001</v>
      </c>
      <c r="G50" s="17">
        <v>56.374000000000002</v>
      </c>
      <c r="H50" s="18">
        <v>23985.306561470501</v>
      </c>
      <c r="I50" s="2">
        <f>Table104[[#This Row],[Owner Occupied]]*1000</f>
        <v>15085607.567346301</v>
      </c>
      <c r="J50" s="2">
        <f>Table104[[#This Row],[Rented Privately or with a job or business]]*1000</f>
        <v>4797971.01820614</v>
      </c>
      <c r="K50" s="2">
        <f>(Table104[[#This Row],[Rented from Private Registered Providers]]+Table104[[#This Row],[Rented from Local Authorities]]+Table104[[#This Row],[Other public sector dwellings]])*1000</f>
        <v>4101727.9759180299</v>
      </c>
      <c r="L50" s="2">
        <f>Table104[[#This Row],[OO]]+Table104[[#This Row],[PRS]]</f>
        <v>19883578.585552439</v>
      </c>
      <c r="M50" s="2">
        <f>Table104[[#This Row],[PRS]]*1.15</f>
        <v>5517666.6709370604</v>
      </c>
      <c r="N50" s="2">
        <f>Table104[[#This Row],[OO]]+Table104[[#This Row],[PRS +15]]+Table104[[#This Row],[Social]]</f>
        <v>24705002.214201391</v>
      </c>
    </row>
    <row r="51" spans="1:14" x14ac:dyDescent="0.45">
      <c r="A51" s="23" t="s">
        <v>9</v>
      </c>
      <c r="B51" s="16">
        <v>2018</v>
      </c>
      <c r="C51" s="17">
        <v>15352.670015412899</v>
      </c>
      <c r="D51" s="17">
        <v>4773.1562888450799</v>
      </c>
      <c r="E51" s="17">
        <v>2452.4323668448201</v>
      </c>
      <c r="F51" s="17">
        <v>1592.008</v>
      </c>
      <c r="G51" s="17">
        <v>43.21</v>
      </c>
      <c r="H51" s="18">
        <v>24213.476671102799</v>
      </c>
      <c r="I51" s="2">
        <f>Table104[[#This Row],[Owner Occupied]]*1000</f>
        <v>15352670.015412899</v>
      </c>
      <c r="J51" s="2">
        <f>Table104[[#This Row],[Rented Privately or with a job or business]]*1000</f>
        <v>4773156.28884508</v>
      </c>
      <c r="K51" s="2">
        <f>(Table104[[#This Row],[Rented from Private Registered Providers]]+Table104[[#This Row],[Rented from Local Authorities]]+Table104[[#This Row],[Other public sector dwellings]])*1000</f>
        <v>4087650.3668448203</v>
      </c>
      <c r="L51" s="2">
        <f>Table104[[#This Row],[OO]]+Table104[[#This Row],[PRS]]</f>
        <v>20125826.304257978</v>
      </c>
      <c r="M51" s="2">
        <f>Table104[[#This Row],[PRS]]*1.15</f>
        <v>5489129.7321718419</v>
      </c>
      <c r="N51" s="2">
        <f>Table104[[#This Row],[OO]]+Table104[[#This Row],[PRS +15]]+Table104[[#This Row],[Social]]</f>
        <v>24929450.114429563</v>
      </c>
    </row>
    <row r="52" spans="1:14" x14ac:dyDescent="0.45">
      <c r="A52" s="23" t="s">
        <v>9</v>
      </c>
      <c r="B52" s="16">
        <v>2019</v>
      </c>
      <c r="C52" s="17">
        <v>15591.4799527949</v>
      </c>
      <c r="D52" s="17">
        <v>4762.2664437012299</v>
      </c>
      <c r="E52" s="17">
        <v>2478.6803842391</v>
      </c>
      <c r="F52" s="17">
        <v>1587.164</v>
      </c>
      <c r="G52" s="17">
        <v>41.652000000000001</v>
      </c>
      <c r="H52" s="18">
        <v>24461.2427807352</v>
      </c>
      <c r="I52" s="2">
        <f>Table104[[#This Row],[Owner Occupied]]*1000</f>
        <v>15591479.9527949</v>
      </c>
      <c r="J52" s="2">
        <f>Table104[[#This Row],[Rented Privately or with a job or business]]*1000</f>
        <v>4762266.44370123</v>
      </c>
      <c r="K52" s="2">
        <f>(Table104[[#This Row],[Rented from Private Registered Providers]]+Table104[[#This Row],[Rented from Local Authorities]]+Table104[[#This Row],[Other public sector dwellings]])*1000</f>
        <v>4107496.3842390999</v>
      </c>
      <c r="L52" s="2">
        <f>Table104[[#This Row],[OO]]+Table104[[#This Row],[PRS]]</f>
        <v>20353746.396496132</v>
      </c>
      <c r="M52" s="2">
        <f>Table104[[#This Row],[PRS]]*1.15</f>
        <v>5476606.4102564137</v>
      </c>
      <c r="N52" s="2">
        <f>Table104[[#This Row],[OO]]+Table104[[#This Row],[PRS +15]]+Table104[[#This Row],[Social]]</f>
        <v>25175582.747290414</v>
      </c>
    </row>
    <row r="53" spans="1:14" x14ac:dyDescent="0.45">
      <c r="A53" s="24" t="s">
        <v>9</v>
      </c>
      <c r="B53" s="20">
        <v>2020</v>
      </c>
      <c r="C53" s="21">
        <v>15775.7986268114</v>
      </c>
      <c r="D53" s="21">
        <v>4812.7190635451498</v>
      </c>
      <c r="E53" s="21">
        <v>2504.8942000110601</v>
      </c>
      <c r="F53" s="21">
        <v>1582.9459999999999</v>
      </c>
      <c r="G53" s="21">
        <v>33.475999999999999</v>
      </c>
      <c r="H53" s="22">
        <v>24709.833890367601</v>
      </c>
      <c r="I53" s="2">
        <f>Table104[[#This Row],[Owner Occupied]]*1000</f>
        <v>15775798.6268114</v>
      </c>
      <c r="J53" s="2">
        <f>Table104[[#This Row],[Rented Privately or with a job or business]]*1000</f>
        <v>4812719.0635451498</v>
      </c>
      <c r="K53" s="2">
        <f>(Table104[[#This Row],[Rented from Private Registered Providers]]+Table104[[#This Row],[Rented from Local Authorities]]+Table104[[#This Row],[Other public sector dwellings]])*1000</f>
        <v>4121316.2000110596</v>
      </c>
      <c r="L53" s="2">
        <f>Table104[[#This Row],[OO]]+Table104[[#This Row],[PRS]]</f>
        <v>20588517.690356549</v>
      </c>
      <c r="M53" s="2">
        <f>Table104[[#This Row],[PRS]]*1.15</f>
        <v>5534626.9230769221</v>
      </c>
      <c r="N53" s="2">
        <f>Table104[[#This Row],[OO]]+Table104[[#This Row],[PRS +15]]+Table104[[#This Row],[Social]]</f>
        <v>25431741.74989938</v>
      </c>
    </row>
    <row r="54" spans="1:14" x14ac:dyDescent="0.45">
      <c r="A54" s="23" t="s">
        <v>9</v>
      </c>
      <c r="B54" s="16">
        <v>2021</v>
      </c>
      <c r="C54" s="17">
        <v>15913.996101896901</v>
      </c>
      <c r="D54" s="17">
        <v>4874.77703455964</v>
      </c>
      <c r="E54" s="17">
        <v>2523.9388635434402</v>
      </c>
      <c r="F54" s="17">
        <v>1581.5540000000001</v>
      </c>
      <c r="G54" s="17">
        <v>33.322000000000003</v>
      </c>
      <c r="H54" s="18">
        <v>24927.588</v>
      </c>
      <c r="I54" s="2">
        <f>Table104[[#This Row],[Owner Occupied]]*1000</f>
        <v>15913996.101896901</v>
      </c>
      <c r="J54" s="2">
        <f>Table104[[#This Row],[Rented Privately or with a job or business]]*1000</f>
        <v>4874777.0345596401</v>
      </c>
      <c r="K54" s="2">
        <f>(Table104[[#This Row],[Rented from Private Registered Providers]]+Table104[[#This Row],[Rented from Local Authorities]]+Table104[[#This Row],[Other public sector dwellings]])*1000</f>
        <v>4138814.8635434411</v>
      </c>
      <c r="L54" s="2">
        <f>Table104[[#This Row],[OO]]+Table104[[#This Row],[PRS]]</f>
        <v>20788773.136456542</v>
      </c>
      <c r="M54" s="2">
        <f>Table104[[#This Row],[PRS]]*1.15</f>
        <v>5605993.5897435853</v>
      </c>
      <c r="N54" s="2">
        <f>Table104[[#This Row],[OO]]+Table104[[#This Row],[PRS +15]]+Table104[[#This Row],[Social]]</f>
        <v>25658804.555183925</v>
      </c>
    </row>
    <row r="55" spans="1:14" x14ac:dyDescent="0.45">
      <c r="A55" s="23" t="s">
        <v>9</v>
      </c>
      <c r="B55" s="16">
        <v>2022</v>
      </c>
      <c r="C55" s="17">
        <v>16107.387041248599</v>
      </c>
      <c r="D55" s="17">
        <v>4903.8709587513904</v>
      </c>
      <c r="E55" s="17">
        <v>2541.5</v>
      </c>
      <c r="F55" s="17">
        <v>1575.7090000000001</v>
      </c>
      <c r="G55" s="17">
        <v>33.582999999999998</v>
      </c>
      <c r="H55" s="18">
        <v>25162.05</v>
      </c>
      <c r="I55" s="2">
        <f>Table104[[#This Row],[Owner Occupied]]*1000</f>
        <v>16107387.041248599</v>
      </c>
      <c r="J55" s="2">
        <f>Table104[[#This Row],[Rented Privately or with a job or business]]*1000</f>
        <v>4903870.9587513907</v>
      </c>
      <c r="K55" s="2">
        <f>(Table104[[#This Row],[Rented from Private Registered Providers]]+Table104[[#This Row],[Rented from Local Authorities]]+Table104[[#This Row],[Other public sector dwellings]])*1000</f>
        <v>4150791.9999999995</v>
      </c>
      <c r="L55" s="2">
        <f>Table104[[#This Row],[OO]]+Table104[[#This Row],[PRS]]</f>
        <v>21011257.999999989</v>
      </c>
      <c r="M55" s="2">
        <f>Table104[[#This Row],[PRS]]*1.15</f>
        <v>5639451.6025640992</v>
      </c>
      <c r="N55" s="2">
        <f>Table104[[#This Row],[OO]]+Table104[[#This Row],[PRS +15]]+Table104[[#This Row],[Social]]</f>
        <v>25897630.643812697</v>
      </c>
    </row>
    <row r="56" spans="1:14" x14ac:dyDescent="0.45">
      <c r="A56" s="23" t="s">
        <v>9</v>
      </c>
      <c r="B56" s="16">
        <v>2023</v>
      </c>
      <c r="C56" s="17">
        <v>16283.4881794872</v>
      </c>
      <c r="D56" s="17">
        <v>4939.0128205128203</v>
      </c>
      <c r="E56" s="17">
        <v>2571.2220000000002</v>
      </c>
      <c r="F56" s="17">
        <v>1571.4559999999999</v>
      </c>
      <c r="G56" s="17">
        <v>31.268000000000001</v>
      </c>
      <c r="H56" s="18">
        <v>25396.447</v>
      </c>
      <c r="I56" s="2">
        <f>Table104[[#This Row],[Owner Occupied]]*1000</f>
        <v>16283488.1794872</v>
      </c>
      <c r="J56" s="2">
        <f>Table104[[#This Row],[Rented Privately or with a job or business]]*1000</f>
        <v>4939012.82051282</v>
      </c>
      <c r="K56" s="2">
        <f>(Table104[[#This Row],[Rented from Private Registered Providers]]+Table104[[#This Row],[Rented from Local Authorities]]+Table104[[#This Row],[Other public sector dwellings]])*1000</f>
        <v>4173946</v>
      </c>
      <c r="L56" s="2">
        <f>Table104[[#This Row],[OO]]+Table104[[#This Row],[PRS]]</f>
        <v>21222501.000000022</v>
      </c>
      <c r="M56" s="2">
        <f>Table104[[#This Row],[PRS]]*1.15</f>
        <v>5679864.743589743</v>
      </c>
      <c r="N56" s="2">
        <f>Table104[[#This Row],[OO]]+Table104[[#This Row],[PRS +15]]+Table104[[#This Row],[Social]]</f>
        <v>26137298.923076943</v>
      </c>
    </row>
    <row r="57" spans="1:14" x14ac:dyDescent="0.45">
      <c r="A57" t="s">
        <v>111</v>
      </c>
      <c r="B57" s="1">
        <v>2024</v>
      </c>
      <c r="C57" s="2">
        <f>((C56-C55)*0.92)+C56</f>
        <v>16445.501226666711</v>
      </c>
      <c r="D57" s="2">
        <f t="shared" ref="D57:H57" si="0">((D56-D55)*0.92)+D56</f>
        <v>4971.343333333336</v>
      </c>
      <c r="E57" s="2">
        <f t="shared" si="0"/>
        <v>2598.5662400000006</v>
      </c>
      <c r="F57" s="2">
        <f t="shared" si="0"/>
        <v>1567.5432399999997</v>
      </c>
      <c r="G57" s="2">
        <f t="shared" si="0"/>
        <v>29.138200000000001</v>
      </c>
      <c r="H57" s="41">
        <f t="shared" si="0"/>
        <v>25612.092240000002</v>
      </c>
      <c r="I57" s="2">
        <f t="shared" ref="I57" si="1">((I56-I55)*0.92)+I56</f>
        <v>16445501.226666713</v>
      </c>
      <c r="J57" s="2">
        <f t="shared" ref="J57" si="2">((J56-J55)*0.92)+J56</f>
        <v>4971343.3333333349</v>
      </c>
      <c r="K57" s="2">
        <f t="shared" ref="K57" si="3">((K56-K55)*0.92)+K56</f>
        <v>4195247.6800000006</v>
      </c>
      <c r="L57" s="2">
        <f t="shared" ref="L57" si="4">((L56-L55)*0.92)+L56</f>
        <v>21416844.560000055</v>
      </c>
      <c r="M57" s="2">
        <f t="shared" ref="M57" si="5">((M56-M55)*0.92)+M56</f>
        <v>5717044.8333333349</v>
      </c>
      <c r="N57" s="2">
        <f>Table104[[#This Row],[OO]]+Table104[[#This Row],[PRS +15]]+Table104[[#This Row],[Social]]</f>
        <v>26357793.740000047</v>
      </c>
    </row>
    <row r="58" spans="1:14" x14ac:dyDescent="0.45">
      <c r="A58" t="s">
        <v>15</v>
      </c>
    </row>
    <row r="59" spans="1:14" x14ac:dyDescent="0.45">
      <c r="I59" s="2"/>
    </row>
    <row r="60" spans="1:14" x14ac:dyDescent="0.45">
      <c r="A60" t="s">
        <v>112</v>
      </c>
    </row>
    <row r="63" spans="1:14" x14ac:dyDescent="0.45">
      <c r="A63" t="s">
        <v>226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D1BC-0A6E-428A-8091-D861DEE339A3}">
  <dimension ref="A1:T136"/>
  <sheetViews>
    <sheetView workbookViewId="0">
      <selection activeCell="B34" sqref="B34"/>
    </sheetView>
  </sheetViews>
  <sheetFormatPr defaultColWidth="8.796875" defaultRowHeight="14.25" x14ac:dyDescent="0.45"/>
  <cols>
    <col min="1" max="2" width="9.46484375" customWidth="1"/>
    <col min="3" max="3" width="24" bestFit="1" customWidth="1"/>
    <col min="5" max="5" width="26" customWidth="1"/>
  </cols>
  <sheetData>
    <row r="1" spans="1:20" x14ac:dyDescent="0.45">
      <c r="A1" s="1" t="s">
        <v>16</v>
      </c>
      <c r="B1" s="1" t="s">
        <v>217</v>
      </c>
      <c r="C1" s="46" t="s">
        <v>218</v>
      </c>
      <c r="D1" s="1"/>
    </row>
    <row r="2" spans="1:20" ht="15.4" x14ac:dyDescent="0.45">
      <c r="A2" t="s">
        <v>17</v>
      </c>
      <c r="B2" t="s">
        <v>118</v>
      </c>
      <c r="C2" s="47">
        <f t="shared" ref="C2:C26" si="0">VLOOKUP(B2,A37:C136, 3)/3</f>
        <v>980</v>
      </c>
      <c r="D2" s="44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 ht="15" x14ac:dyDescent="0.45">
      <c r="A3" t="s">
        <v>18</v>
      </c>
      <c r="B3" t="s">
        <v>122</v>
      </c>
      <c r="C3" s="47">
        <f t="shared" si="0"/>
        <v>1026</v>
      </c>
      <c r="D3" s="44"/>
    </row>
    <row r="4" spans="1:20" ht="15" x14ac:dyDescent="0.45">
      <c r="A4" t="s">
        <v>19</v>
      </c>
      <c r="B4" t="s">
        <v>126</v>
      </c>
      <c r="C4" s="47">
        <f t="shared" si="0"/>
        <v>1055</v>
      </c>
      <c r="D4" s="44"/>
    </row>
    <row r="5" spans="1:20" ht="15" x14ac:dyDescent="0.45">
      <c r="A5" t="s">
        <v>20</v>
      </c>
      <c r="B5" t="s">
        <v>130</v>
      </c>
      <c r="C5" s="47">
        <f t="shared" si="0"/>
        <v>1075</v>
      </c>
      <c r="D5" s="44"/>
    </row>
    <row r="6" spans="1:20" ht="15" x14ac:dyDescent="0.45">
      <c r="A6" t="s">
        <v>21</v>
      </c>
      <c r="B6" t="s">
        <v>134</v>
      </c>
      <c r="C6" s="47">
        <f t="shared" si="0"/>
        <v>1124.6666666666667</v>
      </c>
      <c r="D6" s="44"/>
    </row>
    <row r="7" spans="1:20" ht="15" x14ac:dyDescent="0.45">
      <c r="A7" t="s">
        <v>22</v>
      </c>
      <c r="B7" t="s">
        <v>138</v>
      </c>
      <c r="C7" s="47">
        <f t="shared" si="0"/>
        <v>1161.3333333333333</v>
      </c>
      <c r="D7" s="44"/>
    </row>
    <row r="8" spans="1:20" ht="15" x14ac:dyDescent="0.45">
      <c r="A8" t="s">
        <v>23</v>
      </c>
      <c r="B8" t="s">
        <v>142</v>
      </c>
      <c r="C8" s="47">
        <f t="shared" si="0"/>
        <v>1208.3333333333333</v>
      </c>
      <c r="D8" s="44"/>
    </row>
    <row r="9" spans="1:20" ht="15" x14ac:dyDescent="0.45">
      <c r="A9" t="s">
        <v>24</v>
      </c>
      <c r="B9" t="s">
        <v>146</v>
      </c>
      <c r="C9" s="47">
        <f t="shared" si="0"/>
        <v>1266.6666666666667</v>
      </c>
      <c r="D9" s="44"/>
    </row>
    <row r="10" spans="1:20" ht="15" x14ac:dyDescent="0.45">
      <c r="A10" t="s">
        <v>25</v>
      </c>
      <c r="B10" t="s">
        <v>150</v>
      </c>
      <c r="C10" s="47">
        <f t="shared" si="0"/>
        <v>1316</v>
      </c>
      <c r="D10" s="44"/>
    </row>
    <row r="11" spans="1:20" ht="15" x14ac:dyDescent="0.45">
      <c r="A11" t="s">
        <v>26</v>
      </c>
      <c r="B11" t="s">
        <v>154</v>
      </c>
      <c r="C11" s="47">
        <f t="shared" si="0"/>
        <v>1339</v>
      </c>
      <c r="D11" s="44"/>
    </row>
    <row r="12" spans="1:20" ht="15" x14ac:dyDescent="0.45">
      <c r="A12" t="s">
        <v>27</v>
      </c>
      <c r="B12" t="s">
        <v>158</v>
      </c>
      <c r="C12" s="47">
        <f t="shared" si="0"/>
        <v>1342.3333333333333</v>
      </c>
      <c r="D12" s="44"/>
    </row>
    <row r="13" spans="1:20" ht="15" x14ac:dyDescent="0.45">
      <c r="A13" t="s">
        <v>28</v>
      </c>
      <c r="B13" t="s">
        <v>162</v>
      </c>
      <c r="C13" s="47">
        <f t="shared" si="0"/>
        <v>1354.6666666666667</v>
      </c>
      <c r="D13" s="44"/>
    </row>
    <row r="14" spans="1:20" ht="15" x14ac:dyDescent="0.45">
      <c r="A14" t="s">
        <v>29</v>
      </c>
      <c r="B14" t="s">
        <v>166</v>
      </c>
      <c r="C14" s="47">
        <f t="shared" si="0"/>
        <v>1411.6666666666667</v>
      </c>
      <c r="D14" s="44"/>
    </row>
    <row r="15" spans="1:20" ht="15" x14ac:dyDescent="0.45">
      <c r="A15" t="s">
        <v>30</v>
      </c>
      <c r="B15" t="s">
        <v>170</v>
      </c>
      <c r="C15" s="47">
        <f t="shared" si="0"/>
        <v>1447</v>
      </c>
      <c r="D15" s="44"/>
    </row>
    <row r="16" spans="1:20" ht="15" x14ac:dyDescent="0.45">
      <c r="A16" t="s">
        <v>31</v>
      </c>
      <c r="B16" t="s">
        <v>174</v>
      </c>
      <c r="C16" s="47">
        <f t="shared" si="0"/>
        <v>1502.3333333333333</v>
      </c>
      <c r="D16" s="44"/>
    </row>
    <row r="17" spans="1:8" ht="15" x14ac:dyDescent="0.45">
      <c r="A17" t="s">
        <v>32</v>
      </c>
      <c r="B17" t="s">
        <v>178</v>
      </c>
      <c r="C17" s="47">
        <f t="shared" si="0"/>
        <v>1574.6666666666667</v>
      </c>
      <c r="D17" s="44"/>
    </row>
    <row r="18" spans="1:8" ht="15" x14ac:dyDescent="0.45">
      <c r="A18" t="s">
        <v>33</v>
      </c>
      <c r="B18" t="s">
        <v>182</v>
      </c>
      <c r="C18" s="47">
        <f t="shared" si="0"/>
        <v>1603.6666666666667</v>
      </c>
      <c r="D18" s="44"/>
    </row>
    <row r="19" spans="1:8" ht="15" x14ac:dyDescent="0.45">
      <c r="A19" t="s">
        <v>34</v>
      </c>
      <c r="B19" t="s">
        <v>186</v>
      </c>
      <c r="C19" s="47">
        <f t="shared" si="0"/>
        <v>1640.3333333333333</v>
      </c>
      <c r="D19" s="44"/>
    </row>
    <row r="20" spans="1:8" ht="15" x14ac:dyDescent="0.45">
      <c r="A20" t="s">
        <v>35</v>
      </c>
      <c r="B20" t="s">
        <v>190</v>
      </c>
      <c r="C20" s="47">
        <f t="shared" si="0"/>
        <v>1683.6666666666667</v>
      </c>
      <c r="D20" s="44"/>
    </row>
    <row r="21" spans="1:8" ht="15" x14ac:dyDescent="0.45">
      <c r="A21" t="s">
        <v>36</v>
      </c>
      <c r="B21" t="s">
        <v>194</v>
      </c>
      <c r="C21" s="47">
        <f t="shared" si="0"/>
        <v>1753</v>
      </c>
      <c r="D21" s="44"/>
    </row>
    <row r="22" spans="1:8" ht="15" x14ac:dyDescent="0.45">
      <c r="A22" t="s">
        <v>37</v>
      </c>
      <c r="B22" t="s">
        <v>198</v>
      </c>
      <c r="C22" s="47">
        <f t="shared" si="0"/>
        <v>1712</v>
      </c>
      <c r="D22" s="44"/>
    </row>
    <row r="23" spans="1:8" ht="15" x14ac:dyDescent="0.45">
      <c r="A23" t="s">
        <v>38</v>
      </c>
      <c r="B23" t="s">
        <v>202</v>
      </c>
      <c r="C23" s="47">
        <f t="shared" si="0"/>
        <v>1808.3333333333333</v>
      </c>
      <c r="D23" s="44"/>
    </row>
    <row r="24" spans="1:8" ht="15" x14ac:dyDescent="0.45">
      <c r="A24" t="s">
        <v>39</v>
      </c>
      <c r="B24" t="s">
        <v>206</v>
      </c>
      <c r="C24" s="47">
        <f t="shared" si="0"/>
        <v>1877</v>
      </c>
      <c r="D24" s="44"/>
    </row>
    <row r="25" spans="1:8" ht="15" x14ac:dyDescent="0.45">
      <c r="A25" s="37">
        <v>45078</v>
      </c>
      <c r="B25" t="s">
        <v>210</v>
      </c>
      <c r="C25" s="47">
        <f t="shared" si="0"/>
        <v>2062.6666666666665</v>
      </c>
    </row>
    <row r="26" spans="1:8" ht="15" x14ac:dyDescent="0.45">
      <c r="A26" s="37">
        <v>45444</v>
      </c>
      <c r="B26" t="s">
        <v>214</v>
      </c>
      <c r="C26" s="47">
        <f t="shared" si="0"/>
        <v>2168.3333333333335</v>
      </c>
    </row>
    <row r="27" spans="1:8" ht="15.4" x14ac:dyDescent="0.45">
      <c r="F27" s="45"/>
      <c r="G27" s="45"/>
      <c r="H27" s="45"/>
    </row>
    <row r="28" spans="1:8" ht="15.4" x14ac:dyDescent="0.45">
      <c r="E28" s="26"/>
    </row>
    <row r="34" spans="1:3" x14ac:dyDescent="0.45">
      <c r="A34" s="1" t="s">
        <v>221</v>
      </c>
      <c r="B34" t="s">
        <v>227</v>
      </c>
    </row>
    <row r="37" spans="1:3" x14ac:dyDescent="0.45">
      <c r="A37" t="s">
        <v>117</v>
      </c>
      <c r="C37">
        <v>2912</v>
      </c>
    </row>
    <row r="38" spans="1:3" x14ac:dyDescent="0.45">
      <c r="A38" t="s">
        <v>118</v>
      </c>
      <c r="C38">
        <v>2940</v>
      </c>
    </row>
    <row r="39" spans="1:3" x14ac:dyDescent="0.45">
      <c r="A39" t="s">
        <v>119</v>
      </c>
      <c r="C39">
        <v>2997</v>
      </c>
    </row>
    <row r="40" spans="1:3" x14ac:dyDescent="0.45">
      <c r="A40" t="s">
        <v>120</v>
      </c>
      <c r="C40">
        <v>3033</v>
      </c>
    </row>
    <row r="41" spans="1:3" x14ac:dyDescent="0.45">
      <c r="A41" t="s">
        <v>121</v>
      </c>
      <c r="C41">
        <v>3086</v>
      </c>
    </row>
    <row r="42" spans="1:3" x14ac:dyDescent="0.45">
      <c r="A42" t="s">
        <v>122</v>
      </c>
      <c r="C42">
        <v>3078</v>
      </c>
    </row>
    <row r="43" spans="1:3" x14ac:dyDescent="0.45">
      <c r="A43" t="s">
        <v>123</v>
      </c>
      <c r="C43">
        <v>3087</v>
      </c>
    </row>
    <row r="44" spans="1:3" x14ac:dyDescent="0.45">
      <c r="A44" t="s">
        <v>124</v>
      </c>
      <c r="C44">
        <v>3096</v>
      </c>
    </row>
    <row r="45" spans="1:3" x14ac:dyDescent="0.45">
      <c r="A45" t="s">
        <v>125</v>
      </c>
      <c r="C45">
        <v>3124</v>
      </c>
    </row>
    <row r="46" spans="1:3" x14ac:dyDescent="0.45">
      <c r="A46" t="s">
        <v>126</v>
      </c>
      <c r="C46">
        <v>3165</v>
      </c>
    </row>
    <row r="47" spans="1:3" x14ac:dyDescent="0.45">
      <c r="A47" t="s">
        <v>127</v>
      </c>
      <c r="C47">
        <v>3155</v>
      </c>
    </row>
    <row r="48" spans="1:3" x14ac:dyDescent="0.45">
      <c r="A48" t="s">
        <v>128</v>
      </c>
      <c r="C48">
        <v>3192</v>
      </c>
    </row>
    <row r="49" spans="1:3" x14ac:dyDescent="0.45">
      <c r="A49" t="s">
        <v>129</v>
      </c>
      <c r="C49">
        <v>3210</v>
      </c>
    </row>
    <row r="50" spans="1:3" x14ac:dyDescent="0.45">
      <c r="A50" t="s">
        <v>130</v>
      </c>
      <c r="C50">
        <v>3225</v>
      </c>
    </row>
    <row r="51" spans="1:3" x14ac:dyDescent="0.45">
      <c r="A51" t="s">
        <v>131</v>
      </c>
      <c r="C51">
        <v>3269</v>
      </c>
    </row>
    <row r="52" spans="1:3" x14ac:dyDescent="0.45">
      <c r="A52" t="s">
        <v>132</v>
      </c>
      <c r="C52">
        <v>3309</v>
      </c>
    </row>
    <row r="53" spans="1:3" x14ac:dyDescent="0.45">
      <c r="A53" t="s">
        <v>133</v>
      </c>
      <c r="C53">
        <v>3335</v>
      </c>
    </row>
    <row r="54" spans="1:3" x14ac:dyDescent="0.45">
      <c r="A54" t="s">
        <v>134</v>
      </c>
      <c r="C54">
        <v>3374</v>
      </c>
    </row>
    <row r="55" spans="1:3" x14ac:dyDescent="0.45">
      <c r="A55" t="s">
        <v>135</v>
      </c>
      <c r="C55">
        <v>3397</v>
      </c>
    </row>
    <row r="56" spans="1:3" x14ac:dyDescent="0.45">
      <c r="A56" t="s">
        <v>136</v>
      </c>
      <c r="C56">
        <v>3433</v>
      </c>
    </row>
    <row r="57" spans="1:3" x14ac:dyDescent="0.45">
      <c r="A57" t="s">
        <v>137</v>
      </c>
      <c r="C57">
        <v>3461</v>
      </c>
    </row>
    <row r="58" spans="1:3" x14ac:dyDescent="0.45">
      <c r="A58" t="s">
        <v>138</v>
      </c>
      <c r="C58">
        <v>3484</v>
      </c>
    </row>
    <row r="59" spans="1:3" x14ac:dyDescent="0.45">
      <c r="A59" t="s">
        <v>139</v>
      </c>
      <c r="C59">
        <v>3531</v>
      </c>
    </row>
    <row r="60" spans="1:3" x14ac:dyDescent="0.45">
      <c r="A60" t="s">
        <v>140</v>
      </c>
      <c r="C60">
        <v>3550</v>
      </c>
    </row>
    <row r="61" spans="1:3" x14ac:dyDescent="0.45">
      <c r="A61" t="s">
        <v>141</v>
      </c>
      <c r="C61">
        <v>3607</v>
      </c>
    </row>
    <row r="62" spans="1:3" x14ac:dyDescent="0.45">
      <c r="A62" t="s">
        <v>142</v>
      </c>
      <c r="C62">
        <v>3625</v>
      </c>
    </row>
    <row r="63" spans="1:3" x14ac:dyDescent="0.45">
      <c r="A63" t="s">
        <v>143</v>
      </c>
      <c r="C63">
        <v>3675</v>
      </c>
    </row>
    <row r="64" spans="1:3" x14ac:dyDescent="0.45">
      <c r="A64" t="s">
        <v>144</v>
      </c>
      <c r="C64">
        <v>3694</v>
      </c>
    </row>
    <row r="65" spans="1:3" x14ac:dyDescent="0.45">
      <c r="A65" t="s">
        <v>145</v>
      </c>
      <c r="C65">
        <v>3782</v>
      </c>
    </row>
    <row r="66" spans="1:3" x14ac:dyDescent="0.45">
      <c r="A66" t="s">
        <v>146</v>
      </c>
      <c r="C66">
        <v>3800</v>
      </c>
    </row>
    <row r="67" spans="1:3" x14ac:dyDescent="0.45">
      <c r="A67" t="s">
        <v>147</v>
      </c>
      <c r="C67">
        <v>3854</v>
      </c>
    </row>
    <row r="68" spans="1:3" x14ac:dyDescent="0.45">
      <c r="A68" t="s">
        <v>148</v>
      </c>
      <c r="C68">
        <v>3845</v>
      </c>
    </row>
    <row r="69" spans="1:3" x14ac:dyDescent="0.45">
      <c r="A69" t="s">
        <v>149</v>
      </c>
      <c r="C69">
        <v>3852</v>
      </c>
    </row>
    <row r="70" spans="1:3" x14ac:dyDescent="0.45">
      <c r="A70" t="s">
        <v>150</v>
      </c>
      <c r="C70">
        <v>3948</v>
      </c>
    </row>
    <row r="71" spans="1:3" x14ac:dyDescent="0.45">
      <c r="A71" t="s">
        <v>151</v>
      </c>
      <c r="C71">
        <v>3927</v>
      </c>
    </row>
    <row r="72" spans="1:3" x14ac:dyDescent="0.45">
      <c r="A72" t="s">
        <v>152</v>
      </c>
      <c r="C72">
        <v>3956</v>
      </c>
    </row>
    <row r="73" spans="1:3" x14ac:dyDescent="0.45">
      <c r="A73" t="s">
        <v>153</v>
      </c>
      <c r="C73">
        <v>3936</v>
      </c>
    </row>
    <row r="74" spans="1:3" x14ac:dyDescent="0.45">
      <c r="A74" t="s">
        <v>154</v>
      </c>
      <c r="C74">
        <v>4017</v>
      </c>
    </row>
    <row r="75" spans="1:3" x14ac:dyDescent="0.45">
      <c r="A75" t="s">
        <v>155</v>
      </c>
      <c r="C75">
        <v>3998</v>
      </c>
    </row>
    <row r="76" spans="1:3" x14ac:dyDescent="0.45">
      <c r="A76" t="s">
        <v>156</v>
      </c>
      <c r="C76">
        <v>3995</v>
      </c>
    </row>
    <row r="77" spans="1:3" x14ac:dyDescent="0.45">
      <c r="A77" t="s">
        <v>157</v>
      </c>
      <c r="C77">
        <v>4002</v>
      </c>
    </row>
    <row r="78" spans="1:3" x14ac:dyDescent="0.45">
      <c r="A78" t="s">
        <v>158</v>
      </c>
      <c r="C78">
        <v>4027</v>
      </c>
    </row>
    <row r="79" spans="1:3" x14ac:dyDescent="0.45">
      <c r="A79" t="s">
        <v>159</v>
      </c>
      <c r="C79">
        <v>4032</v>
      </c>
    </row>
    <row r="80" spans="1:3" x14ac:dyDescent="0.45">
      <c r="A80" t="s">
        <v>160</v>
      </c>
      <c r="C80">
        <v>4032</v>
      </c>
    </row>
    <row r="81" spans="1:3" x14ac:dyDescent="0.45">
      <c r="A81" t="s">
        <v>161</v>
      </c>
      <c r="C81">
        <v>4009</v>
      </c>
    </row>
    <row r="82" spans="1:3" x14ac:dyDescent="0.45">
      <c r="A82" t="s">
        <v>162</v>
      </c>
      <c r="C82">
        <v>4064</v>
      </c>
    </row>
    <row r="83" spans="1:3" x14ac:dyDescent="0.45">
      <c r="A83" t="s">
        <v>163</v>
      </c>
      <c r="C83">
        <v>4088</v>
      </c>
    </row>
    <row r="84" spans="1:3" x14ac:dyDescent="0.45">
      <c r="A84" t="s">
        <v>164</v>
      </c>
      <c r="C84">
        <v>4096</v>
      </c>
    </row>
    <row r="85" spans="1:3" x14ac:dyDescent="0.45">
      <c r="A85" t="s">
        <v>165</v>
      </c>
      <c r="C85">
        <v>4183</v>
      </c>
    </row>
    <row r="86" spans="1:3" x14ac:dyDescent="0.45">
      <c r="A86" t="s">
        <v>166</v>
      </c>
      <c r="C86">
        <v>4235</v>
      </c>
    </row>
    <row r="87" spans="1:3" x14ac:dyDescent="0.45">
      <c r="A87" t="s">
        <v>167</v>
      </c>
      <c r="C87">
        <v>4200</v>
      </c>
    </row>
    <row r="88" spans="1:3" x14ac:dyDescent="0.45">
      <c r="A88" t="s">
        <v>168</v>
      </c>
      <c r="C88">
        <v>4238</v>
      </c>
    </row>
    <row r="89" spans="1:3" x14ac:dyDescent="0.45">
      <c r="A89" t="s">
        <v>169</v>
      </c>
      <c r="C89">
        <v>4252</v>
      </c>
    </row>
    <row r="90" spans="1:3" x14ac:dyDescent="0.45">
      <c r="A90" t="s">
        <v>170</v>
      </c>
      <c r="C90">
        <v>4341</v>
      </c>
    </row>
    <row r="91" spans="1:3" x14ac:dyDescent="0.45">
      <c r="A91" t="s">
        <v>171</v>
      </c>
      <c r="C91">
        <v>4420</v>
      </c>
    </row>
    <row r="92" spans="1:3" x14ac:dyDescent="0.45">
      <c r="A92" t="s">
        <v>172</v>
      </c>
      <c r="C92">
        <v>4475</v>
      </c>
    </row>
    <row r="93" spans="1:3" x14ac:dyDescent="0.45">
      <c r="A93" t="s">
        <v>173</v>
      </c>
      <c r="C93">
        <v>4488</v>
      </c>
    </row>
    <row r="94" spans="1:3" x14ac:dyDescent="0.45">
      <c r="A94" t="s">
        <v>174</v>
      </c>
      <c r="C94">
        <v>4507</v>
      </c>
    </row>
    <row r="95" spans="1:3" x14ac:dyDescent="0.45">
      <c r="A95" t="s">
        <v>175</v>
      </c>
      <c r="C95">
        <v>4491</v>
      </c>
    </row>
    <row r="96" spans="1:3" x14ac:dyDescent="0.45">
      <c r="A96" t="s">
        <v>176</v>
      </c>
      <c r="C96">
        <v>4559</v>
      </c>
    </row>
    <row r="97" spans="1:3" x14ac:dyDescent="0.45">
      <c r="A97" t="s">
        <v>177</v>
      </c>
      <c r="C97">
        <v>4613</v>
      </c>
    </row>
    <row r="98" spans="1:3" x14ac:dyDescent="0.45">
      <c r="A98" t="s">
        <v>178</v>
      </c>
      <c r="C98">
        <v>4724</v>
      </c>
    </row>
    <row r="99" spans="1:3" x14ac:dyDescent="0.45">
      <c r="A99" t="s">
        <v>179</v>
      </c>
      <c r="C99">
        <v>4820</v>
      </c>
    </row>
    <row r="100" spans="1:3" x14ac:dyDescent="0.45">
      <c r="A100" t="s">
        <v>180</v>
      </c>
      <c r="C100">
        <v>4827</v>
      </c>
    </row>
    <row r="101" spans="1:3" x14ac:dyDescent="0.45">
      <c r="A101" t="s">
        <v>181</v>
      </c>
      <c r="C101">
        <v>4800</v>
      </c>
    </row>
    <row r="102" spans="1:3" x14ac:dyDescent="0.45">
      <c r="A102" t="s">
        <v>182</v>
      </c>
      <c r="C102">
        <v>4811</v>
      </c>
    </row>
    <row r="103" spans="1:3" x14ac:dyDescent="0.45">
      <c r="A103" t="s">
        <v>183</v>
      </c>
      <c r="C103">
        <v>4807</v>
      </c>
    </row>
    <row r="104" spans="1:3" x14ac:dyDescent="0.45">
      <c r="A104" t="s">
        <v>184</v>
      </c>
      <c r="C104">
        <v>4800</v>
      </c>
    </row>
    <row r="105" spans="1:3" x14ac:dyDescent="0.45">
      <c r="A105" t="s">
        <v>185</v>
      </c>
      <c r="C105">
        <v>4801</v>
      </c>
    </row>
    <row r="106" spans="1:3" x14ac:dyDescent="0.45">
      <c r="A106" t="s">
        <v>186</v>
      </c>
      <c r="C106">
        <v>4921</v>
      </c>
    </row>
    <row r="107" spans="1:3" x14ac:dyDescent="0.45">
      <c r="A107" t="s">
        <v>187</v>
      </c>
      <c r="C107">
        <v>4955</v>
      </c>
    </row>
    <row r="108" spans="1:3" x14ac:dyDescent="0.45">
      <c r="A108" t="s">
        <v>188</v>
      </c>
      <c r="C108">
        <v>4988</v>
      </c>
    </row>
    <row r="109" spans="1:3" x14ac:dyDescent="0.45">
      <c r="A109" t="s">
        <v>189</v>
      </c>
      <c r="C109">
        <v>5073</v>
      </c>
    </row>
    <row r="110" spans="1:3" x14ac:dyDescent="0.45">
      <c r="A110" t="s">
        <v>190</v>
      </c>
      <c r="C110">
        <v>5051</v>
      </c>
    </row>
    <row r="111" spans="1:3" x14ac:dyDescent="0.45">
      <c r="A111" t="s">
        <v>191</v>
      </c>
      <c r="C111">
        <v>5089</v>
      </c>
    </row>
    <row r="112" spans="1:3" x14ac:dyDescent="0.45">
      <c r="A112" t="s">
        <v>192</v>
      </c>
      <c r="C112">
        <v>5180</v>
      </c>
    </row>
    <row r="113" spans="1:3" x14ac:dyDescent="0.45">
      <c r="A113" t="s">
        <v>193</v>
      </c>
      <c r="C113">
        <v>5165</v>
      </c>
    </row>
    <row r="114" spans="1:3" x14ac:dyDescent="0.45">
      <c r="A114" t="s">
        <v>194</v>
      </c>
      <c r="C114">
        <v>5259</v>
      </c>
    </row>
    <row r="115" spans="1:3" x14ac:dyDescent="0.45">
      <c r="A115" t="s">
        <v>195</v>
      </c>
      <c r="C115">
        <v>5272</v>
      </c>
    </row>
    <row r="116" spans="1:3" x14ac:dyDescent="0.45">
      <c r="A116" t="s">
        <v>196</v>
      </c>
      <c r="C116">
        <v>5319</v>
      </c>
    </row>
    <row r="117" spans="1:3" x14ac:dyDescent="0.45">
      <c r="A117" t="s">
        <v>197</v>
      </c>
      <c r="C117">
        <v>5222</v>
      </c>
    </row>
    <row r="118" spans="1:3" x14ac:dyDescent="0.45">
      <c r="A118" t="s">
        <v>198</v>
      </c>
      <c r="C118">
        <v>5136</v>
      </c>
    </row>
    <row r="119" spans="1:3" x14ac:dyDescent="0.45">
      <c r="A119" t="s">
        <v>199</v>
      </c>
      <c r="C119">
        <v>5289</v>
      </c>
    </row>
    <row r="120" spans="1:3" x14ac:dyDescent="0.45">
      <c r="A120" t="s">
        <v>200</v>
      </c>
      <c r="C120">
        <v>5318</v>
      </c>
    </row>
    <row r="121" spans="1:3" x14ac:dyDescent="0.45">
      <c r="A121" t="s">
        <v>201</v>
      </c>
      <c r="C121">
        <v>5371</v>
      </c>
    </row>
    <row r="122" spans="1:3" x14ac:dyDescent="0.45">
      <c r="A122" t="s">
        <v>202</v>
      </c>
      <c r="C122">
        <v>5425</v>
      </c>
    </row>
    <row r="123" spans="1:3" x14ac:dyDescent="0.45">
      <c r="A123" t="s">
        <v>203</v>
      </c>
      <c r="C123">
        <v>5445</v>
      </c>
    </row>
    <row r="124" spans="1:3" x14ac:dyDescent="0.45">
      <c r="A124" t="s">
        <v>204</v>
      </c>
      <c r="C124">
        <v>5453</v>
      </c>
    </row>
    <row r="125" spans="1:3" x14ac:dyDescent="0.45">
      <c r="A125" t="s">
        <v>205</v>
      </c>
      <c r="C125">
        <v>5514</v>
      </c>
    </row>
    <row r="126" spans="1:3" x14ac:dyDescent="0.45">
      <c r="A126" t="s">
        <v>206</v>
      </c>
      <c r="C126">
        <v>5631</v>
      </c>
    </row>
    <row r="127" spans="1:3" x14ac:dyDescent="0.45">
      <c r="A127" t="s">
        <v>207</v>
      </c>
      <c r="C127">
        <v>5727</v>
      </c>
    </row>
    <row r="128" spans="1:3" x14ac:dyDescent="0.45">
      <c r="A128" t="s">
        <v>208</v>
      </c>
      <c r="C128">
        <v>5988</v>
      </c>
    </row>
    <row r="129" spans="1:3" x14ac:dyDescent="0.45">
      <c r="A129" t="s">
        <v>209</v>
      </c>
      <c r="C129">
        <v>6053</v>
      </c>
    </row>
    <row r="130" spans="1:3" x14ac:dyDescent="0.45">
      <c r="A130" t="s">
        <v>210</v>
      </c>
      <c r="C130">
        <v>6188</v>
      </c>
    </row>
    <row r="131" spans="1:3" x14ac:dyDescent="0.45">
      <c r="A131" t="s">
        <v>211</v>
      </c>
      <c r="C131">
        <v>6196</v>
      </c>
    </row>
    <row r="132" spans="1:3" x14ac:dyDescent="0.45">
      <c r="A132" t="s">
        <v>212</v>
      </c>
      <c r="C132">
        <v>6250</v>
      </c>
    </row>
    <row r="133" spans="1:3" x14ac:dyDescent="0.45">
      <c r="A133" t="s">
        <v>213</v>
      </c>
      <c r="C133">
        <v>6395</v>
      </c>
    </row>
    <row r="134" spans="1:3" x14ac:dyDescent="0.45">
      <c r="A134" t="s">
        <v>214</v>
      </c>
      <c r="C134">
        <v>6505</v>
      </c>
    </row>
    <row r="135" spans="1:3" x14ac:dyDescent="0.45">
      <c r="A135" t="s">
        <v>215</v>
      </c>
      <c r="C135">
        <v>6575</v>
      </c>
    </row>
    <row r="136" spans="1:3" x14ac:dyDescent="0.45">
      <c r="A136" t="s">
        <v>216</v>
      </c>
      <c r="C136">
        <v>6735</v>
      </c>
    </row>
  </sheetData>
  <phoneticPr fontId="4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Calcs</vt:lpstr>
      <vt:lpstr>Pop</vt:lpstr>
      <vt:lpstr>Rents</vt:lpstr>
      <vt:lpstr>Housing Stock</vt:lpstr>
      <vt:lpstr>Wages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Seiffarth</dc:creator>
  <cp:lastModifiedBy>Onward Office</cp:lastModifiedBy>
  <dcterms:created xsi:type="dcterms:W3CDTF">2025-01-09T21:09:46Z</dcterms:created>
  <dcterms:modified xsi:type="dcterms:W3CDTF">2025-06-25T08:40:15Z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77031b-11bc-4db9-b655-7d79027ad570_Enabled">
    <vt:lpwstr>true</vt:lpwstr>
  </property>
  <property fmtid="{D5CDD505-2E9C-101B-9397-08002B2CF9AE}" pid="3" name="MSIP_Label_8577031b-11bc-4db9-b655-7d79027ad570_SetDate">
    <vt:lpwstr>2025-01-09T23:28:45Z</vt:lpwstr>
  </property>
  <property fmtid="{D5CDD505-2E9C-101B-9397-08002B2CF9AE}" pid="4" name="MSIP_Label_8577031b-11bc-4db9-b655-7d79027ad570_Method">
    <vt:lpwstr>Standard</vt:lpwstr>
  </property>
  <property fmtid="{D5CDD505-2E9C-101B-9397-08002B2CF9AE}" pid="5" name="MSIP_Label_8577031b-11bc-4db9-b655-7d79027ad570_Name">
    <vt:lpwstr>8577031b-11bc-4db9-b655-7d79027ad570</vt:lpwstr>
  </property>
  <property fmtid="{D5CDD505-2E9C-101B-9397-08002B2CF9AE}" pid="6" name="MSIP_Label_8577031b-11bc-4db9-b655-7d79027ad570_SiteId">
    <vt:lpwstr>c22cc3e1-5d7f-4f4d-be03-d5a158cc9409</vt:lpwstr>
  </property>
  <property fmtid="{D5CDD505-2E9C-101B-9397-08002B2CF9AE}" pid="7" name="MSIP_Label_8577031b-11bc-4db9-b655-7d79027ad570_ActionId">
    <vt:lpwstr>4af1c0e9-6625-4835-879c-0a19f03cdf3f</vt:lpwstr>
  </property>
  <property fmtid="{D5CDD505-2E9C-101B-9397-08002B2CF9AE}" pid="8" name="MSIP_Label_8577031b-11bc-4db9-b655-7d79027ad570_ContentBits">
    <vt:lpwstr>1</vt:lpwstr>
  </property>
</Properties>
</file>