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rinkpak.sharepoint.com/sites/Batching-Private/Documents/Templates and Recipes/Monster/Batch Cards/"/>
    </mc:Choice>
  </mc:AlternateContent>
  <xr:revisionPtr revIDLastSave="62" documentId="13_ncr:1_{F0CA932F-B78A-46C2-BCBD-8CD4B6DCCE1C}" xr6:coauthVersionLast="47" xr6:coauthVersionMax="47" xr10:uidLastSave="{E36B7A3C-E913-4FA1-801B-87AB089795CD}"/>
  <bookViews>
    <workbookView xWindow="-120" yWindow="-120" windowWidth="57840" windowHeight="23520" activeTab="1" xr2:uid="{752ACB90-A7F3-4687-B40A-B6A5861BC468}"/>
  </bookViews>
  <sheets>
    <sheet name="MASTER - Batch Overview" sheetId="3" r:id="rId1"/>
    <sheet name="MASTER - Batch Instructions" sheetId="6" r:id="rId2"/>
    <sheet name="MASTER - Lot Tracking (1)" sheetId="12" r:id="rId3"/>
    <sheet name="MASTER - Lot Tracking (2)" sheetId="13" r:id="rId4"/>
    <sheet name="DATEX" sheetId="9" r:id="rId5"/>
  </sheets>
  <definedNames>
    <definedName name="_xlnm.Print_Area" localSheetId="1">'MASTER - Batch Instructions'!$B$2:$S$80</definedName>
    <definedName name="_xlnm.Print_Area" localSheetId="0">'MASTER - Batch Overview'!$B$2:$N$39</definedName>
    <definedName name="_xlnm.Print_Area" localSheetId="2">'MASTER - Lot Tracking (1)'!$B$2:$J$42</definedName>
    <definedName name="_xlnm.Print_Area" localSheetId="3">'MASTER - Lot Tracking (2)'!$B$2:$J$42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1" i="6" l="1"/>
  <c r="J65" i="6"/>
  <c r="J63" i="6"/>
  <c r="G63" i="6"/>
  <c r="F63" i="6"/>
  <c r="J59" i="6"/>
  <c r="G59" i="6"/>
  <c r="F59" i="6"/>
  <c r="J53" i="6"/>
  <c r="J40" i="6"/>
  <c r="J31" i="6"/>
  <c r="J18" i="6"/>
  <c r="G18" i="6"/>
  <c r="F18" i="6"/>
  <c r="J24" i="6"/>
  <c r="G29" i="6"/>
  <c r="F29" i="6"/>
  <c r="D29" i="6"/>
  <c r="C29" i="6"/>
  <c r="G27" i="6"/>
  <c r="F27" i="6"/>
  <c r="D27" i="6"/>
  <c r="C27" i="6"/>
  <c r="J22" i="6"/>
  <c r="G26" i="6"/>
  <c r="F26" i="6"/>
  <c r="G22" i="6"/>
  <c r="F22" i="6"/>
  <c r="J51" i="6"/>
  <c r="G51" i="6"/>
  <c r="F51" i="6"/>
  <c r="J49" i="6"/>
  <c r="G49" i="6"/>
  <c r="F49" i="6"/>
  <c r="J47" i="6"/>
  <c r="G47" i="6"/>
  <c r="F47" i="6"/>
  <c r="J45" i="6"/>
  <c r="J60" i="6"/>
  <c r="J36" i="6"/>
  <c r="J28" i="6"/>
  <c r="G13" i="9"/>
  <c r="G12" i="9"/>
  <c r="G17" i="3"/>
  <c r="G10" i="3"/>
  <c r="G9" i="3"/>
  <c r="J29" i="6" l="1"/>
  <c r="E29" i="6" s="1"/>
  <c r="F61" i="6"/>
  <c r="D61" i="6"/>
  <c r="C61" i="6"/>
  <c r="F60" i="6"/>
  <c r="D60" i="6"/>
  <c r="C60" i="6"/>
  <c r="G32" i="6"/>
  <c r="J32" i="6" s="1"/>
  <c r="F32" i="6"/>
  <c r="D32" i="6"/>
  <c r="C32" i="6"/>
  <c r="G19" i="3" l="1"/>
  <c r="G11" i="3"/>
  <c r="C70" i="6" l="1"/>
  <c r="C68" i="6"/>
  <c r="I31" i="13" l="1"/>
  <c r="H31" i="13"/>
  <c r="G31" i="13"/>
  <c r="D31" i="13"/>
  <c r="C31" i="13"/>
  <c r="B31" i="13"/>
  <c r="I19" i="13"/>
  <c r="H19" i="13"/>
  <c r="G19" i="13"/>
  <c r="D19" i="13"/>
  <c r="C19" i="13"/>
  <c r="B19" i="13"/>
  <c r="I7" i="13"/>
  <c r="H7" i="13"/>
  <c r="G7" i="13"/>
  <c r="D7" i="13"/>
  <c r="C7" i="13"/>
  <c r="B7" i="13"/>
  <c r="I31" i="12"/>
  <c r="H31" i="12"/>
  <c r="G31" i="12"/>
  <c r="D31" i="12"/>
  <c r="C31" i="12"/>
  <c r="B31" i="12"/>
  <c r="I19" i="12"/>
  <c r="H19" i="12"/>
  <c r="G19" i="12"/>
  <c r="D19" i="12"/>
  <c r="C19" i="12"/>
  <c r="B19" i="12"/>
  <c r="I7" i="12"/>
  <c r="H7" i="12"/>
  <c r="G7" i="12"/>
  <c r="C7" i="12"/>
  <c r="B7" i="12"/>
  <c r="E2" i="13"/>
  <c r="E2" i="12"/>
  <c r="C39" i="6" l="1"/>
  <c r="C52" i="6"/>
  <c r="C55" i="6"/>
  <c r="C62" i="6"/>
  <c r="M47" i="6"/>
  <c r="G71" i="6"/>
  <c r="F71" i="6"/>
  <c r="D71" i="6"/>
  <c r="C71" i="6"/>
  <c r="F40" i="6"/>
  <c r="D40" i="6"/>
  <c r="C40" i="6"/>
  <c r="F53" i="6"/>
  <c r="D53" i="6"/>
  <c r="C53" i="6"/>
  <c r="D63" i="6"/>
  <c r="C63" i="6"/>
  <c r="F65" i="6"/>
  <c r="D65" i="6"/>
  <c r="C65" i="6"/>
  <c r="B15" i="6"/>
  <c r="C25" i="6"/>
  <c r="C19" i="6"/>
  <c r="G31" i="6"/>
  <c r="F31" i="6"/>
  <c r="D31" i="6"/>
  <c r="C31" i="6"/>
  <c r="C30" i="6"/>
  <c r="F28" i="6"/>
  <c r="D28" i="6"/>
  <c r="C28" i="6"/>
  <c r="D26" i="6"/>
  <c r="C26" i="6"/>
  <c r="G24" i="6"/>
  <c r="F24" i="6"/>
  <c r="D24" i="6"/>
  <c r="C24" i="6"/>
  <c r="C23" i="6"/>
  <c r="J21" i="6"/>
  <c r="J20" i="6"/>
  <c r="J26" i="6" s="1"/>
  <c r="J38" i="6"/>
  <c r="D47" i="6"/>
  <c r="C47" i="6"/>
  <c r="C46" i="6"/>
  <c r="M49" i="6"/>
  <c r="D49" i="6"/>
  <c r="C49" i="6"/>
  <c r="C48" i="6"/>
  <c r="M51" i="6"/>
  <c r="D51" i="6"/>
  <c r="C51" i="6"/>
  <c r="C50" i="6"/>
  <c r="F41" i="6"/>
  <c r="D41" i="6"/>
  <c r="C41" i="6"/>
  <c r="F38" i="6"/>
  <c r="D38" i="6"/>
  <c r="C38" i="6"/>
  <c r="J27" i="6" l="1"/>
  <c r="E27" i="6" s="1"/>
  <c r="E26" i="6"/>
  <c r="M24" i="6"/>
  <c r="B17" i="6"/>
  <c r="B19" i="6" s="1"/>
  <c r="M18" i="6"/>
  <c r="M38" i="6"/>
  <c r="B23" i="6" l="1"/>
  <c r="B25" i="6" l="1"/>
  <c r="F64" i="6"/>
  <c r="D64" i="6"/>
  <c r="C64" i="6"/>
  <c r="G23" i="3" l="1"/>
  <c r="G22" i="3"/>
  <c r="G21" i="3"/>
  <c r="C75" i="6"/>
  <c r="F72" i="6" l="1"/>
  <c r="D72" i="6"/>
  <c r="C72" i="6"/>
  <c r="F67" i="6"/>
  <c r="D67" i="6"/>
  <c r="C67" i="6"/>
  <c r="F66" i="6"/>
  <c r="D66" i="6"/>
  <c r="C66" i="6"/>
  <c r="D59" i="6"/>
  <c r="C59" i="6"/>
  <c r="C58" i="6"/>
  <c r="F54" i="6"/>
  <c r="D54" i="6"/>
  <c r="C54" i="6"/>
  <c r="H24" i="9"/>
  <c r="C15" i="6"/>
  <c r="G61" i="6" l="1"/>
  <c r="G60" i="6"/>
  <c r="B30" i="6"/>
  <c r="F16" i="6"/>
  <c r="D16" i="6"/>
  <c r="C16" i="6"/>
  <c r="B33" i="6" l="1"/>
  <c r="B35" i="6" s="1"/>
  <c r="C73" i="6"/>
  <c r="B37" i="6" l="1"/>
  <c r="H23" i="9"/>
  <c r="G72" i="6" s="1"/>
  <c r="J72" i="6" s="1"/>
  <c r="H22" i="9"/>
  <c r="H21" i="9"/>
  <c r="H20" i="9"/>
  <c r="H19" i="9"/>
  <c r="H18" i="9"/>
  <c r="G41" i="6" s="1"/>
  <c r="H17" i="9"/>
  <c r="H16" i="9"/>
  <c r="H15" i="9"/>
  <c r="H14" i="9"/>
  <c r="H13" i="9"/>
  <c r="G16" i="6" s="1"/>
  <c r="H12" i="9"/>
  <c r="C9" i="9"/>
  <c r="G67" i="6" l="1"/>
  <c r="J67" i="6" s="1"/>
  <c r="G66" i="6"/>
  <c r="G65" i="6"/>
  <c r="G64" i="6"/>
  <c r="G54" i="6"/>
  <c r="G53" i="6"/>
  <c r="G45" i="6"/>
  <c r="G28" i="6"/>
  <c r="B39" i="6"/>
  <c r="B42" i="6" s="1"/>
  <c r="B44" i="6" s="1"/>
  <c r="B46" i="6" s="1"/>
  <c r="B48" i="6" s="1"/>
  <c r="B50" i="6" s="1"/>
  <c r="G20" i="6"/>
  <c r="G21" i="6"/>
  <c r="F45" i="6"/>
  <c r="D45" i="6"/>
  <c r="C45" i="6"/>
  <c r="F36" i="6"/>
  <c r="D36" i="6"/>
  <c r="C36" i="6"/>
  <c r="D22" i="6"/>
  <c r="C22" i="6"/>
  <c r="F21" i="6"/>
  <c r="D21" i="6"/>
  <c r="C21" i="6"/>
  <c r="F20" i="6"/>
  <c r="D20" i="6"/>
  <c r="C20" i="6"/>
  <c r="D18" i="6"/>
  <c r="C18" i="6"/>
  <c r="C44" i="6" l="1"/>
  <c r="C42" i="6"/>
  <c r="C37" i="6"/>
  <c r="C33" i="6"/>
  <c r="C17" i="6"/>
  <c r="B52" i="6" l="1"/>
  <c r="C35" i="6"/>
  <c r="C18" i="3"/>
  <c r="C16" i="3"/>
  <c r="C13" i="3"/>
  <c r="C15" i="3"/>
  <c r="C14" i="3"/>
  <c r="B55" i="6" l="1"/>
  <c r="B57" i="6" s="1"/>
  <c r="B58" i="6"/>
  <c r="C17" i="3"/>
  <c r="J61" i="6" l="1"/>
  <c r="J64" i="6"/>
  <c r="B62" i="6"/>
  <c r="B68" i="6" s="1"/>
  <c r="B70" i="6" s="1"/>
  <c r="B73" i="6" s="1"/>
  <c r="B75" i="6" s="1"/>
  <c r="J41" i="6"/>
  <c r="E41" i="6" s="1"/>
  <c r="J54" i="6"/>
  <c r="J66" i="6"/>
  <c r="E66" i="6" s="1"/>
  <c r="E67" i="6"/>
  <c r="J16" i="6"/>
  <c r="M45" i="6"/>
  <c r="M36" i="6"/>
  <c r="G7" i="6"/>
  <c r="J7" i="6" s="1"/>
  <c r="M7" i="6" s="1"/>
  <c r="E32" i="6" l="1"/>
  <c r="M31" i="6"/>
  <c r="E61" i="6"/>
  <c r="M59" i="6"/>
  <c r="B77" i="6"/>
  <c r="E64" i="6"/>
  <c r="M63" i="6"/>
  <c r="M53" i="6"/>
  <c r="E54" i="6"/>
  <c r="E72" i="6"/>
  <c r="M71" i="6"/>
  <c r="M40" i="6"/>
  <c r="J79" i="6"/>
  <c r="B4" i="3"/>
  <c r="K27" i="6" l="1"/>
  <c r="K29" i="6"/>
  <c r="K60" i="6"/>
  <c r="K61" i="6"/>
  <c r="K32" i="6"/>
  <c r="M9" i="6"/>
  <c r="K71" i="6"/>
  <c r="K40" i="6"/>
  <c r="K63" i="6"/>
  <c r="K53" i="6"/>
  <c r="K65" i="6"/>
  <c r="K31" i="6"/>
  <c r="K24" i="6"/>
  <c r="K28" i="6"/>
  <c r="K26" i="6"/>
  <c r="K49" i="6"/>
  <c r="K47" i="6"/>
  <c r="K51" i="6"/>
  <c r="K41" i="6"/>
  <c r="K38" i="6"/>
  <c r="K64" i="6"/>
  <c r="K54" i="6"/>
  <c r="K59" i="6"/>
  <c r="K67" i="6"/>
  <c r="K66" i="6"/>
  <c r="K72" i="6"/>
  <c r="K16" i="6"/>
  <c r="J80" i="6"/>
  <c r="E2" i="6"/>
  <c r="D2" i="3"/>
  <c r="D3" i="3"/>
  <c r="E3" i="12" l="1"/>
  <c r="E3" i="13"/>
  <c r="I9" i="9"/>
  <c r="I24" i="9" l="1"/>
  <c r="J31" i="13" s="1"/>
  <c r="I19" i="9"/>
  <c r="E7" i="13" s="1"/>
  <c r="I21" i="9"/>
  <c r="E31" i="13" s="1"/>
  <c r="I23" i="9"/>
  <c r="J19" i="13" s="1"/>
  <c r="I17" i="9"/>
  <c r="J19" i="12" s="1"/>
  <c r="I22" i="9"/>
  <c r="J7" i="13" s="1"/>
  <c r="I18" i="9"/>
  <c r="J31" i="12" s="1"/>
  <c r="I20" i="9"/>
  <c r="E19" i="13" s="1"/>
  <c r="I16" i="9"/>
  <c r="J7" i="12" s="1"/>
  <c r="I14" i="9"/>
  <c r="E19" i="12" s="1"/>
  <c r="I15" i="9"/>
  <c r="E31" i="12" s="1"/>
  <c r="I13" i="9"/>
  <c r="E3" i="6"/>
  <c r="E13" i="9" l="1"/>
  <c r="D7" i="12" s="1"/>
  <c r="E7" i="12"/>
  <c r="E16" i="6" l="1"/>
  <c r="K21" i="6"/>
  <c r="K22" i="6"/>
  <c r="K18" i="6"/>
  <c r="K45" i="6"/>
  <c r="K20" i="6"/>
  <c r="K36" i="6"/>
  <c r="K7" i="6" l="1"/>
  <c r="N9" i="6" l="1"/>
  <c r="N7" i="6" l="1"/>
  <c r="M8" i="6"/>
  <c r="C14" i="6" s="1"/>
  <c r="M10" i="6" l="1"/>
  <c r="M76" i="6" s="1"/>
  <c r="N10" i="6" l="1"/>
  <c r="B78" i="6" l="1"/>
</calcChain>
</file>

<file path=xl/sharedStrings.xml><?xml version="1.0" encoding="utf-8"?>
<sst xmlns="http://schemas.openxmlformats.org/spreadsheetml/2006/main" count="607" uniqueCount="204">
  <si>
    <t>BATCH RECORD</t>
  </si>
  <si>
    <t>LINE 12</t>
  </si>
  <si>
    <t>REQUIRED
Syrup Test 1</t>
  </si>
  <si>
    <t>IF NEEDED
Syrup Test 2</t>
  </si>
  <si>
    <t>Batch Overview</t>
  </si>
  <si>
    <t>Syrup Specification</t>
  </si>
  <si>
    <t>Target</t>
  </si>
  <si>
    <t>Range</t>
  </si>
  <si>
    <t>UOM</t>
  </si>
  <si>
    <t>Initial</t>
  </si>
  <si>
    <t>Record Creation Date</t>
  </si>
  <si>
    <t>Brix (Refractometer)</t>
  </si>
  <si>
    <t>°Brix</t>
  </si>
  <si>
    <t>Batch Number</t>
  </si>
  <si>
    <t>BXX.X.XXXX</t>
  </si>
  <si>
    <t>Density</t>
  </si>
  <si>
    <t>g/ml</t>
  </si>
  <si>
    <t>Part of Campaign</t>
  </si>
  <si>
    <t>CXX.X.XXXX</t>
  </si>
  <si>
    <t>Citric Acid</t>
  </si>
  <si>
    <t>% (w/w)</t>
  </si>
  <si>
    <t>Brand</t>
  </si>
  <si>
    <t>Monster Energy</t>
  </si>
  <si>
    <t>Time:</t>
  </si>
  <si>
    <t>Formula Description</t>
  </si>
  <si>
    <t>Formula Number</t>
  </si>
  <si>
    <t>Formula Revision Date</t>
  </si>
  <si>
    <t>Finished Product Specification</t>
  </si>
  <si>
    <t>REQUIRED
Dilution Test 1</t>
  </si>
  <si>
    <t>IF NEEDED
Dilution Test 2</t>
  </si>
  <si>
    <t>IF NEEDED
Dilution Test 3</t>
  </si>
  <si>
    <t>Throw Ratio (Parts Water)</t>
  </si>
  <si>
    <t>pH</t>
  </si>
  <si>
    <t>3.50 - 3.70</t>
  </si>
  <si>
    <t>Syrup Batch Size (gal.)</t>
  </si>
  <si>
    <t>Finished Batch (gal.)</t>
  </si>
  <si>
    <t>CO2 (CarboQC)</t>
  </si>
  <si>
    <t>2.50 - 2.70</t>
  </si>
  <si>
    <t>vol.</t>
  </si>
  <si>
    <t>Unit Size (oz.)</t>
  </si>
  <si>
    <t>Units per Case</t>
  </si>
  <si>
    <t>0.54 - 0.60</t>
  </si>
  <si>
    <t>Finished Cases (Theoretical)</t>
  </si>
  <si>
    <t>Benzoic Acid</t>
  </si>
  <si>
    <t>mg/100ml</t>
  </si>
  <si>
    <t>Tunnel Program</t>
  </si>
  <si>
    <t>3200 (L11-13)</t>
  </si>
  <si>
    <t>Sorbic Acid</t>
  </si>
  <si>
    <t>RO Water Testing                          Result</t>
  </si>
  <si>
    <t>Caffeine</t>
  </si>
  <si>
    <t>pH:</t>
  </si>
  <si>
    <t>Odor</t>
  </si>
  <si>
    <t>Conforms to standard.</t>
  </si>
  <si>
    <t>Pass   Fail</t>
  </si>
  <si>
    <t>TDS:</t>
  </si>
  <si>
    <t>Appearance</t>
  </si>
  <si>
    <t>Conductivity:</t>
  </si>
  <si>
    <t>Taste</t>
  </si>
  <si>
    <t>Alkalinity:</t>
  </si>
  <si>
    <t>Equipment</t>
  </si>
  <si>
    <t>Circle Equipment Number</t>
  </si>
  <si>
    <t>Rapid Mixer</t>
  </si>
  <si>
    <t>1  2</t>
  </si>
  <si>
    <t>Thermal Process</t>
  </si>
  <si>
    <t>PU</t>
  </si>
  <si>
    <t>Hold Time</t>
  </si>
  <si>
    <t>Hold Temp</t>
  </si>
  <si>
    <t>Notes:</t>
  </si>
  <si>
    <t>Batch Tank</t>
  </si>
  <si>
    <t>1  2  3  4  5  6  7  8  9  10</t>
  </si>
  <si>
    <t>Tunnel Pasteurization</t>
  </si>
  <si>
    <t>Warming Mode</t>
  </si>
  <si>
    <t>Packaging Line</t>
  </si>
  <si>
    <t>11  12  13</t>
  </si>
  <si>
    <t>HTST Pasteurization</t>
  </si>
  <si>
    <t>N/A</t>
  </si>
  <si>
    <t>Batcher Signature:</t>
  </si>
  <si>
    <t>Batch Start Date:</t>
  </si>
  <si>
    <t>AM / PM</t>
  </si>
  <si>
    <t>Supervisor Signature:</t>
  </si>
  <si>
    <t>Batch End Date:</t>
  </si>
  <si>
    <t>Quality Signature:</t>
  </si>
  <si>
    <t>Quality Approval Date:</t>
  </si>
  <si>
    <t>Water (gal.)</t>
  </si>
  <si>
    <t>Batcher</t>
  </si>
  <si>
    <t>Ingredient Description</t>
  </si>
  <si>
    <t>Temp.</t>
  </si>
  <si>
    <t>Lbs. / Gal.</t>
  </si>
  <si>
    <t>Mass (lbs.)</t>
  </si>
  <si>
    <t>% Total</t>
  </si>
  <si>
    <t>Volume (gal.)</t>
  </si>
  <si>
    <t>Added</t>
  </si>
  <si>
    <t>Addition Initial</t>
  </si>
  <si>
    <t>Total RO Filtered Water</t>
  </si>
  <si>
    <t>Lb.</t>
  </si>
  <si>
    <t>Water to batch tank</t>
  </si>
  <si>
    <t>Ambient</t>
  </si>
  <si>
    <r>
      <t xml:space="preserve">Water to Dissolve (To match </t>
    </r>
    <r>
      <rPr>
        <b/>
        <sz val="18"/>
        <color theme="9" tint="-0.249977111117893"/>
        <rFont val="Arial"/>
        <family val="2"/>
      </rPr>
      <t>"Total Water Added to Dissolve"</t>
    </r>
    <r>
      <rPr>
        <sz val="18"/>
        <color theme="1"/>
        <rFont val="Arial"/>
        <family val="2"/>
      </rPr>
      <t>, below)</t>
    </r>
  </si>
  <si>
    <t>See Below</t>
  </si>
  <si>
    <t>Water to finish batch</t>
  </si>
  <si>
    <t>Mixer</t>
  </si>
  <si>
    <t>Water</t>
  </si>
  <si>
    <t>Step</t>
  </si>
  <si>
    <t>Action / Item Number</t>
  </si>
  <si>
    <t>Vendor</t>
  </si>
  <si>
    <t>Type</t>
  </si>
  <si>
    <t>Speed %</t>
  </si>
  <si>
    <t>to Dissolve</t>
  </si>
  <si>
    <t>Temperature</t>
  </si>
  <si>
    <t>Weight Initial</t>
  </si>
  <si>
    <t>Concentration</t>
  </si>
  <si>
    <t>-</t>
  </si>
  <si>
    <t>170° F</t>
  </si>
  <si>
    <t>__________° F</t>
  </si>
  <si>
    <t>Sorbic Acid (1x25 kg bag)</t>
  </si>
  <si>
    <t>Benzoic Acid (1x25 kg bag)</t>
  </si>
  <si>
    <t>Natural Caffeine (1x20 kg bag)</t>
  </si>
  <si>
    <t>Trisodium Citrate Dihydrate (10x50 lb. bags)</t>
  </si>
  <si>
    <t>Push Water</t>
  </si>
  <si>
    <t>Liquid</t>
  </si>
  <si>
    <t>Monster Energy Blend H-69241 (14x25 kg boxes)</t>
  </si>
  <si>
    <t>140° F</t>
  </si>
  <si>
    <t>Dextrose Monohydrate (1x907.5 kg supersack)</t>
  </si>
  <si>
    <r>
      <t xml:space="preserve">Mix all ingredients in the batch tank for 5 minutes at 85%, then check temperature of the batch.  </t>
    </r>
    <r>
      <rPr>
        <b/>
        <sz val="16"/>
        <color rgb="FFFF0000"/>
        <rFont val="Arial"/>
        <family val="2"/>
      </rPr>
      <t>Temperature must be below 100° F before proceeding to the next step - record in box on right.</t>
    </r>
  </si>
  <si>
    <t>Ruby Red PE #020845 (1x25 lb. drum)</t>
  </si>
  <si>
    <t>Monster Energy Flavor B-288 (3x490 lb. drums)</t>
  </si>
  <si>
    <t>Final Water</t>
  </si>
  <si>
    <t>Mix all ingredients in the batch tank for 20 minutes at 85%.  Text syrup Brix.</t>
  </si>
  <si>
    <t>Perform final batch tests, record results, and complete paperwork.</t>
  </si>
  <si>
    <t>lbs</t>
  </si>
  <si>
    <t>Total Syrup Weight (with final water)</t>
  </si>
  <si>
    <t>Total Water Added to Dissolve</t>
  </si>
  <si>
    <t>Date:                       Time:</t>
  </si>
  <si>
    <t>gal</t>
  </si>
  <si>
    <t>Total Syrup Volume (with final water)</t>
  </si>
  <si>
    <t>Item Number</t>
  </si>
  <si>
    <t>Description</t>
  </si>
  <si>
    <t>Lbs. Required</t>
  </si>
  <si>
    <t>Lot Number</t>
  </si>
  <si>
    <t>Notes / Expiration Dates</t>
  </si>
  <si>
    <t>Lbs. Added</t>
  </si>
  <si>
    <t>Addition 1</t>
  </si>
  <si>
    <t>Addition 2</t>
  </si>
  <si>
    <t>Addition 3</t>
  </si>
  <si>
    <t>Addition 4</t>
  </si>
  <si>
    <t>Addition 5</t>
  </si>
  <si>
    <t>Addition 6</t>
  </si>
  <si>
    <t>Batcher:_______________    Verifier:_______________</t>
  </si>
  <si>
    <t>Total Additions (lbs.)</t>
  </si>
  <si>
    <t>Date:                                         Time:</t>
  </si>
  <si>
    <t>Flavor House</t>
  </si>
  <si>
    <t>Monster</t>
  </si>
  <si>
    <t>Monster Energy (New Caledonia, Tahiti) EXPORT</t>
  </si>
  <si>
    <t>HBC-4532</t>
  </si>
  <si>
    <t>Issue Date</t>
  </si>
  <si>
    <t>Revision Date</t>
  </si>
  <si>
    <t>Syrup Gallons</t>
  </si>
  <si>
    <t>Throw Ratio</t>
  </si>
  <si>
    <t>Finished Gallons</t>
  </si>
  <si>
    <t>DATEX</t>
  </si>
  <si>
    <t>Total</t>
  </si>
  <si>
    <t>Addition</t>
  </si>
  <si>
    <t>Item</t>
  </si>
  <si>
    <t>Lbs. / Batch</t>
  </si>
  <si>
    <t>Lbs / Gal.</t>
  </si>
  <si>
    <t>Usage</t>
  </si>
  <si>
    <t>Purified RO Treated Water</t>
  </si>
  <si>
    <t>MECLSUCROSE</t>
  </si>
  <si>
    <t>Batory Foods</t>
  </si>
  <si>
    <t>NUT001</t>
  </si>
  <si>
    <t>Wang Kang Biochemical</t>
  </si>
  <si>
    <t>Trisodium Citrate Dihydrate</t>
  </si>
  <si>
    <t>Dry</t>
  </si>
  <si>
    <t>MECSORBIC</t>
  </si>
  <si>
    <t>Ninbo Wanglong Tech</t>
  </si>
  <si>
    <t>MECBENZOIC</t>
  </si>
  <si>
    <t>Wuhan Youji</t>
  </si>
  <si>
    <t>MECNATCAFFEINE</t>
  </si>
  <si>
    <t>NutraChem</t>
  </si>
  <si>
    <t>Natural Caffeine</t>
  </si>
  <si>
    <t>H-69241</t>
  </si>
  <si>
    <t>Glanbia</t>
  </si>
  <si>
    <t>Monster Energy Blend H-69241</t>
  </si>
  <si>
    <t>MECCITRIC</t>
  </si>
  <si>
    <t>Anhydrous Citric Acid</t>
  </si>
  <si>
    <t>1300101717900</t>
  </si>
  <si>
    <t>Tate &amp; Lyle</t>
  </si>
  <si>
    <t>Sucralose (25% Solution)</t>
  </si>
  <si>
    <t>G-337</t>
  </si>
  <si>
    <t>AFF</t>
  </si>
  <si>
    <t>Panax Ginseng Extract G-337</t>
  </si>
  <si>
    <t>B-288</t>
  </si>
  <si>
    <t>Monster Energy Flavor B-288</t>
  </si>
  <si>
    <t>020845</t>
  </si>
  <si>
    <t>Ruby Red PE 020845</t>
  </si>
  <si>
    <t>MECDEXTROSE</t>
  </si>
  <si>
    <t>Various</t>
  </si>
  <si>
    <t>Dextrose</t>
  </si>
  <si>
    <t>Natural Caffeine (2x20 kg bag)</t>
  </si>
  <si>
    <t>Trisodium Citrate Dihydrate (6x50 lb. bags)</t>
  </si>
  <si>
    <t>Monster Energy Blend H-69241 (7x25 kg boxes)</t>
  </si>
  <si>
    <t>Dextrose Monohydrate (8x50 lb. bags)</t>
  </si>
  <si>
    <t>Anhydrous Citric Acid (20x50 lb. bags)</t>
  </si>
  <si>
    <t>Sucralose 25% Solution (7x8.82 lb. jugs)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</si>
</sst>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0.0%"/>
    <numFmt numFmtId="166" formatCode="_(* #,##0.000_);_(* \(#,##0.000\);_(* &quot;-&quot;??_);_(@_)"/>
    <numFmt numFmtId="167" formatCode="_(* #,##0.0000_);_(* \(#,##0.0000\);_(* &quot;-&quot;??_);_(@_)"/>
    <numFmt numFmtId="168" formatCode="0000"/>
    <numFmt numFmtId="169" formatCode="0.00000"/>
    <numFmt numFmtId="170" formatCode="0.0"/>
    <numFmt numFmtId="171" formatCode="0.000"/>
    <numFmt numFmtId="172" formatCode="0.0000"/>
  </numFmts>
  <fonts count="53">
    <font>
      <sz val="12"/>
      <color theme="1"/>
      <name val="Calibri"/>
      <family val="2"/>
      <scheme val="minor"/>
    </font>
    <font>
      <sz val="12"/>
      <color theme="1"/>
      <name val="Calibri"/>
      <family val="2"/>
      <scheme val="minor"/>
    </font>
    <font>
      <sz val="12"/>
      <color theme="1"/>
      <name val="Arial"/>
      <family val="2"/>
    </font>
    <font>
      <b/>
      <sz val="12"/>
      <color rgb="FF2362AA"/>
      <name val="Arial"/>
      <family val="2"/>
    </font>
    <font>
      <sz val="11"/>
      <color theme="1"/>
      <name val="Arial"/>
      <family val="2"/>
    </font>
    <font>
      <sz val="13"/>
      <color theme="1"/>
      <name val="Arial"/>
      <family val="2"/>
    </font>
    <font>
      <sz val="17"/>
      <name val="Arial"/>
      <family val="2"/>
    </font>
    <font>
      <sz val="12"/>
      <color rgb="FF2362AA"/>
      <name val="Arial"/>
      <family val="2"/>
    </font>
    <font>
      <sz val="15"/>
      <color theme="1"/>
      <name val="Arial"/>
      <family val="2"/>
    </font>
    <font>
      <b/>
      <sz val="13"/>
      <color theme="1"/>
      <name val="Arial"/>
      <family val="2"/>
    </font>
    <font>
      <b/>
      <sz val="14"/>
      <color theme="1"/>
      <name val="Arial"/>
      <family val="2"/>
    </font>
    <font>
      <sz val="14"/>
      <color theme="1"/>
      <name val="Arial"/>
      <family val="2"/>
    </font>
    <font>
      <b/>
      <sz val="12"/>
      <color theme="1"/>
      <name val="Arial"/>
      <family val="2"/>
    </font>
    <font>
      <b/>
      <sz val="20"/>
      <color rgb="FF2362AA"/>
      <name val="Arial"/>
      <family val="2"/>
    </font>
    <font>
      <sz val="14"/>
      <name val="Arial"/>
      <family val="2"/>
    </font>
    <font>
      <b/>
      <sz val="18"/>
      <color rgb="FF2362AA"/>
      <name val="Arial"/>
      <family val="2"/>
    </font>
    <font>
      <sz val="16"/>
      <color theme="1"/>
      <name val="Arial"/>
      <family val="2"/>
    </font>
    <font>
      <b/>
      <sz val="18"/>
      <color theme="1"/>
      <name val="Arial"/>
      <family val="2"/>
    </font>
    <font>
      <b/>
      <sz val="18"/>
      <name val="Arial"/>
      <family val="2"/>
    </font>
    <font>
      <sz val="18"/>
      <color theme="1"/>
      <name val="Arial"/>
      <family val="2"/>
    </font>
    <font>
      <b/>
      <sz val="16"/>
      <color rgb="FF2362AA"/>
      <name val="Arial"/>
      <family val="2"/>
    </font>
    <font>
      <b/>
      <sz val="12"/>
      <name val="Arial"/>
      <family val="2"/>
    </font>
    <font>
      <b/>
      <sz val="18"/>
      <color theme="9" tint="-0.249977111117893"/>
      <name val="Arial"/>
      <family val="2"/>
    </font>
    <font>
      <b/>
      <sz val="36"/>
      <color rgb="FF2362AA"/>
      <name val="Arial"/>
      <family val="2"/>
    </font>
    <font>
      <b/>
      <sz val="48"/>
      <color rgb="FF2362AA"/>
      <name val="Arial"/>
      <family val="2"/>
    </font>
    <font>
      <b/>
      <sz val="14"/>
      <color rgb="FFFF0000"/>
      <name val="Arial"/>
      <family val="2"/>
    </font>
    <font>
      <b/>
      <sz val="12"/>
      <color theme="1"/>
      <name val="Calibri"/>
      <family val="2"/>
      <scheme val="minor"/>
    </font>
    <font>
      <b/>
      <sz val="28"/>
      <color rgb="FFFF0000"/>
      <name val="Arial"/>
      <family val="2"/>
    </font>
    <font>
      <sz val="14"/>
      <color theme="0" tint="-0.34998626667073579"/>
      <name val="Arial"/>
      <family val="2"/>
    </font>
    <font>
      <b/>
      <sz val="16"/>
      <color theme="1"/>
      <name val="Arial"/>
      <family val="2"/>
    </font>
    <font>
      <b/>
      <sz val="16"/>
      <name val="Arial"/>
      <family val="2"/>
    </font>
    <font>
      <sz val="18"/>
      <name val="Arial"/>
      <family val="2"/>
    </font>
    <font>
      <sz val="16"/>
      <color theme="0" tint="-0.34998626667073579"/>
      <name val="Arial"/>
      <family val="2"/>
    </font>
    <font>
      <b/>
      <sz val="26"/>
      <color rgb="FF2362AA"/>
      <name val="Arial"/>
      <family val="2"/>
    </font>
    <font>
      <sz val="24"/>
      <name val="Arial"/>
      <family val="2"/>
    </font>
    <font>
      <b/>
      <sz val="65"/>
      <color rgb="FF2362AA"/>
      <name val="Arial"/>
      <family val="2"/>
    </font>
    <font>
      <sz val="12"/>
      <name val="Calibri"/>
      <family val="2"/>
      <scheme val="minor"/>
    </font>
    <font>
      <sz val="14"/>
      <color theme="8" tint="-0.249977111117893"/>
      <name val="Arial"/>
      <family val="2"/>
    </font>
    <font>
      <b/>
      <sz val="10"/>
      <color rgb="FF2362AA"/>
      <name val="Arial"/>
      <family val="2"/>
    </font>
    <font>
      <b/>
      <i/>
      <sz val="18"/>
      <name val="Arial"/>
      <family val="2"/>
    </font>
    <font>
      <b/>
      <sz val="22"/>
      <name val="Arial"/>
      <family val="2"/>
    </font>
    <font>
      <b/>
      <sz val="16"/>
      <color theme="8" tint="-0.249977111117893"/>
      <name val="Arial"/>
      <family val="2"/>
    </font>
    <font>
      <sz val="20"/>
      <color theme="1"/>
      <name val="Arial"/>
      <family val="2"/>
    </font>
    <font>
      <b/>
      <sz val="20"/>
      <color theme="1"/>
      <name val="Arial"/>
      <family val="2"/>
    </font>
    <font>
      <sz val="20"/>
      <color theme="0"/>
      <name val="Arial"/>
      <family val="2"/>
    </font>
    <font>
      <sz val="20"/>
      <color theme="0" tint="-0.34998626667073579"/>
      <name val="Arial"/>
      <family val="2"/>
    </font>
    <font>
      <sz val="10"/>
      <color theme="1"/>
      <name val="Calibri"/>
      <family val="2"/>
      <scheme val="minor"/>
    </font>
    <font>
      <sz val="12"/>
      <name val="Calibri (Body)"/>
    </font>
    <font>
      <b/>
      <sz val="12"/>
      <name val="Calibri (Body)"/>
    </font>
    <font>
      <b/>
      <sz val="16"/>
      <color rgb="FFFF0000"/>
      <name val="Arial"/>
      <family val="2"/>
    </font>
    <font>
      <b/>
      <sz val="16"/>
      <color theme="9" tint="-0.249977111117893"/>
      <name val="Arial"/>
      <family val="2"/>
    </font>
    <font>
      <sz val="16"/>
      <color rgb="FFFF0000"/>
      <name val="Arial"/>
      <family val="2"/>
    </font>
    <font>
      <sz val="8"/>
      <color theme="1"/>
      <name val="Arial"/>
      <family val="2"/>
    </font>
  </fonts>
  <fills count="11">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5" tint="0.79998168889431442"/>
        <bgColor indexed="64"/>
      </patternFill>
    </fill>
  </fills>
  <borders count="56">
    <border>
      <left/>
      <right/>
      <top/>
      <bottom/>
      <diagonal/>
    </border>
    <border>
      <left/>
      <right/>
      <top style="thin">
        <color auto="1"/>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style="thin">
        <color auto="1"/>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auto="1"/>
      </bottom>
      <diagonal/>
    </border>
    <border>
      <left/>
      <right style="thin">
        <color indexed="64"/>
      </right>
      <top style="thin">
        <color auto="1"/>
      </top>
      <bottom style="thin">
        <color theme="0" tint="-0.14996795556505021"/>
      </bottom>
      <diagonal/>
    </border>
    <border>
      <left style="thin">
        <color indexed="64"/>
      </left>
      <right style="thin">
        <color indexed="64"/>
      </right>
      <top style="thin">
        <color auto="1"/>
      </top>
      <bottom style="thin">
        <color theme="0" tint="-0.14996795556505021"/>
      </bottom>
      <diagonal/>
    </border>
    <border>
      <left/>
      <right style="thin">
        <color indexed="64"/>
      </right>
      <top style="thin">
        <color theme="0" tint="-0.14996795556505021"/>
      </top>
      <bottom style="thin">
        <color theme="0" tint="-0.14996795556505021"/>
      </bottom>
      <diagonal/>
    </border>
    <border>
      <left style="thin">
        <color indexed="64"/>
      </left>
      <right/>
      <top style="thin">
        <color theme="0" tint="-0.14996795556505021"/>
      </top>
      <bottom style="thin">
        <color auto="1"/>
      </bottom>
      <diagonal/>
    </border>
    <border>
      <left/>
      <right style="thin">
        <color indexed="64"/>
      </right>
      <top style="thin">
        <color theme="0" tint="-0.14996795556505021"/>
      </top>
      <bottom style="thin">
        <color auto="1"/>
      </bottom>
      <diagonal/>
    </border>
    <border>
      <left style="thin">
        <color indexed="64"/>
      </left>
      <right style="thin">
        <color indexed="64"/>
      </right>
      <top style="thin">
        <color theme="0" tint="-0.1499679555650502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auto="1"/>
      </top>
      <bottom style="thin">
        <color theme="0" tint="-0.14996795556505021"/>
      </bottom>
      <diagonal/>
    </border>
    <border>
      <left style="thin">
        <color indexed="64"/>
      </left>
      <right/>
      <top style="thin">
        <color theme="0" tint="-0.14996795556505021"/>
      </top>
      <bottom style="thin">
        <color theme="0" tint="-0.14996795556505021"/>
      </bottom>
      <diagonal/>
    </border>
    <border>
      <left/>
      <right style="thin">
        <color indexed="64"/>
      </right>
      <top/>
      <bottom/>
      <diagonal/>
    </border>
    <border>
      <left/>
      <right/>
      <top style="thin">
        <color auto="1"/>
      </top>
      <bottom style="thin">
        <color indexed="64"/>
      </bottom>
      <diagonal/>
    </border>
    <border>
      <left/>
      <right/>
      <top style="thin">
        <color auto="1"/>
      </top>
      <bottom/>
      <diagonal/>
    </border>
    <border>
      <left style="thin">
        <color indexed="64"/>
      </left>
      <right/>
      <top/>
      <bottom/>
      <diagonal/>
    </border>
    <border>
      <left style="thin">
        <color auto="1"/>
      </left>
      <right/>
      <top style="thin">
        <color auto="1"/>
      </top>
      <bottom/>
      <diagonal/>
    </border>
    <border>
      <left style="thin">
        <color indexed="64"/>
      </left>
      <right style="thin">
        <color theme="0" tint="-0.14996795556505021"/>
      </right>
      <top style="thin">
        <color auto="1"/>
      </top>
      <bottom style="thin">
        <color theme="0" tint="-0.14996795556505021"/>
      </bottom>
      <diagonal/>
    </border>
    <border>
      <left style="thin">
        <color theme="0" tint="-0.14996795556505021"/>
      </left>
      <right style="thin">
        <color indexed="64"/>
      </right>
      <top style="thin">
        <color auto="1"/>
      </top>
      <bottom style="thin">
        <color theme="0" tint="-0.14996795556505021"/>
      </bottom>
      <diagonal/>
    </border>
    <border>
      <left style="thin">
        <color indexed="64"/>
      </left>
      <right style="thin">
        <color theme="0" tint="-0.14996795556505021"/>
      </right>
      <top style="thin">
        <color theme="0" tint="-0.14996795556505021"/>
      </top>
      <bottom style="thin">
        <color auto="1"/>
      </bottom>
      <diagonal/>
    </border>
    <border>
      <left style="thin">
        <color theme="0" tint="-0.14996795556505021"/>
      </left>
      <right style="thin">
        <color indexed="64"/>
      </right>
      <top style="thin">
        <color theme="0" tint="-0.14996795556505021"/>
      </top>
      <bottom style="thin">
        <color auto="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n">
        <color indexed="64"/>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14996795556505021"/>
      </right>
      <top style="thin">
        <color theme="0" tint="-0.34998626667073579"/>
      </top>
      <bottom style="thin">
        <color theme="0" tint="-0.34998626667073579"/>
      </bottom>
      <diagonal/>
    </border>
    <border>
      <left style="thin">
        <color theme="0" tint="-0.14996795556505021"/>
      </left>
      <right style="thin">
        <color indexed="64"/>
      </right>
      <top style="thin">
        <color theme="0" tint="-0.34998626667073579"/>
      </top>
      <bottom style="thin">
        <color theme="0" tint="-0.34998626667073579"/>
      </bottom>
      <diagonal/>
    </border>
    <border>
      <left style="thin">
        <color indexed="64"/>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14996795556505021"/>
      </right>
      <top style="thin">
        <color theme="0" tint="-0.34998626667073579"/>
      </top>
      <bottom style="thin">
        <color auto="1"/>
      </bottom>
      <diagonal/>
    </border>
    <border>
      <left style="thin">
        <color theme="0" tint="-0.14996795556505021"/>
      </left>
      <right style="thin">
        <color indexed="64"/>
      </right>
      <top style="thin">
        <color theme="0" tint="-0.34998626667073579"/>
      </top>
      <bottom style="thin">
        <color auto="1"/>
      </bottom>
      <diagonal/>
    </border>
    <border>
      <left style="thin">
        <color indexed="64"/>
      </left>
      <right/>
      <top style="thin">
        <color auto="1"/>
      </top>
      <bottom style="thin">
        <color theme="0" tint="-0.34998626667073579"/>
      </bottom>
      <diagonal/>
    </border>
    <border>
      <left/>
      <right/>
      <top style="thin">
        <color auto="1"/>
      </top>
      <bottom style="thin">
        <color theme="0" tint="-0.34998626667073579"/>
      </bottom>
      <diagonal/>
    </border>
    <border>
      <left/>
      <right style="thin">
        <color theme="0" tint="-0.14996795556505021"/>
      </right>
      <top style="thin">
        <color auto="1"/>
      </top>
      <bottom style="thin">
        <color theme="0" tint="-0.34998626667073579"/>
      </bottom>
      <diagonal/>
    </border>
    <border>
      <left style="thin">
        <color theme="0" tint="-0.14996795556505021"/>
      </left>
      <right style="thin">
        <color theme="0" tint="-0.14996795556505021"/>
      </right>
      <top style="thin">
        <color auto="1"/>
      </top>
      <bottom style="thin">
        <color theme="0" tint="-0.34998626667073579"/>
      </bottom>
      <diagonal/>
    </border>
    <border>
      <left style="thin">
        <color theme="0" tint="-0.14996795556505021"/>
      </left>
      <right style="thin">
        <color indexed="64"/>
      </right>
      <top style="thin">
        <color auto="1"/>
      </top>
      <bottom style="thin">
        <color theme="0" tint="-0.34998626667073579"/>
      </bottom>
      <diagonal/>
    </border>
    <border>
      <left style="thin">
        <color theme="0" tint="-0.14996795556505021"/>
      </left>
      <right style="thin">
        <color theme="0" tint="-0.14996795556505021"/>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indexed="64"/>
      </bottom>
      <diagonal/>
    </border>
    <border>
      <left/>
      <right style="thin">
        <color theme="0" tint="-0.34998626667073579"/>
      </right>
      <top style="thin">
        <color indexed="64"/>
      </top>
      <bottom style="thin">
        <color auto="1"/>
      </bottom>
      <diagonal/>
    </border>
    <border>
      <left style="thin">
        <color theme="0" tint="-0.34998626667073579"/>
      </left>
      <right style="thin">
        <color indexed="64"/>
      </right>
      <top style="thin">
        <color indexed="64"/>
      </top>
      <bottom style="thin">
        <color auto="1"/>
      </bottom>
      <diagonal/>
    </border>
    <border>
      <left style="thin">
        <color indexed="64"/>
      </left>
      <right style="thin">
        <color indexed="64"/>
      </right>
      <top style="thin">
        <color auto="1"/>
      </top>
      <bottom style="thin">
        <color theme="0" tint="-0.34998626667073579"/>
      </bottom>
      <diagonal/>
    </border>
    <border>
      <left style="thin">
        <color indexed="64"/>
      </left>
      <right style="thin">
        <color indexed="64"/>
      </right>
      <top style="thin">
        <color theme="0" tint="-0.34998626667073579"/>
      </top>
      <bottom style="thin">
        <color auto="1"/>
      </bottom>
      <diagonal/>
    </border>
    <border>
      <left/>
      <right/>
      <top style="thin">
        <color auto="1"/>
      </top>
      <bottom style="thin">
        <color theme="0" tint="-0.14993743705557422"/>
      </bottom>
      <diagonal/>
    </border>
    <border>
      <left/>
      <right/>
      <top/>
      <bottom style="thin">
        <color theme="0" tint="-0.14996795556505021"/>
      </bottom>
      <diagonal/>
    </border>
    <border>
      <left/>
      <right/>
      <top/>
      <bottom style="thin">
        <color theme="0" tint="-0.14993743705557422"/>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03">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xf>
    <xf numFmtId="0" fontId="4" fillId="0" borderId="0" xfId="0" applyFont="1"/>
    <xf numFmtId="0" fontId="4" fillId="0" borderId="0" xfId="0" applyFont="1" applyAlignment="1">
      <alignment horizontal="center"/>
    </xf>
    <xf numFmtId="0" fontId="5" fillId="0" borderId="0" xfId="0" applyFont="1" applyAlignment="1">
      <alignment vertical="center"/>
    </xf>
    <xf numFmtId="0" fontId="4" fillId="0" borderId="0" xfId="0" applyFont="1" applyAlignment="1">
      <alignment vertical="center"/>
    </xf>
    <xf numFmtId="0" fontId="2" fillId="0" borderId="0" xfId="0" applyFont="1" applyAlignment="1">
      <alignment vertical="center"/>
    </xf>
    <xf numFmtId="0" fontId="2" fillId="0" borderId="0" xfId="0" applyFont="1" applyAlignment="1">
      <alignment horizontal="center" vertical="center"/>
    </xf>
    <xf numFmtId="0" fontId="5" fillId="0" borderId="0" xfId="0" applyFont="1" applyAlignment="1">
      <alignment horizontal="center" vertical="center"/>
    </xf>
    <xf numFmtId="9" fontId="5" fillId="0" borderId="0" xfId="0" applyNumberFormat="1" applyFont="1" applyAlignment="1">
      <alignment horizontal="center" vertical="center"/>
    </xf>
    <xf numFmtId="0" fontId="9" fillId="0" borderId="0" xfId="0" applyFont="1" applyAlignment="1">
      <alignment vertical="center"/>
    </xf>
    <xf numFmtId="0" fontId="12" fillId="0" borderId="0" xfId="0" applyFont="1" applyAlignment="1">
      <alignment vertical="center"/>
    </xf>
    <xf numFmtId="0" fontId="3" fillId="0" borderId="0" xfId="0" applyFont="1" applyAlignment="1">
      <alignment horizontal="center" vertical="center"/>
    </xf>
    <xf numFmtId="0" fontId="10" fillId="0" borderId="0" xfId="0" applyFont="1" applyAlignment="1">
      <alignment vertical="center"/>
    </xf>
    <xf numFmtId="0" fontId="11" fillId="0" borderId="0" xfId="0" applyFont="1" applyAlignment="1">
      <alignment vertical="center"/>
    </xf>
    <xf numFmtId="0" fontId="11" fillId="0" borderId="16" xfId="0" applyFont="1" applyBorder="1" applyAlignment="1">
      <alignment horizontal="left" vertical="center" indent="1"/>
    </xf>
    <xf numFmtId="0" fontId="11" fillId="0" borderId="17" xfId="0" applyFont="1" applyBorder="1" applyAlignment="1">
      <alignment horizontal="left" vertical="center" indent="1"/>
    </xf>
    <xf numFmtId="0" fontId="7" fillId="0" borderId="0" xfId="0" applyFont="1" applyAlignment="1">
      <alignment horizontal="right" vertical="center"/>
    </xf>
    <xf numFmtId="0" fontId="11" fillId="0" borderId="23" xfId="0" applyFont="1" applyBorder="1" applyAlignment="1">
      <alignment vertical="center"/>
    </xf>
    <xf numFmtId="0" fontId="11" fillId="0" borderId="24" xfId="0" applyFont="1" applyBorder="1" applyAlignment="1">
      <alignment vertical="center"/>
    </xf>
    <xf numFmtId="43" fontId="11" fillId="4" borderId="2" xfId="1" applyFont="1" applyFill="1" applyBorder="1" applyAlignment="1">
      <alignment horizontal="right" vertical="center"/>
    </xf>
    <xf numFmtId="0" fontId="11" fillId="0" borderId="27" xfId="0" applyFont="1" applyBorder="1" applyAlignment="1">
      <alignment vertical="center"/>
    </xf>
    <xf numFmtId="0" fontId="11" fillId="0" borderId="28" xfId="0" applyFont="1" applyBorder="1" applyAlignment="1">
      <alignment vertical="center"/>
    </xf>
    <xf numFmtId="164" fontId="11" fillId="4" borderId="10" xfId="1" applyNumberFormat="1" applyFont="1" applyFill="1" applyBorder="1" applyAlignment="1">
      <alignment vertical="center"/>
    </xf>
    <xf numFmtId="164" fontId="11" fillId="0" borderId="0" xfId="1" applyNumberFormat="1" applyFont="1" applyBorder="1" applyAlignment="1">
      <alignment vertical="center"/>
    </xf>
    <xf numFmtId="164" fontId="11" fillId="0" borderId="10" xfId="0" applyNumberFormat="1" applyFont="1" applyBorder="1" applyAlignment="1">
      <alignment vertical="center"/>
    </xf>
    <xf numFmtId="164" fontId="11" fillId="0" borderId="0" xfId="0" applyNumberFormat="1" applyFont="1" applyAlignment="1">
      <alignment vertical="center"/>
    </xf>
    <xf numFmtId="167" fontId="11" fillId="4" borderId="2" xfId="1" applyNumberFormat="1" applyFont="1" applyFill="1" applyBorder="1" applyAlignment="1">
      <alignment horizontal="right" vertical="center"/>
    </xf>
    <xf numFmtId="164" fontId="11" fillId="4" borderId="10" xfId="0" applyNumberFormat="1" applyFont="1" applyFill="1" applyBorder="1" applyAlignment="1">
      <alignment vertical="center"/>
    </xf>
    <xf numFmtId="0" fontId="11" fillId="0" borderId="11" xfId="0" applyFont="1" applyBorder="1" applyAlignment="1">
      <alignment horizontal="left" vertical="center" indent="1"/>
    </xf>
    <xf numFmtId="0" fontId="11" fillId="0" borderId="27" xfId="0" applyFont="1" applyBorder="1" applyAlignment="1">
      <alignment horizontal="center" vertical="center"/>
    </xf>
    <xf numFmtId="0" fontId="11" fillId="0" borderId="25" xfId="0" applyFont="1" applyBorder="1" applyAlignment="1">
      <alignment horizontal="center" vertical="center"/>
    </xf>
    <xf numFmtId="0" fontId="11" fillId="0" borderId="26" xfId="0" applyFont="1" applyBorder="1" applyAlignment="1">
      <alignment vertical="center"/>
    </xf>
    <xf numFmtId="14" fontId="11" fillId="0" borderId="8" xfId="0" applyNumberFormat="1" applyFont="1" applyBorder="1" applyAlignment="1">
      <alignment horizontal="center" vertical="center"/>
    </xf>
    <xf numFmtId="0" fontId="11" fillId="0" borderId="9" xfId="0" applyFont="1" applyBorder="1" applyAlignment="1">
      <alignment vertical="center"/>
    </xf>
    <xf numFmtId="14" fontId="11" fillId="0" borderId="10" xfId="0" applyNumberFormat="1" applyFont="1" applyBorder="1" applyAlignment="1">
      <alignment horizontal="right" vertical="center"/>
    </xf>
    <xf numFmtId="0" fontId="11" fillId="0" borderId="13" xfId="0" applyFont="1" applyBorder="1" applyAlignment="1">
      <alignment vertical="center"/>
    </xf>
    <xf numFmtId="14" fontId="11" fillId="0" borderId="12" xfId="0" applyNumberFormat="1"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left"/>
    </xf>
    <xf numFmtId="0" fontId="14" fillId="0" borderId="0" xfId="0" applyFont="1" applyAlignment="1">
      <alignment horizontal="center" vertical="center"/>
    </xf>
    <xf numFmtId="0" fontId="16" fillId="0" borderId="0" xfId="0" applyFont="1" applyAlignment="1">
      <alignment vertical="center"/>
    </xf>
    <xf numFmtId="10" fontId="18" fillId="2" borderId="19" xfId="2" applyNumberFormat="1" applyFont="1" applyFill="1" applyBorder="1" applyAlignment="1">
      <alignment vertical="center"/>
    </xf>
    <xf numFmtId="164" fontId="17" fillId="2" borderId="19" xfId="1" applyNumberFormat="1" applyFont="1" applyFill="1" applyBorder="1" applyAlignment="1">
      <alignment vertical="center"/>
    </xf>
    <xf numFmtId="0" fontId="17" fillId="0" borderId="1" xfId="0" applyFont="1" applyBorder="1" applyAlignment="1">
      <alignment vertical="center"/>
    </xf>
    <xf numFmtId="164" fontId="17" fillId="0" borderId="1" xfId="0" applyNumberFormat="1" applyFont="1" applyBorder="1" applyAlignment="1">
      <alignment vertical="center"/>
    </xf>
    <xf numFmtId="0" fontId="17" fillId="0" borderId="2" xfId="0" applyFont="1" applyBorder="1" applyAlignment="1">
      <alignment vertical="center"/>
    </xf>
    <xf numFmtId="164" fontId="17" fillId="0" borderId="2" xfId="0" applyNumberFormat="1" applyFont="1" applyBorder="1" applyAlignment="1">
      <alignment vertical="center"/>
    </xf>
    <xf numFmtId="0" fontId="6" fillId="0" borderId="0" xfId="0" applyFont="1" applyAlignment="1">
      <alignment vertical="center"/>
    </xf>
    <xf numFmtId="0" fontId="13" fillId="0" borderId="0" xfId="0" applyFont="1"/>
    <xf numFmtId="0" fontId="4" fillId="0" borderId="0" xfId="0" applyFont="1" applyAlignment="1">
      <alignment horizontal="center" vertical="center"/>
    </xf>
    <xf numFmtId="0" fontId="11" fillId="4" borderId="3" xfId="0" applyFont="1" applyFill="1" applyBorder="1" applyAlignment="1">
      <alignment horizontal="center" vertical="center"/>
    </xf>
    <xf numFmtId="0" fontId="11" fillId="4" borderId="12" xfId="0" applyFont="1" applyFill="1" applyBorder="1" applyAlignment="1">
      <alignment horizontal="center" vertical="center"/>
    </xf>
    <xf numFmtId="0" fontId="11" fillId="5" borderId="27" xfId="0" applyFont="1" applyFill="1" applyBorder="1" applyAlignment="1">
      <alignment vertical="center"/>
    </xf>
    <xf numFmtId="0" fontId="11" fillId="5" borderId="28" xfId="0" applyFont="1" applyFill="1" applyBorder="1" applyAlignment="1">
      <alignment vertical="center"/>
    </xf>
    <xf numFmtId="0" fontId="14" fillId="0" borderId="7" xfId="0" applyFont="1" applyBorder="1" applyAlignment="1">
      <alignment vertical="center"/>
    </xf>
    <xf numFmtId="0" fontId="8" fillId="0" borderId="10" xfId="0" applyFont="1" applyBorder="1" applyAlignment="1">
      <alignment vertical="center"/>
    </xf>
    <xf numFmtId="0" fontId="8" fillId="0" borderId="8" xfId="0" applyFont="1" applyBorder="1" applyAlignment="1">
      <alignment vertical="center"/>
    </xf>
    <xf numFmtId="0" fontId="21" fillId="0" borderId="5" xfId="0" applyFont="1" applyBorder="1" applyAlignment="1">
      <alignment horizontal="left" vertical="center" indent="1"/>
    </xf>
    <xf numFmtId="14" fontId="11" fillId="4" borderId="8" xfId="0" applyNumberFormat="1" applyFont="1" applyFill="1" applyBorder="1" applyAlignment="1">
      <alignment horizontal="right" vertical="center" indent="1"/>
    </xf>
    <xf numFmtId="14" fontId="11" fillId="4" borderId="10" xfId="0" applyNumberFormat="1" applyFont="1" applyFill="1" applyBorder="1" applyAlignment="1">
      <alignment horizontal="right" vertical="center" indent="1"/>
    </xf>
    <xf numFmtId="0" fontId="11" fillId="4" borderId="10" xfId="0" applyFont="1" applyFill="1" applyBorder="1" applyAlignment="1">
      <alignment horizontal="right" vertical="center" indent="1"/>
    </xf>
    <xf numFmtId="0" fontId="15" fillId="0" borderId="0" xfId="0" applyFont="1"/>
    <xf numFmtId="0" fontId="14" fillId="0" borderId="0" xfId="0" applyFont="1" applyAlignment="1">
      <alignment vertical="center"/>
    </xf>
    <xf numFmtId="0" fontId="13" fillId="0" borderId="0" xfId="0" applyFont="1" applyAlignment="1">
      <alignment horizontal="center"/>
    </xf>
    <xf numFmtId="0" fontId="6" fillId="0" borderId="0" xfId="0" applyFont="1" applyAlignment="1">
      <alignment horizontal="center" vertical="center"/>
    </xf>
    <xf numFmtId="169" fontId="0" fillId="6" borderId="0" xfId="0" applyNumberFormat="1" applyFill="1"/>
    <xf numFmtId="0" fontId="26" fillId="6" borderId="0" xfId="0" applyFont="1" applyFill="1" applyAlignment="1">
      <alignment horizontal="center"/>
    </xf>
    <xf numFmtId="0" fontId="29" fillId="0" borderId="0" xfId="0" applyFont="1" applyAlignment="1">
      <alignment horizontal="center" vertical="center"/>
    </xf>
    <xf numFmtId="0" fontId="29" fillId="0" borderId="0" xfId="0" applyFont="1" applyAlignment="1">
      <alignment vertical="center"/>
    </xf>
    <xf numFmtId="0" fontId="20" fillId="0" borderId="0" xfId="0" applyFont="1" applyAlignment="1">
      <alignment horizontal="center" vertical="center"/>
    </xf>
    <xf numFmtId="0" fontId="20" fillId="0" borderId="0" xfId="0" applyFont="1" applyAlignment="1">
      <alignment horizontal="left" vertical="center"/>
    </xf>
    <xf numFmtId="0" fontId="30" fillId="0" borderId="0" xfId="0" applyFont="1" applyAlignment="1">
      <alignment horizontal="center" vertical="center"/>
    </xf>
    <xf numFmtId="0" fontId="11" fillId="0" borderId="8" xfId="0" applyFont="1" applyBorder="1" applyAlignment="1">
      <alignment horizontal="left" vertical="center" indent="1"/>
    </xf>
    <xf numFmtId="0" fontId="11" fillId="0" borderId="12" xfId="0" applyFont="1" applyBorder="1" applyAlignment="1">
      <alignment horizontal="left" vertical="center" indent="1"/>
    </xf>
    <xf numFmtId="0" fontId="3" fillId="0" borderId="0" xfId="0" applyFont="1" applyAlignment="1">
      <alignment horizontal="right" indent="2"/>
    </xf>
    <xf numFmtId="0" fontId="11" fillId="0" borderId="18" xfId="0" applyFont="1" applyBorder="1" applyAlignment="1">
      <alignment horizontal="left" vertical="center" indent="3"/>
    </xf>
    <xf numFmtId="14" fontId="24" fillId="0" borderId="0" xfId="0" applyNumberFormat="1" applyFont="1" applyAlignment="1">
      <alignment horizontal="left" vertical="center"/>
    </xf>
    <xf numFmtId="0" fontId="16" fillId="2" borderId="31" xfId="0" applyFont="1" applyFill="1" applyBorder="1" applyAlignment="1">
      <alignment horizontal="left" vertical="center"/>
    </xf>
    <xf numFmtId="0" fontId="16" fillId="2" borderId="31" xfId="0" applyFont="1" applyFill="1" applyBorder="1" applyAlignment="1">
      <alignment vertical="center"/>
    </xf>
    <xf numFmtId="0" fontId="16" fillId="2" borderId="32" xfId="0" applyFont="1" applyFill="1" applyBorder="1" applyAlignment="1">
      <alignment horizontal="center" vertical="center"/>
    </xf>
    <xf numFmtId="0" fontId="16" fillId="2" borderId="33" xfId="0" applyFont="1" applyFill="1" applyBorder="1" applyAlignment="1">
      <alignment horizontal="center" vertical="center"/>
    </xf>
    <xf numFmtId="0" fontId="16" fillId="2" borderId="35" xfId="0" applyFont="1" applyFill="1" applyBorder="1" applyAlignment="1">
      <alignment horizontal="left" vertical="center"/>
    </xf>
    <xf numFmtId="0" fontId="16" fillId="2" borderId="35" xfId="0" applyFont="1" applyFill="1" applyBorder="1" applyAlignment="1">
      <alignment vertical="center"/>
    </xf>
    <xf numFmtId="0" fontId="16" fillId="2" borderId="36" xfId="0" applyFont="1" applyFill="1" applyBorder="1" applyAlignment="1">
      <alignment horizontal="center" vertical="center"/>
    </xf>
    <xf numFmtId="0" fontId="16" fillId="2" borderId="37" xfId="0" applyFont="1" applyFill="1" applyBorder="1" applyAlignment="1">
      <alignment horizontal="center" vertical="center"/>
    </xf>
    <xf numFmtId="0" fontId="16" fillId="2" borderId="39" xfId="0" applyFont="1" applyFill="1" applyBorder="1" applyAlignment="1">
      <alignment vertical="center"/>
    </xf>
    <xf numFmtId="0" fontId="16" fillId="2" borderId="40" xfId="0" applyFont="1" applyFill="1" applyBorder="1" applyAlignment="1">
      <alignment vertical="center"/>
    </xf>
    <xf numFmtId="0" fontId="16" fillId="2" borderId="41" xfId="0" applyFont="1" applyFill="1" applyBorder="1" applyAlignment="1">
      <alignment horizontal="center" vertical="center"/>
    </xf>
    <xf numFmtId="0" fontId="16" fillId="2" borderId="42" xfId="0" applyFont="1" applyFill="1" applyBorder="1" applyAlignment="1">
      <alignment horizontal="center" vertical="center"/>
    </xf>
    <xf numFmtId="0" fontId="16" fillId="2" borderId="32" xfId="0" applyFont="1" applyFill="1" applyBorder="1" applyAlignment="1">
      <alignment vertical="center"/>
    </xf>
    <xf numFmtId="0" fontId="16" fillId="2" borderId="43" xfId="0" applyFont="1" applyFill="1" applyBorder="1" applyAlignment="1">
      <alignment horizontal="center" vertical="center"/>
    </xf>
    <xf numFmtId="0" fontId="16" fillId="0" borderId="30" xfId="0" applyFont="1" applyBorder="1" applyAlignment="1">
      <alignment horizontal="center" vertical="center"/>
    </xf>
    <xf numFmtId="0" fontId="16" fillId="0" borderId="32" xfId="0" applyFont="1" applyBorder="1" applyAlignment="1">
      <alignment horizontal="center" vertical="center"/>
    </xf>
    <xf numFmtId="0" fontId="16" fillId="0" borderId="33" xfId="0" applyFont="1" applyBorder="1" applyAlignment="1">
      <alignment horizontal="center" vertical="center"/>
    </xf>
    <xf numFmtId="0" fontId="29" fillId="2" borderId="31" xfId="0" applyFont="1" applyFill="1" applyBorder="1" applyAlignment="1">
      <alignment vertical="center"/>
    </xf>
    <xf numFmtId="0" fontId="31" fillId="2" borderId="20" xfId="0" applyFont="1" applyFill="1" applyBorder="1" applyAlignment="1">
      <alignment horizontal="center" vertical="center"/>
    </xf>
    <xf numFmtId="166" fontId="19" fillId="2" borderId="19" xfId="1" applyNumberFormat="1" applyFont="1" applyFill="1" applyBorder="1" applyAlignment="1">
      <alignment horizontal="center" vertical="center"/>
    </xf>
    <xf numFmtId="0" fontId="31" fillId="2" borderId="19" xfId="0" applyFont="1" applyFill="1" applyBorder="1" applyAlignment="1">
      <alignment horizontal="center" vertical="center"/>
    </xf>
    <xf numFmtId="0" fontId="19" fillId="0" borderId="16" xfId="0" applyFont="1" applyBorder="1" applyAlignment="1">
      <alignment horizontal="left" vertical="center" indent="2"/>
    </xf>
    <xf numFmtId="0" fontId="19" fillId="0" borderId="1" xfId="0" applyFont="1" applyBorder="1" applyAlignment="1">
      <alignment horizontal="center" vertical="center"/>
    </xf>
    <xf numFmtId="0" fontId="19" fillId="2" borderId="1" xfId="0" applyFont="1" applyFill="1" applyBorder="1" applyAlignment="1">
      <alignment horizontal="center" vertical="center"/>
    </xf>
    <xf numFmtId="0" fontId="19" fillId="0" borderId="17" xfId="0" applyFont="1" applyBorder="1" applyAlignment="1">
      <alignment horizontal="left" vertical="center" indent="2"/>
    </xf>
    <xf numFmtId="0" fontId="19" fillId="0" borderId="2" xfId="0" applyFont="1" applyBorder="1" applyAlignment="1">
      <alignment horizontal="center" vertical="center"/>
    </xf>
    <xf numFmtId="0" fontId="19" fillId="2" borderId="2" xfId="0" applyFont="1" applyFill="1"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2" borderId="22" xfId="0" applyFont="1" applyFill="1" applyBorder="1" applyAlignment="1">
      <alignment horizontal="left" vertical="center" indent="1"/>
    </xf>
    <xf numFmtId="0" fontId="16" fillId="4" borderId="45" xfId="0" applyFont="1" applyFill="1" applyBorder="1" applyAlignment="1">
      <alignment vertical="center"/>
    </xf>
    <xf numFmtId="0" fontId="16" fillId="7" borderId="45" xfId="0" applyFont="1" applyFill="1" applyBorder="1" applyAlignment="1">
      <alignment vertical="center"/>
    </xf>
    <xf numFmtId="165" fontId="17" fillId="0" borderId="1" xfId="2" applyNumberFormat="1" applyFont="1" applyFill="1" applyBorder="1" applyAlignment="1">
      <alignment vertical="center"/>
    </xf>
    <xf numFmtId="165" fontId="17" fillId="0" borderId="2" xfId="2" applyNumberFormat="1" applyFont="1" applyFill="1" applyBorder="1" applyAlignment="1">
      <alignment vertical="center"/>
    </xf>
    <xf numFmtId="0" fontId="8" fillId="0" borderId="47" xfId="0" applyFont="1" applyBorder="1" applyAlignment="1">
      <alignment vertical="center"/>
    </xf>
    <xf numFmtId="0" fontId="8" fillId="7" borderId="45" xfId="0" applyFont="1" applyFill="1" applyBorder="1" applyAlignment="1">
      <alignment vertical="center"/>
    </xf>
    <xf numFmtId="165" fontId="17" fillId="2" borderId="49" xfId="2" applyNumberFormat="1" applyFont="1" applyFill="1" applyBorder="1" applyAlignment="1">
      <alignment vertical="center"/>
    </xf>
    <xf numFmtId="0" fontId="8" fillId="2" borderId="46" xfId="0" applyFont="1" applyFill="1" applyBorder="1" applyAlignment="1">
      <alignment vertical="center"/>
    </xf>
    <xf numFmtId="0" fontId="8" fillId="2" borderId="50" xfId="0" applyFont="1" applyFill="1" applyBorder="1" applyAlignment="1">
      <alignment vertical="center"/>
    </xf>
    <xf numFmtId="0" fontId="32" fillId="0" borderId="31" xfId="0" applyFont="1" applyBorder="1" applyAlignment="1">
      <alignment horizontal="center" vertical="center"/>
    </xf>
    <xf numFmtId="0" fontId="32" fillId="0" borderId="32" xfId="0" applyFont="1" applyBorder="1" applyAlignment="1">
      <alignment horizontal="center" vertical="center"/>
    </xf>
    <xf numFmtId="0" fontId="16" fillId="0" borderId="0" xfId="0" applyFont="1" applyAlignment="1">
      <alignment horizontal="center" vertical="center"/>
    </xf>
    <xf numFmtId="0" fontId="20" fillId="0" borderId="4" xfId="0" applyFont="1" applyBorder="1" applyAlignment="1">
      <alignment horizontal="left"/>
    </xf>
    <xf numFmtId="0" fontId="11" fillId="0" borderId="0" xfId="0" applyFont="1" applyAlignment="1">
      <alignment horizontal="left" vertical="center" indent="3"/>
    </xf>
    <xf numFmtId="0" fontId="3" fillId="0" borderId="4" xfId="0" applyFont="1" applyBorder="1" applyAlignment="1">
      <alignment horizontal="left" vertical="center"/>
    </xf>
    <xf numFmtId="0" fontId="12" fillId="0" borderId="4" xfId="0" applyFont="1" applyBorder="1" applyAlignment="1">
      <alignment vertical="center"/>
    </xf>
    <xf numFmtId="0" fontId="3" fillId="0" borderId="4" xfId="0" applyFont="1" applyBorder="1" applyAlignment="1">
      <alignment horizontal="center" vertical="center"/>
    </xf>
    <xf numFmtId="0" fontId="2" fillId="0" borderId="4" xfId="0" applyFont="1" applyBorder="1" applyAlignment="1">
      <alignment horizontal="right" vertical="center"/>
    </xf>
    <xf numFmtId="0" fontId="12" fillId="0" borderId="20" xfId="0" applyFont="1" applyBorder="1" applyAlignment="1">
      <alignment vertical="center"/>
    </xf>
    <xf numFmtId="0" fontId="11" fillId="0" borderId="8" xfId="0" applyFont="1" applyBorder="1" applyAlignment="1">
      <alignment horizontal="center" vertical="center"/>
    </xf>
    <xf numFmtId="0" fontId="11" fillId="0" borderId="10" xfId="0" applyFont="1" applyBorder="1" applyAlignment="1">
      <alignment horizontal="center" vertical="center"/>
    </xf>
    <xf numFmtId="2" fontId="0" fillId="0" borderId="0" xfId="0" applyNumberFormat="1" applyAlignment="1">
      <alignment horizontal="left"/>
    </xf>
    <xf numFmtId="169" fontId="0" fillId="0" borderId="0" xfId="0" applyNumberFormat="1"/>
    <xf numFmtId="43" fontId="11" fillId="4" borderId="1" xfId="1" applyFont="1" applyFill="1" applyBorder="1" applyAlignment="1">
      <alignment horizontal="right" vertical="center"/>
    </xf>
    <xf numFmtId="43" fontId="11" fillId="4" borderId="3" xfId="1" applyFont="1" applyFill="1" applyBorder="1" applyAlignment="1">
      <alignment horizontal="right" vertical="center"/>
    </xf>
    <xf numFmtId="0" fontId="11" fillId="0" borderId="12" xfId="0" applyFont="1" applyBorder="1" applyAlignment="1">
      <alignment horizontal="center" vertical="center"/>
    </xf>
    <xf numFmtId="168" fontId="11" fillId="4" borderId="12" xfId="0" applyNumberFormat="1" applyFont="1" applyFill="1" applyBorder="1" applyAlignment="1">
      <alignment horizontal="right" vertical="center" indent="1"/>
    </xf>
    <xf numFmtId="0" fontId="26" fillId="0" borderId="0" xfId="0" applyFont="1"/>
    <xf numFmtId="0" fontId="25" fillId="0" borderId="21" xfId="0" applyFont="1" applyBorder="1" applyAlignment="1">
      <alignment horizontal="left" vertical="center" indent="1"/>
    </xf>
    <xf numFmtId="0" fontId="11" fillId="0" borderId="18" xfId="0" applyFont="1" applyBorder="1" applyAlignment="1">
      <alignment vertical="center"/>
    </xf>
    <xf numFmtId="0" fontId="25" fillId="0" borderId="21" xfId="0" applyFont="1" applyBorder="1" applyAlignment="1">
      <alignment horizontal="left" vertical="center" indent="3"/>
    </xf>
    <xf numFmtId="0" fontId="25" fillId="0" borderId="18" xfId="0" applyFont="1" applyBorder="1" applyAlignment="1">
      <alignment horizontal="left" vertical="center" indent="3"/>
    </xf>
    <xf numFmtId="0" fontId="36" fillId="0" borderId="0" xfId="0" applyFont="1"/>
    <xf numFmtId="0" fontId="11" fillId="0" borderId="10" xfId="0" applyFont="1" applyBorder="1" applyAlignment="1">
      <alignment horizontal="right" vertical="center" indent="1"/>
    </xf>
    <xf numFmtId="14" fontId="11" fillId="0" borderId="10" xfId="0" applyNumberFormat="1" applyFont="1" applyBorder="1" applyAlignment="1">
      <alignment horizontal="right" vertical="center" indent="1"/>
    </xf>
    <xf numFmtId="0" fontId="3" fillId="0" borderId="4" xfId="0" applyFont="1" applyBorder="1" applyAlignment="1">
      <alignment horizontal="left"/>
    </xf>
    <xf numFmtId="0" fontId="11" fillId="0" borderId="4" xfId="0" applyFont="1" applyBorder="1" applyAlignment="1">
      <alignment vertical="center"/>
    </xf>
    <xf numFmtId="0" fontId="25" fillId="0" borderId="0" xfId="0" applyFont="1" applyAlignment="1">
      <alignment horizontal="left" vertical="center" indent="3"/>
    </xf>
    <xf numFmtId="0" fontId="0" fillId="4" borderId="0" xfId="0" applyFill="1"/>
    <xf numFmtId="14" fontId="0" fillId="4" borderId="0" xfId="0" applyNumberFormat="1" applyFill="1" applyAlignment="1">
      <alignment horizontal="left"/>
    </xf>
    <xf numFmtId="2" fontId="0" fillId="4" borderId="0" xfId="0" applyNumberFormat="1" applyFill="1" applyAlignment="1">
      <alignment horizontal="left"/>
    </xf>
    <xf numFmtId="43" fontId="11" fillId="0" borderId="10" xfId="1" applyFont="1" applyFill="1" applyBorder="1" applyAlignment="1">
      <alignment vertical="center"/>
    </xf>
    <xf numFmtId="164" fontId="11" fillId="0" borderId="10" xfId="1" applyNumberFormat="1" applyFont="1" applyFill="1" applyBorder="1" applyAlignment="1">
      <alignment vertical="center"/>
    </xf>
    <xf numFmtId="0" fontId="21" fillId="0" borderId="14" xfId="0" applyFont="1" applyBorder="1" applyAlignment="1">
      <alignment horizontal="left" vertical="center" indent="1"/>
    </xf>
    <xf numFmtId="0" fontId="14" fillId="0" borderId="15" xfId="0" applyFont="1" applyBorder="1" applyAlignment="1">
      <alignment vertical="center"/>
    </xf>
    <xf numFmtId="0" fontId="14" fillId="0" borderId="4" xfId="0" applyFont="1" applyBorder="1" applyAlignment="1">
      <alignment vertical="center"/>
    </xf>
    <xf numFmtId="0" fontId="11" fillId="0" borderId="17" xfId="0" applyFont="1" applyBorder="1" applyAlignment="1">
      <alignment vertical="center"/>
    </xf>
    <xf numFmtId="0" fontId="11" fillId="0" borderId="16" xfId="0" applyFont="1" applyBorder="1" applyAlignment="1">
      <alignment vertical="center"/>
    </xf>
    <xf numFmtId="0" fontId="11" fillId="0" borderId="11" xfId="0" applyFont="1" applyBorder="1" applyAlignment="1">
      <alignment vertical="center"/>
    </xf>
    <xf numFmtId="0" fontId="12" fillId="0" borderId="0" xfId="0" applyFont="1" applyAlignment="1">
      <alignment horizontal="center" vertical="center"/>
    </xf>
    <xf numFmtId="43" fontId="17" fillId="0" borderId="1" xfId="0" applyNumberFormat="1" applyFont="1" applyBorder="1" applyAlignment="1">
      <alignment vertical="center"/>
    </xf>
    <xf numFmtId="43" fontId="17" fillId="0" borderId="2" xfId="0" applyNumberFormat="1" applyFont="1" applyBorder="1" applyAlignment="1">
      <alignment vertical="center"/>
    </xf>
    <xf numFmtId="43" fontId="2" fillId="0" borderId="0" xfId="0" applyNumberFormat="1" applyFont="1" applyAlignment="1">
      <alignment vertical="center"/>
    </xf>
    <xf numFmtId="43" fontId="29" fillId="0" borderId="0" xfId="0" applyNumberFormat="1" applyFont="1" applyAlignment="1">
      <alignment vertical="center"/>
    </xf>
    <xf numFmtId="43" fontId="20" fillId="0" borderId="0" xfId="0" applyNumberFormat="1" applyFont="1" applyAlignment="1">
      <alignment horizontal="center" vertical="center"/>
    </xf>
    <xf numFmtId="43" fontId="16" fillId="2" borderId="39" xfId="0" applyNumberFormat="1" applyFont="1" applyFill="1" applyBorder="1" applyAlignment="1">
      <alignment vertical="center"/>
    </xf>
    <xf numFmtId="43" fontId="16" fillId="2" borderId="31" xfId="0" applyNumberFormat="1" applyFont="1" applyFill="1" applyBorder="1" applyAlignment="1">
      <alignment vertical="center"/>
    </xf>
    <xf numFmtId="43" fontId="29" fillId="2" borderId="31" xfId="0" applyNumberFormat="1" applyFont="1" applyFill="1" applyBorder="1" applyAlignment="1">
      <alignment vertical="center"/>
    </xf>
    <xf numFmtId="43" fontId="16" fillId="2" borderId="35" xfId="0" applyNumberFormat="1" applyFont="1" applyFill="1" applyBorder="1" applyAlignment="1">
      <alignment vertical="center"/>
    </xf>
    <xf numFmtId="0" fontId="26" fillId="8" borderId="0" xfId="0" applyFont="1" applyFill="1" applyAlignment="1">
      <alignment horizontal="center"/>
    </xf>
    <xf numFmtId="0" fontId="0" fillId="8" borderId="0" xfId="0" applyFill="1"/>
    <xf numFmtId="0" fontId="11" fillId="0" borderId="10" xfId="0" applyFont="1" applyBorder="1" applyAlignment="1">
      <alignment horizontal="left" vertical="center" indent="1"/>
    </xf>
    <xf numFmtId="0" fontId="37" fillId="0" borderId="21" xfId="0" applyFont="1" applyBorder="1" applyAlignment="1">
      <alignment horizontal="left" vertical="center" indent="1"/>
    </xf>
    <xf numFmtId="0" fontId="37" fillId="0" borderId="21" xfId="0" applyFont="1" applyBorder="1" applyAlignment="1">
      <alignment horizontal="left" vertical="center" indent="3"/>
    </xf>
    <xf numFmtId="0" fontId="8" fillId="3" borderId="12" xfId="0" applyFont="1" applyFill="1" applyBorder="1" applyAlignment="1">
      <alignment vertical="center"/>
    </xf>
    <xf numFmtId="170" fontId="11" fillId="0" borderId="2" xfId="0" applyNumberFormat="1" applyFont="1" applyBorder="1" applyAlignment="1">
      <alignment horizontal="right" vertical="center"/>
    </xf>
    <xf numFmtId="170" fontId="11" fillId="0" borderId="3" xfId="0" applyNumberFormat="1" applyFont="1" applyBorder="1" applyAlignment="1">
      <alignment horizontal="right" vertical="center"/>
    </xf>
    <xf numFmtId="170" fontId="11" fillId="0" borderId="1" xfId="0" applyNumberFormat="1" applyFont="1" applyBorder="1" applyAlignment="1">
      <alignment horizontal="right" vertical="center"/>
    </xf>
    <xf numFmtId="9" fontId="16" fillId="0" borderId="0" xfId="0" applyNumberFormat="1" applyFont="1" applyAlignment="1">
      <alignment horizontal="center" vertical="center"/>
    </xf>
    <xf numFmtId="0" fontId="16" fillId="2" borderId="31" xfId="0" applyFont="1" applyFill="1" applyBorder="1" applyAlignment="1">
      <alignment horizontal="center" vertical="center"/>
    </xf>
    <xf numFmtId="0" fontId="16" fillId="9" borderId="45" xfId="0" applyFont="1" applyFill="1" applyBorder="1" applyAlignment="1">
      <alignment vertical="center"/>
    </xf>
    <xf numFmtId="0" fontId="8" fillId="9" borderId="48" xfId="0" applyFont="1" applyFill="1" applyBorder="1" applyAlignment="1">
      <alignment vertical="center"/>
    </xf>
    <xf numFmtId="0" fontId="31" fillId="0" borderId="11" xfId="0" applyFont="1" applyBorder="1" applyAlignment="1">
      <alignment horizontal="left" vertical="center" indent="2"/>
    </xf>
    <xf numFmtId="0" fontId="31" fillId="0" borderId="3" xfId="0" applyFont="1" applyBorder="1" applyAlignment="1">
      <alignment horizontal="center" vertical="center"/>
    </xf>
    <xf numFmtId="0" fontId="18" fillId="0" borderId="3" xfId="0" applyFont="1" applyBorder="1" applyAlignment="1">
      <alignment horizontal="center" vertical="center"/>
    </xf>
    <xf numFmtId="43" fontId="18" fillId="0" borderId="3" xfId="0" applyNumberFormat="1" applyFont="1" applyBorder="1" applyAlignment="1">
      <alignment vertical="center"/>
    </xf>
    <xf numFmtId="0" fontId="18" fillId="0" borderId="3" xfId="0" applyFont="1" applyBorder="1" applyAlignment="1">
      <alignment vertical="center"/>
    </xf>
    <xf numFmtId="164" fontId="39" fillId="0" borderId="3" xfId="0" applyNumberFormat="1" applyFont="1" applyBorder="1" applyAlignment="1">
      <alignment vertical="center"/>
    </xf>
    <xf numFmtId="165" fontId="39" fillId="0" borderId="3" xfId="2" applyNumberFormat="1" applyFont="1" applyFill="1" applyBorder="1" applyAlignment="1">
      <alignment vertical="center"/>
    </xf>
    <xf numFmtId="0" fontId="19" fillId="2" borderId="3" xfId="0" applyFont="1" applyFill="1" applyBorder="1" applyAlignment="1">
      <alignment horizontal="center" vertical="center"/>
    </xf>
    <xf numFmtId="43" fontId="11" fillId="4" borderId="54" xfId="1" applyFont="1" applyFill="1" applyBorder="1" applyAlignment="1">
      <alignment horizontal="right" vertical="center"/>
    </xf>
    <xf numFmtId="170" fontId="11" fillId="0" borderId="55" xfId="0" applyNumberFormat="1" applyFont="1" applyBorder="1" applyAlignment="1">
      <alignment horizontal="right" vertical="center"/>
    </xf>
    <xf numFmtId="43" fontId="11" fillId="4" borderId="53" xfId="1" applyFont="1" applyFill="1" applyBorder="1" applyAlignment="1">
      <alignment horizontal="right" vertical="center"/>
    </xf>
    <xf numFmtId="170" fontId="11" fillId="0" borderId="53" xfId="0" applyNumberFormat="1" applyFont="1" applyBorder="1" applyAlignment="1">
      <alignment horizontal="right" vertical="center"/>
    </xf>
    <xf numFmtId="0" fontId="36" fillId="0" borderId="0" xfId="0" quotePrefix="1" applyFont="1"/>
    <xf numFmtId="0" fontId="29" fillId="0" borderId="31" xfId="0" applyFont="1" applyBorder="1" applyAlignment="1">
      <alignment vertical="center"/>
    </xf>
    <xf numFmtId="0" fontId="41" fillId="0" borderId="31" xfId="0" applyFont="1" applyBorder="1" applyAlignment="1">
      <alignment vertical="center"/>
    </xf>
    <xf numFmtId="0" fontId="29" fillId="0" borderId="31" xfId="0" applyFont="1" applyBorder="1" applyAlignment="1">
      <alignment horizontal="center" vertical="center"/>
    </xf>
    <xf numFmtId="166" fontId="29" fillId="0" borderId="31" xfId="1" applyNumberFormat="1" applyFont="1" applyFill="1" applyBorder="1" applyAlignment="1">
      <alignment horizontal="center" vertical="center"/>
    </xf>
    <xf numFmtId="0" fontId="30" fillId="0" borderId="31" xfId="0" applyFont="1" applyBorder="1" applyAlignment="1">
      <alignment horizontal="center" vertical="center"/>
    </xf>
    <xf numFmtId="9" fontId="30" fillId="0" borderId="31" xfId="0" applyNumberFormat="1" applyFont="1" applyBorder="1" applyAlignment="1">
      <alignment horizontal="center" vertical="center"/>
    </xf>
    <xf numFmtId="43" fontId="29" fillId="0" borderId="31" xfId="1" applyFont="1" applyFill="1" applyBorder="1" applyAlignment="1">
      <alignment vertical="center"/>
    </xf>
    <xf numFmtId="10" fontId="30" fillId="0" borderId="31" xfId="2" applyNumberFormat="1" applyFont="1" applyFill="1" applyBorder="1" applyAlignment="1">
      <alignment vertical="center"/>
    </xf>
    <xf numFmtId="165" fontId="30" fillId="0" borderId="31" xfId="2" applyNumberFormat="1" applyFont="1" applyFill="1" applyBorder="1" applyAlignment="1">
      <alignment horizontal="center" vertical="center"/>
    </xf>
    <xf numFmtId="164" fontId="29" fillId="0" borderId="31" xfId="1" applyNumberFormat="1" applyFont="1" applyFill="1" applyBorder="1" applyAlignment="1">
      <alignment vertical="center"/>
    </xf>
    <xf numFmtId="43" fontId="29" fillId="0" borderId="31" xfId="1" applyFont="1" applyFill="1" applyBorder="1" applyAlignment="1">
      <alignment horizontal="center" vertical="center"/>
    </xf>
    <xf numFmtId="165" fontId="30" fillId="0" borderId="31" xfId="2" applyNumberFormat="1" applyFont="1" applyFill="1" applyBorder="1" applyAlignment="1">
      <alignment vertical="center"/>
    </xf>
    <xf numFmtId="43" fontId="30" fillId="0" borderId="31" xfId="0" applyNumberFormat="1" applyFont="1" applyBorder="1" applyAlignment="1">
      <alignment horizontal="center" vertical="center"/>
    </xf>
    <xf numFmtId="0" fontId="33" fillId="0" borderId="0" xfId="0" applyFont="1"/>
    <xf numFmtId="0" fontId="34" fillId="0" borderId="0" xfId="0" applyFont="1" applyAlignment="1">
      <alignment vertical="center"/>
    </xf>
    <xf numFmtId="0" fontId="42" fillId="0" borderId="0" xfId="0" applyFont="1" applyAlignment="1">
      <alignment vertical="center"/>
    </xf>
    <xf numFmtId="0" fontId="13" fillId="0" borderId="0" xfId="0" applyFont="1" applyAlignment="1">
      <alignment horizontal="left" vertical="center"/>
    </xf>
    <xf numFmtId="0" fontId="13" fillId="0" borderId="0" xfId="0" applyFont="1" applyAlignment="1">
      <alignment horizontal="center" vertical="center"/>
    </xf>
    <xf numFmtId="0" fontId="42" fillId="0" borderId="0" xfId="0" applyFont="1" applyAlignment="1">
      <alignment horizontal="center"/>
    </xf>
    <xf numFmtId="0" fontId="42" fillId="0" borderId="0" xfId="0" applyFont="1" applyAlignment="1">
      <alignment horizontal="center" vertical="center"/>
    </xf>
    <xf numFmtId="0" fontId="19" fillId="0" borderId="0" xfId="0" applyFont="1" applyAlignment="1">
      <alignment vertical="center"/>
    </xf>
    <xf numFmtId="0" fontId="43" fillId="2" borderId="5" xfId="0" applyFont="1" applyFill="1" applyBorder="1" applyAlignment="1">
      <alignment vertical="center"/>
    </xf>
    <xf numFmtId="0" fontId="43" fillId="2" borderId="19" xfId="0" applyFont="1" applyFill="1" applyBorder="1" applyAlignment="1">
      <alignment vertical="center"/>
    </xf>
    <xf numFmtId="43" fontId="43" fillId="2" borderId="7" xfId="1" applyFont="1" applyFill="1" applyBorder="1" applyAlignment="1">
      <alignment vertical="center"/>
    </xf>
    <xf numFmtId="0" fontId="43" fillId="4" borderId="5" xfId="0" applyFont="1" applyFill="1" applyBorder="1" applyAlignment="1">
      <alignment horizontal="left" vertical="center"/>
    </xf>
    <xf numFmtId="0" fontId="43" fillId="4" borderId="19" xfId="0" applyFont="1" applyFill="1" applyBorder="1" applyAlignment="1">
      <alignment vertical="center"/>
    </xf>
    <xf numFmtId="43" fontId="43" fillId="4" borderId="7" xfId="1" applyFont="1" applyFill="1" applyBorder="1" applyAlignment="1">
      <alignment vertical="center"/>
    </xf>
    <xf numFmtId="0" fontId="19" fillId="0" borderId="0" xfId="0" applyFont="1" applyAlignment="1">
      <alignment horizontal="center"/>
    </xf>
    <xf numFmtId="0" fontId="19" fillId="0" borderId="0" xfId="0" applyFont="1" applyAlignment="1">
      <alignment horizontal="center" vertical="center"/>
    </xf>
    <xf numFmtId="0" fontId="44" fillId="0" borderId="0" xfId="0" applyFont="1" applyAlignment="1">
      <alignment horizontal="left" vertical="center"/>
    </xf>
    <xf numFmtId="0" fontId="43" fillId="0" borderId="38" xfId="0" applyFont="1" applyBorder="1" applyAlignment="1">
      <alignment horizontal="left" vertical="center" indent="3"/>
    </xf>
    <xf numFmtId="0" fontId="42" fillId="0" borderId="39" xfId="0" applyFont="1" applyBorder="1" applyAlignment="1">
      <alignment vertical="center"/>
    </xf>
    <xf numFmtId="0" fontId="42" fillId="2" borderId="51" xfId="0" applyFont="1" applyFill="1" applyBorder="1" applyAlignment="1">
      <alignment vertical="center"/>
    </xf>
    <xf numFmtId="0" fontId="42" fillId="4" borderId="51" xfId="0" applyFont="1" applyFill="1" applyBorder="1" applyAlignment="1">
      <alignment vertical="center"/>
    </xf>
    <xf numFmtId="0" fontId="43" fillId="0" borderId="30" xfId="0" applyFont="1" applyBorder="1" applyAlignment="1">
      <alignment horizontal="left" vertical="center" indent="3"/>
    </xf>
    <xf numFmtId="0" fontId="42" fillId="0" borderId="31" xfId="0" applyFont="1" applyBorder="1" applyAlignment="1">
      <alignment vertical="center"/>
    </xf>
    <xf numFmtId="0" fontId="42" fillId="2" borderId="44" xfId="0" applyFont="1" applyFill="1" applyBorder="1" applyAlignment="1">
      <alignment vertical="center"/>
    </xf>
    <xf numFmtId="0" fontId="42" fillId="4" borderId="44" xfId="0" applyFont="1" applyFill="1" applyBorder="1" applyAlignment="1">
      <alignment vertical="center"/>
    </xf>
    <xf numFmtId="0" fontId="43" fillId="0" borderId="34" xfId="0" applyFont="1" applyBorder="1" applyAlignment="1">
      <alignment horizontal="left" vertical="center" indent="3"/>
    </xf>
    <xf numFmtId="0" fontId="42" fillId="0" borderId="35" xfId="0" applyFont="1" applyBorder="1" applyAlignment="1">
      <alignment vertical="center"/>
    </xf>
    <xf numFmtId="0" fontId="42" fillId="2" borderId="52" xfId="0" applyFont="1" applyFill="1" applyBorder="1" applyAlignment="1">
      <alignment vertical="center"/>
    </xf>
    <xf numFmtId="0" fontId="42" fillId="4" borderId="52" xfId="0" applyFont="1" applyFill="1" applyBorder="1" applyAlignment="1">
      <alignment vertical="center"/>
    </xf>
    <xf numFmtId="0" fontId="43" fillId="0" borderId="0" xfId="0" applyFont="1"/>
    <xf numFmtId="0" fontId="43" fillId="0" borderId="0" xfId="0" applyFont="1" applyAlignment="1">
      <alignment horizontal="right" vertical="center"/>
    </xf>
    <xf numFmtId="0" fontId="45" fillId="2" borderId="29" xfId="0" applyFont="1" applyFill="1" applyBorder="1" applyAlignment="1">
      <alignment vertical="center"/>
    </xf>
    <xf numFmtId="0" fontId="45" fillId="4" borderId="29" xfId="0" applyFont="1" applyFill="1" applyBorder="1" applyAlignment="1">
      <alignment vertical="center"/>
    </xf>
    <xf numFmtId="0" fontId="43" fillId="4" borderId="5" xfId="0" applyFont="1" applyFill="1" applyBorder="1" applyAlignment="1">
      <alignment vertical="center"/>
    </xf>
    <xf numFmtId="0" fontId="43" fillId="2" borderId="5" xfId="0" applyFont="1" applyFill="1" applyBorder="1" applyAlignment="1">
      <alignment horizontal="left" vertical="center"/>
    </xf>
    <xf numFmtId="0" fontId="13" fillId="0" borderId="4" xfId="0" applyFont="1" applyBorder="1" applyAlignment="1">
      <alignment horizontal="left"/>
    </xf>
    <xf numFmtId="0" fontId="43" fillId="0" borderId="4" xfId="0" applyFont="1" applyBorder="1"/>
    <xf numFmtId="0" fontId="42" fillId="0" borderId="0" xfId="0" applyFont="1"/>
    <xf numFmtId="9" fontId="16" fillId="0" borderId="0" xfId="0" applyNumberFormat="1" applyFont="1" applyAlignment="1">
      <alignment vertical="center"/>
    </xf>
    <xf numFmtId="0" fontId="46" fillId="0" borderId="0" xfId="0" applyFont="1"/>
    <xf numFmtId="0" fontId="47" fillId="0" borderId="0" xfId="0" applyFont="1"/>
    <xf numFmtId="14" fontId="47" fillId="0" borderId="0" xfId="0" applyNumberFormat="1" applyFont="1" applyAlignment="1">
      <alignment horizontal="left"/>
    </xf>
    <xf numFmtId="2" fontId="47" fillId="0" borderId="0" xfId="0" applyNumberFormat="1" applyFont="1" applyAlignment="1">
      <alignment horizontal="left"/>
    </xf>
    <xf numFmtId="0" fontId="48" fillId="0" borderId="0" xfId="0" applyFont="1"/>
    <xf numFmtId="0" fontId="16" fillId="10" borderId="30" xfId="0" applyFont="1" applyFill="1" applyBorder="1" applyAlignment="1">
      <alignment horizontal="center" vertical="center"/>
    </xf>
    <xf numFmtId="0" fontId="16" fillId="10" borderId="31" xfId="0" applyFont="1" applyFill="1" applyBorder="1" applyAlignment="1">
      <alignment horizontal="left" vertical="center"/>
    </xf>
    <xf numFmtId="0" fontId="16" fillId="10" borderId="31" xfId="0" applyFont="1" applyFill="1" applyBorder="1" applyAlignment="1">
      <alignment vertical="center"/>
    </xf>
    <xf numFmtId="43" fontId="16" fillId="10" borderId="31" xfId="0" applyNumberFormat="1" applyFont="1" applyFill="1" applyBorder="1" applyAlignment="1">
      <alignment vertical="center"/>
    </xf>
    <xf numFmtId="0" fontId="16" fillId="10" borderId="32" xfId="0" applyFont="1" applyFill="1" applyBorder="1" applyAlignment="1">
      <alignment horizontal="center" vertical="center"/>
    </xf>
    <xf numFmtId="0" fontId="16" fillId="10" borderId="33" xfId="0" applyFont="1" applyFill="1" applyBorder="1" applyAlignment="1">
      <alignment horizontal="center" vertical="center"/>
    </xf>
    <xf numFmtId="0" fontId="16" fillId="2" borderId="38" xfId="0" applyFont="1" applyFill="1" applyBorder="1" applyAlignment="1">
      <alignment horizontal="center" vertical="center"/>
    </xf>
    <xf numFmtId="0" fontId="16" fillId="2" borderId="30" xfId="0" applyFont="1" applyFill="1" applyBorder="1" applyAlignment="1">
      <alignment horizontal="center" vertical="center"/>
    </xf>
    <xf numFmtId="0" fontId="16" fillId="2" borderId="34" xfId="0" applyFont="1" applyFill="1" applyBorder="1" applyAlignment="1">
      <alignment horizontal="center" vertical="center"/>
    </xf>
    <xf numFmtId="0" fontId="29" fillId="0" borderId="20" xfId="0" applyFont="1" applyBorder="1" applyAlignment="1">
      <alignment vertical="center"/>
    </xf>
    <xf numFmtId="43" fontId="29" fillId="3" borderId="22" xfId="1" applyFont="1" applyFill="1" applyBorder="1" applyAlignment="1">
      <alignment vertical="center"/>
    </xf>
    <xf numFmtId="10" fontId="29" fillId="3" borderId="6" xfId="2" applyNumberFormat="1" applyFont="1" applyFill="1" applyBorder="1" applyAlignment="1">
      <alignment vertical="center"/>
    </xf>
    <xf numFmtId="0" fontId="20" fillId="0" borderId="0" xfId="0" applyFont="1" applyAlignment="1">
      <alignment horizontal="left" vertical="center" indent="1"/>
    </xf>
    <xf numFmtId="0" fontId="16" fillId="7" borderId="29" xfId="0" applyFont="1" applyFill="1" applyBorder="1" applyAlignment="1">
      <alignment vertical="center"/>
    </xf>
    <xf numFmtId="0" fontId="50" fillId="0" borderId="0" xfId="0" applyFont="1" applyAlignment="1">
      <alignment horizontal="left" vertical="center"/>
    </xf>
    <xf numFmtId="0" fontId="29" fillId="0" borderId="4" xfId="0" applyFont="1" applyBorder="1" applyAlignment="1">
      <alignment vertical="center"/>
    </xf>
    <xf numFmtId="0" fontId="16" fillId="0" borderId="4" xfId="0" applyFont="1" applyBorder="1" applyAlignment="1">
      <alignment horizontal="center" vertical="center"/>
    </xf>
    <xf numFmtId="43" fontId="29" fillId="3" borderId="14" xfId="1" applyFont="1" applyFill="1" applyBorder="1" applyAlignment="1">
      <alignment vertical="center"/>
    </xf>
    <xf numFmtId="10" fontId="29" fillId="3" borderId="15" xfId="2" applyNumberFormat="1" applyFont="1" applyFill="1" applyBorder="1" applyAlignment="1">
      <alignment vertical="center"/>
    </xf>
    <xf numFmtId="0" fontId="51" fillId="2" borderId="31" xfId="0" applyFont="1" applyFill="1" applyBorder="1" applyAlignment="1">
      <alignment vertical="center"/>
    </xf>
    <xf numFmtId="171" fontId="36" fillId="0" borderId="0" xfId="0" applyNumberFormat="1" applyFont="1"/>
    <xf numFmtId="172" fontId="36" fillId="0" borderId="0" xfId="0" applyNumberFormat="1" applyFont="1"/>
    <xf numFmtId="0" fontId="38" fillId="0" borderId="0" xfId="0" applyFont="1" applyAlignment="1">
      <alignment horizontal="center" wrapText="1"/>
    </xf>
    <xf numFmtId="0" fontId="11" fillId="0" borderId="21" xfId="0" applyFont="1" applyBorder="1" applyAlignment="1">
      <alignment horizontal="left" vertical="center" indent="1"/>
    </xf>
    <xf numFmtId="0" fontId="11" fillId="0" borderId="0" xfId="0" applyFont="1" applyAlignment="1">
      <alignment horizontal="left" vertical="center" indent="1"/>
    </xf>
    <xf numFmtId="0" fontId="11" fillId="0" borderId="18" xfId="0" applyFont="1" applyBorder="1" applyAlignment="1">
      <alignment horizontal="left" vertical="center" indent="1"/>
    </xf>
    <xf numFmtId="0" fontId="11" fillId="0" borderId="14" xfId="0" applyFont="1" applyBorder="1" applyAlignment="1">
      <alignment horizontal="left" vertical="center" indent="1"/>
    </xf>
    <xf numFmtId="0" fontId="11" fillId="0" borderId="4" xfId="0" applyFont="1" applyBorder="1" applyAlignment="1">
      <alignment horizontal="left" vertical="center" indent="1"/>
    </xf>
    <xf numFmtId="0" fontId="11" fillId="0" borderId="15" xfId="0" applyFont="1" applyBorder="1" applyAlignment="1">
      <alignment horizontal="left" vertical="center" indent="1"/>
    </xf>
    <xf numFmtId="0" fontId="15" fillId="0" borderId="0" xfId="0" applyFont="1" applyAlignment="1">
      <alignment horizontal="center"/>
    </xf>
    <xf numFmtId="0" fontId="14" fillId="0" borderId="0" xfId="0" applyFont="1" applyAlignment="1">
      <alignment horizontal="center" vertical="center"/>
    </xf>
    <xf numFmtId="0" fontId="11" fillId="4" borderId="1" xfId="0" applyFont="1" applyFill="1" applyBorder="1" applyAlignment="1">
      <alignment horizontal="center" vertical="center"/>
    </xf>
    <xf numFmtId="0" fontId="11" fillId="4" borderId="8" xfId="0" applyFont="1" applyFill="1" applyBorder="1" applyAlignment="1">
      <alignment horizontal="center" vertical="center"/>
    </xf>
    <xf numFmtId="0" fontId="38" fillId="0" borderId="0" xfId="0" applyFont="1" applyAlignment="1">
      <alignment horizontal="center" wrapText="1"/>
    </xf>
    <xf numFmtId="0" fontId="38" fillId="0" borderId="4" xfId="0" applyFont="1" applyBorder="1" applyAlignment="1">
      <alignment horizontal="center" wrapText="1"/>
    </xf>
    <xf numFmtId="0" fontId="40" fillId="0" borderId="0" xfId="0" applyFont="1" applyAlignment="1">
      <alignment horizontal="center" vertical="center"/>
    </xf>
    <xf numFmtId="167" fontId="2" fillId="4" borderId="2" xfId="1" applyNumberFormat="1" applyFont="1" applyFill="1" applyBorder="1" applyAlignment="1">
      <alignment horizontal="center" vertical="center" wrapText="1"/>
    </xf>
    <xf numFmtId="167" fontId="2" fillId="4" borderId="10" xfId="1" applyNumberFormat="1" applyFont="1" applyFill="1" applyBorder="1" applyAlignment="1">
      <alignment horizontal="center" vertical="center" wrapText="1"/>
    </xf>
    <xf numFmtId="14" fontId="23" fillId="0" borderId="0" xfId="0" applyNumberFormat="1" applyFont="1" applyAlignment="1">
      <alignment horizontal="left" vertical="center"/>
    </xf>
    <xf numFmtId="167" fontId="2" fillId="4" borderId="3" xfId="1" applyNumberFormat="1" applyFont="1" applyFill="1" applyBorder="1" applyAlignment="1">
      <alignment horizontal="center" vertical="center" wrapText="1"/>
    </xf>
    <xf numFmtId="167" fontId="2" fillId="4" borderId="12" xfId="1" applyNumberFormat="1" applyFont="1" applyFill="1" applyBorder="1" applyAlignment="1">
      <alignment horizontal="center" vertical="center" wrapText="1"/>
    </xf>
    <xf numFmtId="0" fontId="27" fillId="0" borderId="0" xfId="0" applyFont="1" applyAlignment="1">
      <alignment horizontal="left" vertical="top"/>
    </xf>
    <xf numFmtId="0" fontId="28" fillId="0" borderId="20" xfId="0" applyFont="1" applyBorder="1" applyAlignment="1">
      <alignment horizontal="left" vertical="center" indent="1"/>
    </xf>
    <xf numFmtId="14" fontId="24" fillId="0" borderId="0" xfId="0" applyNumberFormat="1" applyFont="1" applyAlignment="1">
      <alignment horizontal="left" vertical="center"/>
    </xf>
    <xf numFmtId="0" fontId="13" fillId="0" borderId="0" xfId="0" applyFont="1" applyAlignment="1">
      <alignment horizontal="center"/>
    </xf>
    <xf numFmtId="0" fontId="6" fillId="0" borderId="0" xfId="0" applyFont="1" applyAlignment="1">
      <alignment horizontal="center" vertical="center"/>
    </xf>
    <xf numFmtId="0" fontId="13" fillId="0" borderId="4" xfId="0" applyFont="1" applyBorder="1" applyAlignment="1">
      <alignment horizontal="center" vertical="center"/>
    </xf>
    <xf numFmtId="14" fontId="35" fillId="0" borderId="0" xfId="0" applyNumberFormat="1" applyFont="1" applyAlignment="1">
      <alignment horizontal="left" vertical="center"/>
    </xf>
    <xf numFmtId="0" fontId="33" fillId="0" borderId="0" xfId="0" applyFont="1" applyAlignment="1">
      <alignment horizontal="center"/>
    </xf>
    <xf numFmtId="0" fontId="34" fillId="0" borderId="0" xfId="0" applyFont="1" applyAlignment="1">
      <alignment horizontal="center" vertical="center"/>
    </xf>
    <xf numFmtId="0" fontId="52" fillId="0" borderId="10" xfId="0" applyFont="1" applyBorder="1" applyAlignment="1">
      <alignment horizontal="right" vertical="center" indent="1"/>
    </xf>
  </cellXfs>
  <cellStyles count="3">
    <cellStyle name="Comma" xfId="1" builtinId="3"/>
    <cellStyle name="Normal" xfId="0" builtinId="0"/>
    <cellStyle name="Percent" xfId="2" builtinId="5"/>
  </cellStyles>
  <dxfs count="0"/>
  <tableStyles count="0" defaultTableStyle="TableStyleMedium2" defaultPivotStyle="PivotStyleLight16"/>
  <colors>
    <mruColors>
      <color rgb="FF2362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381809</xdr:colOff>
      <xdr:row>1</xdr:row>
      <xdr:rowOff>12700</xdr:rowOff>
    </xdr:from>
    <xdr:to>
      <xdr:col>13</xdr:col>
      <xdr:colOff>743788</xdr:colOff>
      <xdr:row>5</xdr:row>
      <xdr:rowOff>76199</xdr:rowOff>
    </xdr:to>
    <xdr:pic>
      <xdr:nvPicPr>
        <xdr:cNvPr id="3" name="Picture 2">
          <a:extLst>
            <a:ext uri="{FF2B5EF4-FFF2-40B4-BE49-F238E27FC236}">
              <a16:creationId xmlns:a16="http://schemas.microsoft.com/office/drawing/2014/main" id="{1D581A7B-90CC-E844-9A1D-466ADEC81AC6}"/>
            </a:ext>
          </a:extLst>
        </xdr:cNvPr>
        <xdr:cNvPicPr>
          <a:picLocks noChangeAspect="1"/>
        </xdr:cNvPicPr>
      </xdr:nvPicPr>
      <xdr:blipFill>
        <a:blip xmlns:r="http://schemas.openxmlformats.org/officeDocument/2006/relationships" r:embed="rId1"/>
        <a:stretch>
          <a:fillRect/>
        </a:stretch>
      </xdr:blipFill>
      <xdr:spPr>
        <a:xfrm>
          <a:off x="14707409" y="1231900"/>
          <a:ext cx="3816379" cy="9905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367640</xdr:colOff>
      <xdr:row>0</xdr:row>
      <xdr:rowOff>213911</xdr:rowOff>
    </xdr:from>
    <xdr:to>
      <xdr:col>18</xdr:col>
      <xdr:colOff>1642994</xdr:colOff>
      <xdr:row>4</xdr:row>
      <xdr:rowOff>54982</xdr:rowOff>
    </xdr:to>
    <xdr:pic>
      <xdr:nvPicPr>
        <xdr:cNvPr id="2" name="Picture 1">
          <a:extLst>
            <a:ext uri="{FF2B5EF4-FFF2-40B4-BE49-F238E27FC236}">
              <a16:creationId xmlns:a16="http://schemas.microsoft.com/office/drawing/2014/main" id="{289ED104-31BF-974E-8326-D15045E75A47}"/>
            </a:ext>
          </a:extLst>
        </xdr:cNvPr>
        <xdr:cNvPicPr>
          <a:picLocks noChangeAspect="1"/>
        </xdr:cNvPicPr>
      </xdr:nvPicPr>
      <xdr:blipFill>
        <a:blip xmlns:r="http://schemas.openxmlformats.org/officeDocument/2006/relationships" r:embed="rId1"/>
        <a:stretch>
          <a:fillRect/>
        </a:stretch>
      </xdr:blipFill>
      <xdr:spPr>
        <a:xfrm>
          <a:off x="23382518" y="213911"/>
          <a:ext cx="4558768" cy="11885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2418599</xdr:colOff>
      <xdr:row>0</xdr:row>
      <xdr:rowOff>213910</xdr:rowOff>
    </xdr:from>
    <xdr:to>
      <xdr:col>9</xdr:col>
      <xdr:colOff>1753063</xdr:colOff>
      <xdr:row>5</xdr:row>
      <xdr:rowOff>16934</xdr:rowOff>
    </xdr:to>
    <xdr:pic>
      <xdr:nvPicPr>
        <xdr:cNvPr id="2" name="Picture 1">
          <a:extLst>
            <a:ext uri="{FF2B5EF4-FFF2-40B4-BE49-F238E27FC236}">
              <a16:creationId xmlns:a16="http://schemas.microsoft.com/office/drawing/2014/main" id="{5422CCAA-33D7-BA48-8E05-0F3269E5F6D5}"/>
            </a:ext>
          </a:extLst>
        </xdr:cNvPr>
        <xdr:cNvPicPr>
          <a:picLocks noChangeAspect="1"/>
        </xdr:cNvPicPr>
      </xdr:nvPicPr>
      <xdr:blipFill>
        <a:blip xmlns:r="http://schemas.openxmlformats.org/officeDocument/2006/relationships" r:embed="rId1"/>
        <a:stretch>
          <a:fillRect/>
        </a:stretch>
      </xdr:blipFill>
      <xdr:spPr>
        <a:xfrm>
          <a:off x="25494499" y="213910"/>
          <a:ext cx="6687764" cy="17207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2418599</xdr:colOff>
      <xdr:row>0</xdr:row>
      <xdr:rowOff>213910</xdr:rowOff>
    </xdr:from>
    <xdr:to>
      <xdr:col>9</xdr:col>
      <xdr:colOff>1753063</xdr:colOff>
      <xdr:row>5</xdr:row>
      <xdr:rowOff>16934</xdr:rowOff>
    </xdr:to>
    <xdr:pic>
      <xdr:nvPicPr>
        <xdr:cNvPr id="2" name="Picture 1">
          <a:extLst>
            <a:ext uri="{FF2B5EF4-FFF2-40B4-BE49-F238E27FC236}">
              <a16:creationId xmlns:a16="http://schemas.microsoft.com/office/drawing/2014/main" id="{E9FCDD7D-2901-3343-93C4-C7847D4F951B}"/>
            </a:ext>
          </a:extLst>
        </xdr:cNvPr>
        <xdr:cNvPicPr>
          <a:picLocks noChangeAspect="1"/>
        </xdr:cNvPicPr>
      </xdr:nvPicPr>
      <xdr:blipFill>
        <a:blip xmlns:r="http://schemas.openxmlformats.org/officeDocument/2006/relationships" r:embed="rId1"/>
        <a:stretch>
          <a:fillRect/>
        </a:stretch>
      </xdr:blipFill>
      <xdr:spPr>
        <a:xfrm>
          <a:off x="25494499" y="213910"/>
          <a:ext cx="6687764" cy="17207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77233-F094-4C49-BBC9-D1A23252FC33}">
  <sheetPr>
    <tabColor rgb="FF2362AA"/>
    <pageSetUpPr fitToPage="1"/>
  </sheetPr>
  <dimension ref="A1:W63"/>
  <sheetViews>
    <sheetView showGridLines="0" zoomScale="101" zoomScaleNormal="100" workbookViewId="0">
      <selection activeCell="C17" sqref="C17"/>
    </sheetView>
  </sheetViews>
  <sheetFormatPr defaultColWidth="10.875" defaultRowHeight="15"/>
  <cols>
    <col min="1" max="1" width="3.625" style="1" customWidth="1"/>
    <col min="2" max="2" width="36.875" style="1" customWidth="1"/>
    <col min="3" max="3" width="34.625" style="1" customWidth="1"/>
    <col min="4" max="4" width="4" style="1" customWidth="1"/>
    <col min="5" max="5" width="29.125" style="1" customWidth="1"/>
    <col min="6" max="6" width="16.125" style="1" customWidth="1"/>
    <col min="7" max="7" width="21.875" style="1" customWidth="1"/>
    <col min="8" max="8" width="13.875" style="1" customWidth="1"/>
    <col min="9" max="9" width="17.875" style="1" customWidth="1"/>
    <col min="10" max="10" width="10.375" style="1" customWidth="1"/>
    <col min="11" max="11" width="17.875" style="1" customWidth="1"/>
    <col min="12" max="12" width="10.375" style="1" customWidth="1"/>
    <col min="13" max="13" width="17.125" style="1" customWidth="1"/>
    <col min="14" max="14" width="10.375" style="1" customWidth="1"/>
    <col min="15" max="16" width="13.875" style="1" customWidth="1"/>
    <col min="17" max="17" width="11.375" style="1" customWidth="1"/>
    <col min="18" max="18" width="23" style="4" customWidth="1"/>
    <col min="19" max="19" width="15" style="4" customWidth="1"/>
    <col min="20" max="21" width="10.875" style="4"/>
    <col min="22" max="22" width="11.5" style="4" bestFit="1" customWidth="1"/>
    <col min="23" max="16384" width="10.875" style="1"/>
  </cols>
  <sheetData>
    <row r="1" spans="1:23">
      <c r="A1" s="4"/>
      <c r="B1" s="4"/>
      <c r="C1" s="4"/>
      <c r="D1" s="4"/>
      <c r="E1" s="4"/>
      <c r="F1" s="4"/>
      <c r="G1" s="4"/>
      <c r="H1" s="4"/>
      <c r="I1" s="4"/>
      <c r="J1" s="4"/>
      <c r="K1" s="4"/>
      <c r="L1" s="4"/>
      <c r="M1" s="4"/>
      <c r="N1" s="4"/>
      <c r="O1" s="4"/>
      <c r="P1" s="4"/>
      <c r="Q1" s="4"/>
    </row>
    <row r="2" spans="1:23" ht="23.25">
      <c r="A2" s="4"/>
      <c r="B2" s="290" t="s">
        <v>0</v>
      </c>
      <c r="C2" s="290"/>
      <c r="D2" s="281" t="str">
        <f>"Batch Overview - "&amp;C10</f>
        <v>Batch Overview - BXX.X.XXXX</v>
      </c>
      <c r="E2" s="281"/>
      <c r="F2" s="281"/>
      <c r="G2" s="281"/>
      <c r="H2" s="281"/>
      <c r="I2" s="281"/>
      <c r="J2" s="281"/>
      <c r="K2" s="64"/>
      <c r="L2" s="64"/>
      <c r="M2" s="64"/>
      <c r="N2" s="64"/>
      <c r="O2" s="4"/>
      <c r="P2" s="4"/>
      <c r="Q2" s="4"/>
    </row>
    <row r="3" spans="1:23" s="8" customFormat="1" ht="20.100000000000001" customHeight="1">
      <c r="A3" s="7"/>
      <c r="B3" s="290"/>
      <c r="C3" s="290"/>
      <c r="D3" s="282" t="str">
        <f>C12&amp;" - "&amp;C13&amp;" - "&amp;TEXT(C9,"m/d/yy")</f>
        <v>Monster Energy - Monster Energy (New Caledonia, Tahiti) EXPORT - 9/23/24</v>
      </c>
      <c r="E3" s="282"/>
      <c r="F3" s="282"/>
      <c r="G3" s="282"/>
      <c r="H3" s="282"/>
      <c r="I3" s="282"/>
      <c r="J3" s="282"/>
      <c r="K3" s="65"/>
      <c r="L3" s="65"/>
      <c r="M3" s="65"/>
      <c r="N3" s="65"/>
      <c r="O3" s="7"/>
      <c r="P3" s="7"/>
      <c r="Q3" s="7"/>
      <c r="R3" s="7"/>
      <c r="S3" s="7"/>
      <c r="T3" s="7"/>
      <c r="U3" s="7"/>
      <c r="W3" s="7"/>
    </row>
    <row r="4" spans="1:23" s="8" customFormat="1" ht="20.100000000000001" customHeight="1">
      <c r="A4" s="7"/>
      <c r="B4" s="293" t="str">
        <f>C16&amp;"+1 THROW"</f>
        <v>3+1 THROW</v>
      </c>
      <c r="C4" s="293"/>
      <c r="D4" s="287" t="s">
        <v>1</v>
      </c>
      <c r="E4" s="287"/>
      <c r="F4" s="287"/>
      <c r="G4" s="287"/>
      <c r="H4" s="287"/>
      <c r="I4" s="287"/>
      <c r="J4" s="287"/>
      <c r="K4" s="42"/>
      <c r="L4" s="42"/>
      <c r="M4" s="42"/>
      <c r="N4" s="42"/>
      <c r="O4" s="7"/>
      <c r="P4" s="7"/>
      <c r="Q4" s="7"/>
      <c r="R4" s="7"/>
      <c r="S4" s="7"/>
      <c r="T4" s="7"/>
      <c r="U4" s="7"/>
      <c r="W4" s="7"/>
    </row>
    <row r="5" spans="1:23" s="8" customFormat="1" ht="9.9499999999999993" customHeight="1">
      <c r="A5" s="7"/>
      <c r="B5" s="293"/>
      <c r="C5" s="293"/>
      <c r="D5" s="287"/>
      <c r="E5" s="287"/>
      <c r="F5" s="287"/>
      <c r="G5" s="287"/>
      <c r="H5" s="287"/>
      <c r="I5" s="287"/>
      <c r="J5" s="287"/>
      <c r="K5" s="42"/>
      <c r="L5" s="42"/>
      <c r="M5" s="42"/>
      <c r="N5" s="42"/>
      <c r="O5" s="7"/>
      <c r="P5" s="7"/>
      <c r="Q5" s="7"/>
      <c r="R5" s="7"/>
      <c r="S5" s="7"/>
      <c r="T5" s="7"/>
      <c r="U5" s="7"/>
      <c r="W5" s="7"/>
    </row>
    <row r="6" spans="1:23" s="8" customFormat="1" ht="12.95" customHeight="1">
      <c r="A6" s="7"/>
      <c r="B6" s="293"/>
      <c r="C6" s="293"/>
      <c r="D6" s="42"/>
      <c r="E6" s="42"/>
      <c r="F6" s="42"/>
      <c r="G6" s="42"/>
      <c r="H6" s="42"/>
      <c r="I6" s="285" t="s">
        <v>2</v>
      </c>
      <c r="J6" s="42"/>
      <c r="K6" s="285" t="s">
        <v>3</v>
      </c>
      <c r="L6" s="42"/>
      <c r="M6" s="42"/>
      <c r="N6" s="42"/>
      <c r="O6" s="7"/>
      <c r="P6" s="7"/>
      <c r="Q6" s="7"/>
      <c r="R6" s="7"/>
      <c r="S6" s="7"/>
      <c r="T6" s="7"/>
      <c r="U6" s="7"/>
      <c r="W6" s="7"/>
    </row>
    <row r="7" spans="1:23" s="8" customFormat="1" ht="20.100000000000001" customHeight="1">
      <c r="A7" s="7"/>
      <c r="E7" s="13"/>
      <c r="F7" s="13"/>
      <c r="G7" s="13"/>
      <c r="H7" s="13"/>
      <c r="I7" s="285"/>
      <c r="J7" s="14"/>
      <c r="K7" s="285"/>
      <c r="L7" s="14"/>
      <c r="M7" s="16"/>
      <c r="N7" s="16"/>
      <c r="O7" s="16"/>
      <c r="P7" s="7"/>
      <c r="Q7" s="7"/>
      <c r="R7" s="7"/>
      <c r="S7" s="7"/>
      <c r="T7" s="7"/>
      <c r="U7" s="7"/>
      <c r="W7" s="7"/>
    </row>
    <row r="8" spans="1:23" s="8" customFormat="1" ht="20.100000000000001" customHeight="1">
      <c r="B8" s="40" t="s">
        <v>4</v>
      </c>
      <c r="E8" s="40" t="s">
        <v>5</v>
      </c>
      <c r="F8" s="14" t="s">
        <v>6</v>
      </c>
      <c r="G8" s="126" t="s">
        <v>7</v>
      </c>
      <c r="H8" s="14" t="s">
        <v>8</v>
      </c>
      <c r="I8" s="286"/>
      <c r="J8" s="126" t="s">
        <v>9</v>
      </c>
      <c r="K8" s="286"/>
      <c r="L8" s="14" t="s">
        <v>9</v>
      </c>
      <c r="M8" s="16"/>
      <c r="N8" s="16"/>
      <c r="O8" s="16"/>
    </row>
    <row r="9" spans="1:23" s="16" customFormat="1" ht="26.1" customHeight="1">
      <c r="B9" s="17" t="s">
        <v>10</v>
      </c>
      <c r="C9" s="61">
        <v>45558</v>
      </c>
      <c r="E9" s="17" t="s">
        <v>11</v>
      </c>
      <c r="F9" s="133">
        <v>43.55</v>
      </c>
      <c r="G9" s="177" t="str">
        <f>TEXT(F9-0.3,"0.00")&amp;" - "&amp;TEXT(F9+0.3,"0.00")</f>
        <v>43.25 - 43.85</v>
      </c>
      <c r="H9" s="129" t="s">
        <v>12</v>
      </c>
      <c r="I9" s="157"/>
      <c r="J9" s="21"/>
      <c r="K9" s="157"/>
      <c r="L9" s="21"/>
    </row>
    <row r="10" spans="1:23" s="16" customFormat="1" ht="26.1" customHeight="1">
      <c r="B10" s="18" t="s">
        <v>13</v>
      </c>
      <c r="C10" s="62" t="s">
        <v>14</v>
      </c>
      <c r="E10" s="18" t="s">
        <v>15</v>
      </c>
      <c r="F10" s="29">
        <v>1.1952</v>
      </c>
      <c r="G10" s="175" t="str">
        <f>TEXT(F10-0.0028,"0.0000")&amp;" - "&amp;TEXT(F10+0.0028,"0.0000")</f>
        <v>1.1924 - 1.1980</v>
      </c>
      <c r="H10" s="130" t="s">
        <v>16</v>
      </c>
      <c r="I10" s="156"/>
      <c r="J10" s="24"/>
      <c r="K10" s="156"/>
      <c r="L10" s="24"/>
    </row>
    <row r="11" spans="1:23" s="16" customFormat="1" ht="26.1" customHeight="1">
      <c r="B11" s="18" t="s">
        <v>17</v>
      </c>
      <c r="C11" s="62" t="s">
        <v>18</v>
      </c>
      <c r="E11" s="31" t="s">
        <v>19</v>
      </c>
      <c r="F11" s="134">
        <v>2</v>
      </c>
      <c r="G11" s="176" t="str">
        <f>TEXT(F11-0.05,"0.00")&amp;" - "&amp;TEXT(F11+0.05,"0.00")</f>
        <v>1.95 - 2.05</v>
      </c>
      <c r="H11" s="135" t="s">
        <v>20</v>
      </c>
      <c r="I11" s="158"/>
      <c r="J11" s="34"/>
      <c r="K11" s="158"/>
      <c r="L11" s="34"/>
    </row>
    <row r="12" spans="1:23" s="16" customFormat="1" ht="26.1" customHeight="1">
      <c r="B12" s="18" t="s">
        <v>21</v>
      </c>
      <c r="C12" s="63" t="s">
        <v>22</v>
      </c>
      <c r="I12" s="153" t="s">
        <v>23</v>
      </c>
      <c r="J12" s="155"/>
      <c r="K12" s="153" t="s">
        <v>23</v>
      </c>
      <c r="L12" s="154"/>
    </row>
    <row r="13" spans="1:23" s="16" customFormat="1" ht="26.1" customHeight="1">
      <c r="B13" s="18" t="s">
        <v>24</v>
      </c>
      <c r="C13" s="302" t="str">
        <f>DATEX!C3</f>
        <v>Monster Energy (New Caledonia, Tahiti) EXPORT</v>
      </c>
    </row>
    <row r="14" spans="1:23" s="16" customFormat="1" ht="26.1" customHeight="1">
      <c r="B14" s="18" t="s">
        <v>25</v>
      </c>
      <c r="C14" s="143" t="str">
        <f>DATEX!C4</f>
        <v>HBC-4532</v>
      </c>
      <c r="E14" s="19"/>
      <c r="I14" s="274"/>
      <c r="K14" s="274"/>
      <c r="M14" s="274"/>
    </row>
    <row r="15" spans="1:23" s="16" customFormat="1" ht="26.1" customHeight="1">
      <c r="B15" s="18" t="s">
        <v>26</v>
      </c>
      <c r="C15" s="144">
        <f>DATEX!C6</f>
        <v>45154</v>
      </c>
      <c r="E15" s="41" t="s">
        <v>27</v>
      </c>
      <c r="F15" s="3" t="s">
        <v>6</v>
      </c>
      <c r="G15" s="3" t="s">
        <v>7</v>
      </c>
      <c r="H15" s="3" t="s">
        <v>8</v>
      </c>
      <c r="I15" s="274" t="s">
        <v>28</v>
      </c>
      <c r="J15" s="14" t="s">
        <v>9</v>
      </c>
      <c r="K15" s="274" t="s">
        <v>29</v>
      </c>
      <c r="L15" s="14" t="s">
        <v>9</v>
      </c>
      <c r="M15" s="274" t="s">
        <v>30</v>
      </c>
      <c r="N15" s="14" t="s">
        <v>9</v>
      </c>
    </row>
    <row r="16" spans="1:23" s="16" customFormat="1" ht="26.1" customHeight="1">
      <c r="B16" s="18" t="s">
        <v>31</v>
      </c>
      <c r="C16" s="151">
        <f>DATEX!C8</f>
        <v>3</v>
      </c>
      <c r="D16" s="26"/>
      <c r="E16" s="17" t="s">
        <v>32</v>
      </c>
      <c r="F16" s="192">
        <v>3.6</v>
      </c>
      <c r="G16" s="193" t="s">
        <v>33</v>
      </c>
      <c r="H16" s="129" t="s">
        <v>32</v>
      </c>
      <c r="I16" s="20"/>
      <c r="J16" s="21"/>
      <c r="K16" s="20"/>
      <c r="L16" s="21"/>
      <c r="M16" s="20"/>
      <c r="N16" s="21"/>
    </row>
    <row r="17" spans="1:14" s="16" customFormat="1" ht="26.1" customHeight="1">
      <c r="B17" s="18" t="s">
        <v>34</v>
      </c>
      <c r="C17" s="152">
        <f>C18/(C16+1)</f>
        <v>12000</v>
      </c>
      <c r="D17" s="28"/>
      <c r="E17" s="18" t="s">
        <v>11</v>
      </c>
      <c r="F17" s="190">
        <v>12.45</v>
      </c>
      <c r="G17" s="191" t="str">
        <f>TEXT(F17-0.2,"0.00")&amp;" - "&amp;TEXT(F17+0.2,"0.00")</f>
        <v>12.25 - 12.65</v>
      </c>
      <c r="H17" s="130" t="s">
        <v>12</v>
      </c>
      <c r="I17" s="23"/>
      <c r="J17" s="24"/>
      <c r="K17" s="23"/>
      <c r="L17" s="24"/>
      <c r="M17" s="23"/>
      <c r="N17" s="24"/>
    </row>
    <row r="18" spans="1:14" s="16" customFormat="1" ht="26.1" customHeight="1">
      <c r="B18" s="18" t="s">
        <v>35</v>
      </c>
      <c r="C18" s="27">
        <f>C21*(C19*C20/128)</f>
        <v>48000</v>
      </c>
      <c r="D18" s="28"/>
      <c r="E18" s="18" t="s">
        <v>36</v>
      </c>
      <c r="F18" s="22">
        <v>2.6</v>
      </c>
      <c r="G18" s="191" t="s">
        <v>37</v>
      </c>
      <c r="H18" s="130" t="s">
        <v>38</v>
      </c>
      <c r="I18" s="55"/>
      <c r="J18" s="56"/>
      <c r="K18" s="55"/>
      <c r="L18" s="56"/>
      <c r="M18" s="55"/>
      <c r="N18" s="56"/>
    </row>
    <row r="19" spans="1:14" s="16" customFormat="1" ht="26.1" customHeight="1">
      <c r="B19" s="18" t="s">
        <v>39</v>
      </c>
      <c r="C19" s="30">
        <v>16</v>
      </c>
      <c r="D19" s="28"/>
      <c r="E19" s="18" t="s">
        <v>15</v>
      </c>
      <c r="F19" s="29">
        <v>1.0485</v>
      </c>
      <c r="G19" s="175" t="str">
        <f>TEXT(F19-0.0008,"0.0000")&amp;" - "&amp;TEXT(F19+0.0008,"0.0000")</f>
        <v>1.0477 - 1.0493</v>
      </c>
      <c r="H19" s="130" t="s">
        <v>16</v>
      </c>
      <c r="I19" s="23"/>
      <c r="J19" s="24"/>
      <c r="K19" s="23"/>
      <c r="L19" s="24"/>
      <c r="M19" s="23"/>
      <c r="N19" s="24"/>
    </row>
    <row r="20" spans="1:14" s="16" customFormat="1" ht="26.1" customHeight="1">
      <c r="B20" s="18" t="s">
        <v>40</v>
      </c>
      <c r="C20" s="30">
        <v>24</v>
      </c>
      <c r="D20" s="28"/>
      <c r="E20" s="18" t="s">
        <v>19</v>
      </c>
      <c r="F20" s="22">
        <v>0.56999999999999995</v>
      </c>
      <c r="G20" s="191" t="s">
        <v>41</v>
      </c>
      <c r="H20" s="130" t="s">
        <v>20</v>
      </c>
      <c r="I20" s="23"/>
      <c r="J20" s="24"/>
      <c r="K20" s="23"/>
      <c r="L20" s="24"/>
      <c r="M20" s="23"/>
      <c r="N20" s="24"/>
    </row>
    <row r="21" spans="1:14" s="16" customFormat="1" ht="26.1" customHeight="1">
      <c r="B21" s="18" t="s">
        <v>42</v>
      </c>
      <c r="C21" s="25">
        <v>16000</v>
      </c>
      <c r="D21" s="8"/>
      <c r="E21" s="18" t="s">
        <v>43</v>
      </c>
      <c r="F21" s="22">
        <v>15.2</v>
      </c>
      <c r="G21" s="175" t="str">
        <f>TEXT(F21*0.92,"0.00")&amp;" - "&amp;TEXT(F21*1.08,"0.00")</f>
        <v>13.98 - 16.42</v>
      </c>
      <c r="H21" s="130" t="s">
        <v>44</v>
      </c>
      <c r="I21" s="23"/>
      <c r="J21" s="24"/>
      <c r="K21" s="23"/>
      <c r="L21" s="24"/>
      <c r="M21" s="23"/>
      <c r="N21" s="24"/>
    </row>
    <row r="22" spans="1:14" s="16" customFormat="1" ht="26.1" customHeight="1">
      <c r="B22" s="31" t="s">
        <v>45</v>
      </c>
      <c r="C22" s="136" t="s">
        <v>46</v>
      </c>
      <c r="D22" s="13"/>
      <c r="E22" s="18" t="s">
        <v>47</v>
      </c>
      <c r="F22" s="22">
        <v>26</v>
      </c>
      <c r="G22" s="175" t="str">
        <f>TEXT(F22*0.92,"0.00")&amp;" - "&amp;TEXT(F22*1.08,"0.00")</f>
        <v>23.92 - 28.08</v>
      </c>
      <c r="H22" s="130" t="s">
        <v>44</v>
      </c>
      <c r="I22" s="23"/>
      <c r="J22" s="24"/>
      <c r="K22" s="23"/>
      <c r="L22" s="24"/>
      <c r="M22" s="23"/>
      <c r="N22" s="24"/>
    </row>
    <row r="23" spans="1:14" s="8" customFormat="1" ht="26.1" customHeight="1">
      <c r="A23" s="13"/>
      <c r="B23" s="41" t="s">
        <v>48</v>
      </c>
      <c r="C23" s="77" t="s">
        <v>9</v>
      </c>
      <c r="D23" s="16"/>
      <c r="E23" s="18" t="s">
        <v>49</v>
      </c>
      <c r="F23" s="22">
        <v>35.1</v>
      </c>
      <c r="G23" s="175" t="str">
        <f>TEXT(F23*0.92,"0.00")&amp;" - "&amp;TEXT(F23*1.08,"0.00")</f>
        <v>32.29 - 37.91</v>
      </c>
      <c r="H23" s="130" t="s">
        <v>44</v>
      </c>
      <c r="I23" s="32"/>
      <c r="J23" s="24"/>
      <c r="K23" s="32"/>
      <c r="L23" s="24"/>
      <c r="M23" s="32"/>
      <c r="N23" s="24"/>
    </row>
    <row r="24" spans="1:14" s="13" customFormat="1" ht="26.1" customHeight="1">
      <c r="A24" s="16"/>
      <c r="B24" s="17" t="s">
        <v>50</v>
      </c>
      <c r="C24" s="75"/>
      <c r="D24" s="16"/>
      <c r="E24" s="18" t="s">
        <v>51</v>
      </c>
      <c r="F24" s="288" t="s">
        <v>52</v>
      </c>
      <c r="G24" s="288"/>
      <c r="H24" s="289"/>
      <c r="I24" s="32" t="s">
        <v>53</v>
      </c>
      <c r="J24" s="24"/>
      <c r="K24" s="32" t="s">
        <v>53</v>
      </c>
      <c r="L24" s="24"/>
      <c r="M24" s="32" t="s">
        <v>53</v>
      </c>
      <c r="N24" s="24"/>
    </row>
    <row r="25" spans="1:14" s="16" customFormat="1" ht="26.1" customHeight="1">
      <c r="B25" s="18" t="s">
        <v>54</v>
      </c>
      <c r="C25" s="171"/>
      <c r="E25" s="18" t="s">
        <v>55</v>
      </c>
      <c r="F25" s="288" t="s">
        <v>52</v>
      </c>
      <c r="G25" s="288"/>
      <c r="H25" s="289"/>
      <c r="I25" s="32" t="s">
        <v>53</v>
      </c>
      <c r="J25" s="24"/>
      <c r="K25" s="32" t="s">
        <v>53</v>
      </c>
      <c r="L25" s="24"/>
      <c r="M25" s="32" t="s">
        <v>53</v>
      </c>
      <c r="N25" s="24"/>
    </row>
    <row r="26" spans="1:14" s="16" customFormat="1" ht="26.1" customHeight="1">
      <c r="B26" s="18" t="s">
        <v>56</v>
      </c>
      <c r="C26" s="171"/>
      <c r="E26" s="31" t="s">
        <v>57</v>
      </c>
      <c r="F26" s="291" t="s">
        <v>52</v>
      </c>
      <c r="G26" s="291"/>
      <c r="H26" s="292"/>
      <c r="I26" s="33" t="s">
        <v>53</v>
      </c>
      <c r="J26" s="34"/>
      <c r="K26" s="33" t="s">
        <v>53</v>
      </c>
      <c r="L26" s="34"/>
      <c r="M26" s="33" t="s">
        <v>53</v>
      </c>
      <c r="N26" s="34"/>
    </row>
    <row r="27" spans="1:14" s="16" customFormat="1" ht="26.1" customHeight="1">
      <c r="B27" s="31" t="s">
        <v>58</v>
      </c>
      <c r="C27" s="76"/>
      <c r="E27" s="8"/>
      <c r="F27" s="8"/>
      <c r="G27" s="8"/>
      <c r="H27" s="8"/>
      <c r="I27" s="60" t="s">
        <v>23</v>
      </c>
      <c r="J27" s="57"/>
      <c r="K27" s="60" t="s">
        <v>23</v>
      </c>
      <c r="L27" s="57"/>
      <c r="M27" s="60" t="s">
        <v>23</v>
      </c>
      <c r="N27" s="57"/>
    </row>
    <row r="28" spans="1:14" s="16" customFormat="1" ht="26.1" customHeight="1">
      <c r="B28" s="41" t="s">
        <v>59</v>
      </c>
      <c r="C28" s="3" t="s">
        <v>60</v>
      </c>
      <c r="D28" s="8"/>
    </row>
    <row r="29" spans="1:14" s="16" customFormat="1" ht="26.1" customHeight="1">
      <c r="A29" s="8"/>
      <c r="B29" s="17" t="s">
        <v>61</v>
      </c>
      <c r="C29" s="35" t="s">
        <v>62</v>
      </c>
      <c r="D29" s="8"/>
      <c r="E29" s="3" t="s">
        <v>63</v>
      </c>
      <c r="F29" s="3" t="s">
        <v>64</v>
      </c>
      <c r="G29" s="3" t="s">
        <v>65</v>
      </c>
      <c r="H29" s="3" t="s">
        <v>66</v>
      </c>
      <c r="I29" s="3" t="s">
        <v>9</v>
      </c>
      <c r="K29" s="145" t="s">
        <v>67</v>
      </c>
      <c r="L29" s="146"/>
      <c r="M29" s="146"/>
      <c r="N29" s="146"/>
    </row>
    <row r="30" spans="1:14" s="8" customFormat="1" ht="26.1" customHeight="1">
      <c r="B30" s="18" t="s">
        <v>68</v>
      </c>
      <c r="C30" s="37" t="s">
        <v>69</v>
      </c>
      <c r="D30" s="15"/>
      <c r="E30" s="17" t="s">
        <v>70</v>
      </c>
      <c r="F30" s="283" t="s">
        <v>71</v>
      </c>
      <c r="G30" s="283"/>
      <c r="H30" s="284"/>
      <c r="I30" s="36"/>
      <c r="J30" s="16"/>
      <c r="K30" s="172"/>
      <c r="L30" s="123"/>
      <c r="M30" s="123"/>
      <c r="N30" s="78"/>
    </row>
    <row r="31" spans="1:14" s="8" customFormat="1" ht="26.1" customHeight="1">
      <c r="A31" s="16"/>
      <c r="B31" s="31" t="s">
        <v>72</v>
      </c>
      <c r="C31" s="39" t="s">
        <v>73</v>
      </c>
      <c r="D31" s="13"/>
      <c r="E31" s="31" t="s">
        <v>74</v>
      </c>
      <c r="F31" s="53" t="s">
        <v>75</v>
      </c>
      <c r="G31" s="53" t="s">
        <v>75</v>
      </c>
      <c r="H31" s="54" t="s">
        <v>75</v>
      </c>
      <c r="I31" s="38"/>
      <c r="J31" s="16"/>
      <c r="K31" s="173"/>
      <c r="L31" s="16"/>
      <c r="M31" s="16"/>
      <c r="N31" s="139"/>
    </row>
    <row r="32" spans="1:14" s="16" customFormat="1" ht="26.1" customHeight="1">
      <c r="D32" s="8"/>
      <c r="E32" s="294"/>
      <c r="F32" s="294"/>
      <c r="G32" s="294"/>
      <c r="H32" s="294"/>
      <c r="J32" s="8"/>
      <c r="K32" s="140"/>
      <c r="L32" s="147"/>
      <c r="M32" s="147"/>
      <c r="N32" s="141"/>
    </row>
    <row r="33" spans="1:14" s="16" customFormat="1" ht="26.1" customHeight="1">
      <c r="B33" s="124" t="s">
        <v>76</v>
      </c>
      <c r="C33" s="125"/>
      <c r="D33" s="8"/>
      <c r="E33" s="124" t="s">
        <v>77</v>
      </c>
      <c r="F33" s="124"/>
      <c r="G33" s="126" t="s">
        <v>23</v>
      </c>
      <c r="H33" s="127"/>
      <c r="I33" s="127" t="s">
        <v>78</v>
      </c>
      <c r="J33" s="8"/>
      <c r="K33" s="140"/>
      <c r="L33" s="147"/>
      <c r="M33" s="147"/>
      <c r="N33" s="78"/>
    </row>
    <row r="34" spans="1:14" s="16" customFormat="1" ht="26.1" customHeight="1">
      <c r="A34" s="8"/>
      <c r="B34" s="128"/>
      <c r="C34" s="128"/>
      <c r="D34" s="8"/>
      <c r="E34" s="13"/>
      <c r="F34" s="13"/>
      <c r="G34" s="13"/>
      <c r="H34" s="8"/>
      <c r="I34" s="8"/>
      <c r="K34" s="138"/>
      <c r="L34" s="123"/>
      <c r="M34" s="123"/>
      <c r="N34" s="78"/>
    </row>
    <row r="35" spans="1:14" s="8" customFormat="1" ht="26.1" customHeight="1">
      <c r="B35" s="124" t="s">
        <v>79</v>
      </c>
      <c r="C35" s="125"/>
      <c r="E35" s="124" t="s">
        <v>80</v>
      </c>
      <c r="F35" s="124"/>
      <c r="G35" s="126" t="s">
        <v>23</v>
      </c>
      <c r="H35" s="127"/>
      <c r="I35" s="127" t="s">
        <v>78</v>
      </c>
      <c r="J35" s="16"/>
      <c r="K35" s="138"/>
      <c r="L35" s="16"/>
      <c r="M35" s="16"/>
      <c r="N35" s="139"/>
    </row>
    <row r="36" spans="1:14" s="8" customFormat="1" ht="26.1" customHeight="1">
      <c r="J36" s="16"/>
      <c r="K36" s="275"/>
      <c r="L36" s="276"/>
      <c r="M36" s="276"/>
      <c r="N36" s="277"/>
    </row>
    <row r="37" spans="1:14" s="8" customFormat="1" ht="26.1" customHeight="1">
      <c r="B37" s="124" t="s">
        <v>81</v>
      </c>
      <c r="C37" s="125"/>
      <c r="E37" s="124" t="s">
        <v>82</v>
      </c>
      <c r="F37" s="124"/>
      <c r="G37" s="126" t="s">
        <v>23</v>
      </c>
      <c r="H37" s="127"/>
      <c r="I37" s="127" t="s">
        <v>78</v>
      </c>
      <c r="K37" s="278"/>
      <c r="L37" s="279"/>
      <c r="M37" s="279"/>
      <c r="N37" s="280"/>
    </row>
    <row r="38" spans="1:14" s="8" customFormat="1" ht="26.1" customHeight="1"/>
    <row r="39" spans="1:14" s="8" customFormat="1" ht="26.1" customHeight="1"/>
    <row r="40" spans="1:14" s="8" customFormat="1" ht="26.1" customHeight="1"/>
    <row r="41" spans="1:14" s="8" customFormat="1" ht="20.100000000000001" customHeight="1"/>
    <row r="42" spans="1:14" s="8" customFormat="1" ht="20.100000000000001" customHeight="1"/>
    <row r="43" spans="1:14" s="8" customFormat="1" ht="20.100000000000001" customHeight="1"/>
    <row r="44" spans="1:14" s="8" customFormat="1" ht="20.100000000000001" customHeight="1"/>
    <row r="45" spans="1:14" s="8" customFormat="1" ht="20.100000000000001" customHeight="1"/>
    <row r="46" spans="1:14" s="8" customFormat="1" ht="20.100000000000001" customHeight="1"/>
    <row r="47" spans="1:14" s="8" customFormat="1" ht="20.100000000000001" customHeight="1"/>
    <row r="48" spans="1:14" s="8" customFormat="1" ht="20.100000000000001" customHeight="1"/>
    <row r="49" spans="1:22" s="8" customFormat="1" ht="20.100000000000001" customHeight="1"/>
    <row r="50" spans="1:22" s="8" customFormat="1" ht="20.100000000000001" customHeight="1"/>
    <row r="51" spans="1:22" s="8" customFormat="1" ht="20.100000000000001" customHeight="1"/>
    <row r="52" spans="1:22" s="8" customFormat="1" ht="20.100000000000001" customHeight="1"/>
    <row r="53" spans="1:22" s="8" customFormat="1" ht="20.100000000000001" customHeight="1"/>
    <row r="54" spans="1:22" s="8" customFormat="1" ht="20.100000000000001" customHeight="1"/>
    <row r="55" spans="1:22" s="8" customFormat="1" ht="20.100000000000001" customHeight="1"/>
    <row r="56" spans="1:22" s="8" customFormat="1" ht="20.100000000000001" customHeight="1"/>
    <row r="57" spans="1:22" s="8" customFormat="1" ht="20.100000000000001" customHeight="1"/>
    <row r="58" spans="1:22" s="8" customFormat="1" ht="20.100000000000001" customHeight="1"/>
    <row r="59" spans="1:22" s="8" customFormat="1" ht="20.100000000000001" customHeight="1"/>
    <row r="60" spans="1:22" s="8" customFormat="1" ht="20.100000000000001" customHeight="1">
      <c r="D60" s="1"/>
      <c r="R60" s="7"/>
      <c r="S60" s="7"/>
      <c r="T60" s="7"/>
      <c r="U60" s="7"/>
      <c r="V60" s="7"/>
    </row>
    <row r="61" spans="1:22" s="8" customFormat="1" ht="20.100000000000001" customHeight="1">
      <c r="B61" s="1"/>
      <c r="C61" s="1"/>
      <c r="D61" s="1"/>
      <c r="R61" s="7"/>
      <c r="S61" s="7"/>
      <c r="T61" s="7"/>
      <c r="U61" s="7"/>
      <c r="V61" s="7"/>
    </row>
    <row r="62" spans="1:22" s="8" customFormat="1" ht="20.100000000000001" customHeight="1">
      <c r="B62" s="1"/>
      <c r="C62" s="1"/>
      <c r="D62" s="1"/>
      <c r="R62" s="7"/>
      <c r="S62" s="7"/>
      <c r="T62" s="7"/>
      <c r="U62" s="7"/>
      <c r="V62" s="7"/>
    </row>
    <row r="63" spans="1:22" s="8" customFormat="1" ht="20.100000000000001" customHeight="1">
      <c r="A63" s="1"/>
      <c r="B63" s="1"/>
      <c r="C63" s="1"/>
      <c r="D63" s="1"/>
      <c r="E63" s="1"/>
      <c r="F63" s="1"/>
      <c r="G63" s="1"/>
      <c r="H63" s="1"/>
      <c r="I63" s="1"/>
      <c r="J63" s="1"/>
      <c r="K63" s="1"/>
      <c r="L63" s="1"/>
      <c r="M63" s="1"/>
      <c r="N63" s="1"/>
      <c r="R63" s="7"/>
      <c r="S63" s="7"/>
      <c r="T63" s="7"/>
      <c r="U63" s="7"/>
      <c r="V63" s="7"/>
    </row>
  </sheetData>
  <mergeCells count="14">
    <mergeCell ref="B2:C3"/>
    <mergeCell ref="F26:H26"/>
    <mergeCell ref="F25:H25"/>
    <mergeCell ref="B4:C6"/>
    <mergeCell ref="E32:H32"/>
    <mergeCell ref="K36:N36"/>
    <mergeCell ref="K37:N37"/>
    <mergeCell ref="D2:J2"/>
    <mergeCell ref="D3:J3"/>
    <mergeCell ref="F30:H30"/>
    <mergeCell ref="I6:I8"/>
    <mergeCell ref="K6:K8"/>
    <mergeCell ref="D4:J5"/>
    <mergeCell ref="F24:H24"/>
  </mergeCells>
  <pageMargins left="0.25" right="0.25" top="0.75" bottom="0.75" header="0.3" footer="0.3"/>
  <pageSetup scale="52" orientation="landscape" horizontalDpi="0" verticalDpi="0"/>
  <headerFooter>
    <oddFooter>&amp;L&amp;"-,Bold" Confidential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056E1-A143-3949-B077-92CC14C8C37F}">
  <sheetPr>
    <tabColor rgb="FF2362AA"/>
    <pageSetUpPr fitToPage="1"/>
  </sheetPr>
  <dimension ref="A1:AE101"/>
  <sheetViews>
    <sheetView showGridLines="0" tabSelected="1" zoomScale="82" zoomScaleNormal="100" workbookViewId="0">
      <selection activeCell="J16" sqref="J16:J72"/>
    </sheetView>
  </sheetViews>
  <sheetFormatPr defaultColWidth="10.875" defaultRowHeight="15" outlineLevelCol="1"/>
  <cols>
    <col min="1" max="1" width="3.625" style="9" customWidth="1"/>
    <col min="2" max="2" width="6.125" style="2" customWidth="1"/>
    <col min="3" max="3" width="32.375" style="2" customWidth="1"/>
    <col min="4" max="4" width="44.125" style="2" customWidth="1"/>
    <col min="5" max="5" width="70" style="1" customWidth="1"/>
    <col min="6" max="6" width="12.5" style="1" bestFit="1" customWidth="1"/>
    <col min="7" max="7" width="13.875" style="2" hidden="1" customWidth="1" outlineLevel="1"/>
    <col min="8" max="9" width="17.125" style="2" hidden="1" customWidth="1" outlineLevel="1"/>
    <col min="10" max="10" width="19.875" style="1" customWidth="1" collapsed="1"/>
    <col min="11" max="11" width="13.625" style="1" customWidth="1"/>
    <col min="12" max="12" width="15.5" style="1" customWidth="1" outlineLevel="1"/>
    <col min="13" max="14" width="19.875" style="1" customWidth="1"/>
    <col min="15" max="15" width="20" style="1" customWidth="1"/>
    <col min="16" max="17" width="21" style="1" customWidth="1"/>
    <col min="18" max="19" width="22.125" style="1" customWidth="1"/>
    <col min="20" max="20" width="11.375" style="1" customWidth="1"/>
    <col min="21" max="21" width="23.125" style="4" customWidth="1"/>
    <col min="22" max="22" width="19.875" style="4" customWidth="1"/>
    <col min="23" max="24" width="13.625" style="5" customWidth="1"/>
    <col min="25" max="26" width="10.875" style="4"/>
    <col min="27" max="27" width="11.5" style="4" bestFit="1" customWidth="1"/>
    <col min="28" max="16384" width="10.875" style="1"/>
  </cols>
  <sheetData>
    <row r="1" spans="1:31" ht="16.5">
      <c r="B1" s="5"/>
      <c r="C1" s="5"/>
      <c r="D1" s="5"/>
      <c r="E1" s="4"/>
      <c r="F1" s="4"/>
      <c r="G1" s="5"/>
      <c r="H1" s="5"/>
      <c r="I1" s="5"/>
      <c r="J1" s="4"/>
      <c r="K1" s="4"/>
      <c r="L1" s="4"/>
      <c r="M1" s="4"/>
      <c r="N1" s="4"/>
      <c r="O1" s="4"/>
      <c r="P1" s="4"/>
      <c r="Q1" s="4"/>
      <c r="R1" s="4"/>
      <c r="S1" s="4"/>
      <c r="T1" s="4"/>
      <c r="AB1" s="6"/>
      <c r="AC1" s="6"/>
      <c r="AD1" s="6"/>
      <c r="AE1" s="6"/>
    </row>
    <row r="2" spans="1:31" ht="24.95" customHeight="1">
      <c r="B2" s="295" t="s">
        <v>0</v>
      </c>
      <c r="C2" s="295"/>
      <c r="D2" s="295"/>
      <c r="E2" s="296" t="str">
        <f>"Batch Instructions - "&amp;'MASTER - Batch Overview'!C10</f>
        <v>Batch Instructions - BXX.X.XXXX</v>
      </c>
      <c r="F2" s="296"/>
      <c r="G2" s="296"/>
      <c r="H2" s="296"/>
      <c r="I2" s="296"/>
      <c r="J2" s="296"/>
      <c r="K2" s="296"/>
      <c r="L2" s="296"/>
      <c r="M2" s="296"/>
      <c r="N2" s="51"/>
      <c r="O2" s="51"/>
      <c r="P2" s="51"/>
      <c r="Q2" s="51"/>
      <c r="R2" s="51"/>
      <c r="S2" s="51"/>
      <c r="T2" s="51"/>
      <c r="U2" s="51"/>
      <c r="V2" s="51"/>
      <c r="W2" s="66"/>
      <c r="X2" s="66"/>
      <c r="AB2" s="6"/>
      <c r="AC2" s="6"/>
      <c r="AD2" s="6"/>
      <c r="AE2" s="6"/>
    </row>
    <row r="3" spans="1:31" s="8" customFormat="1" ht="30" customHeight="1">
      <c r="A3" s="9"/>
      <c r="B3" s="295"/>
      <c r="C3" s="295"/>
      <c r="D3" s="295"/>
      <c r="E3" s="297" t="str">
        <f>'MASTER - Batch Overview'!D3</f>
        <v>Monster Energy - Monster Energy (New Caledonia, Tahiti) EXPORT - 9/23/24</v>
      </c>
      <c r="F3" s="297"/>
      <c r="G3" s="297"/>
      <c r="H3" s="297"/>
      <c r="I3" s="297"/>
      <c r="J3" s="297"/>
      <c r="K3" s="297"/>
      <c r="L3" s="297"/>
      <c r="M3" s="297"/>
      <c r="N3" s="50"/>
      <c r="O3" s="50"/>
      <c r="P3" s="50"/>
      <c r="Q3" s="50"/>
      <c r="R3" s="50"/>
      <c r="S3" s="50"/>
      <c r="T3" s="50"/>
      <c r="U3" s="50"/>
      <c r="V3" s="50"/>
      <c r="W3" s="67"/>
      <c r="X3" s="67"/>
      <c r="Y3" s="7"/>
      <c r="Z3" s="7"/>
      <c r="AB3" s="6"/>
      <c r="AC3" s="6"/>
      <c r="AD3" s="6"/>
      <c r="AE3" s="6"/>
    </row>
    <row r="4" spans="1:31" s="8" customFormat="1" ht="33" customHeight="1">
      <c r="A4" s="9"/>
      <c r="B4" s="79"/>
      <c r="C4" s="79"/>
      <c r="D4" s="79"/>
      <c r="E4" s="79"/>
      <c r="F4" s="67"/>
      <c r="G4" s="67"/>
      <c r="H4" s="67"/>
      <c r="I4" s="67"/>
      <c r="J4" s="67"/>
      <c r="K4" s="67"/>
      <c r="L4" s="67"/>
      <c r="M4" s="67"/>
      <c r="N4" s="67"/>
      <c r="O4" s="67"/>
      <c r="P4" s="67"/>
      <c r="Q4" s="67"/>
      <c r="R4" s="67"/>
      <c r="S4" s="50"/>
      <c r="T4" s="50"/>
      <c r="U4" s="50"/>
      <c r="V4" s="50"/>
      <c r="W4" s="67"/>
      <c r="X4" s="67"/>
      <c r="Y4" s="7"/>
      <c r="Z4" s="7"/>
      <c r="AB4" s="6"/>
      <c r="AC4" s="6"/>
      <c r="AD4" s="6"/>
      <c r="AE4" s="6"/>
    </row>
    <row r="5" spans="1:31" s="8" customFormat="1" ht="20.100000000000001" customHeight="1">
      <c r="A5" s="9"/>
      <c r="B5" s="9"/>
      <c r="C5" s="9"/>
      <c r="D5" s="121"/>
      <c r="E5" s="71"/>
      <c r="F5" s="72"/>
      <c r="G5" s="72"/>
      <c r="H5" s="72"/>
      <c r="I5" s="72"/>
      <c r="J5" s="72"/>
      <c r="K5" s="72"/>
      <c r="L5" s="72"/>
      <c r="M5" s="72"/>
      <c r="N5" s="72"/>
      <c r="O5" s="72" t="s">
        <v>83</v>
      </c>
      <c r="P5" s="72" t="s">
        <v>84</v>
      </c>
      <c r="Q5" s="72"/>
      <c r="R5" s="7"/>
      <c r="S5" s="7"/>
      <c r="T5" s="7"/>
      <c r="U5" s="7"/>
      <c r="V5" s="7"/>
      <c r="W5" s="52"/>
      <c r="X5" s="52"/>
      <c r="AB5" s="6"/>
      <c r="AC5" s="6"/>
      <c r="AD5" s="6"/>
      <c r="AE5" s="6"/>
    </row>
    <row r="6" spans="1:31" s="6" customFormat="1" ht="20.100000000000001" customHeight="1">
      <c r="A6" s="9"/>
      <c r="B6" s="10"/>
      <c r="C6" s="10"/>
      <c r="D6" s="73" t="s">
        <v>85</v>
      </c>
      <c r="E6" s="43"/>
      <c r="F6" s="72" t="s">
        <v>86</v>
      </c>
      <c r="G6" s="72" t="s">
        <v>87</v>
      </c>
      <c r="H6" s="72" t="s">
        <v>8</v>
      </c>
      <c r="I6" s="72"/>
      <c r="J6" s="72" t="s">
        <v>88</v>
      </c>
      <c r="K6" s="72" t="s">
        <v>89</v>
      </c>
      <c r="L6" s="72"/>
      <c r="M6" s="72" t="s">
        <v>90</v>
      </c>
      <c r="N6" s="72" t="s">
        <v>89</v>
      </c>
      <c r="O6" s="72" t="s">
        <v>91</v>
      </c>
      <c r="P6" s="72" t="s">
        <v>92</v>
      </c>
      <c r="Q6" s="72"/>
      <c r="W6" s="10"/>
      <c r="X6" s="10"/>
    </row>
    <row r="7" spans="1:31" s="6" customFormat="1" ht="27.95" customHeight="1">
      <c r="A7" s="9"/>
      <c r="D7" s="109" t="s">
        <v>93</v>
      </c>
      <c r="E7" s="98"/>
      <c r="F7" s="98"/>
      <c r="G7" s="99">
        <f>DATEX!H12</f>
        <v>3.8729435360000002</v>
      </c>
      <c r="H7" s="100" t="s">
        <v>94</v>
      </c>
      <c r="I7" s="100"/>
      <c r="J7" s="45">
        <f>G7*'MASTER - Batch Overview'!$C$17</f>
        <v>46475.322432000001</v>
      </c>
      <c r="K7" s="44">
        <f>J7/J$79</f>
        <v>0.39082685172932924</v>
      </c>
      <c r="L7" s="45"/>
      <c r="M7" s="45">
        <f>J7/8.33</f>
        <v>5579.2704000000003</v>
      </c>
      <c r="N7" s="116">
        <f>M7/M$7</f>
        <v>1</v>
      </c>
      <c r="O7" s="117"/>
      <c r="P7" s="118"/>
      <c r="W7" s="10"/>
      <c r="X7" s="10"/>
    </row>
    <row r="8" spans="1:31" s="6" customFormat="1" ht="27.95" customHeight="1">
      <c r="A8" s="9"/>
      <c r="D8" s="101" t="s">
        <v>95</v>
      </c>
      <c r="E8" s="102"/>
      <c r="F8" s="107" t="s">
        <v>96</v>
      </c>
      <c r="G8" s="103"/>
      <c r="H8" s="103"/>
      <c r="I8" s="103"/>
      <c r="J8" s="160"/>
      <c r="K8" s="46"/>
      <c r="L8" s="46"/>
      <c r="M8" s="47">
        <f>M7*N8</f>
        <v>836.89056000000005</v>
      </c>
      <c r="N8" s="112">
        <v>0.15</v>
      </c>
      <c r="O8" s="114"/>
      <c r="P8" s="59"/>
      <c r="W8" s="10"/>
      <c r="X8" s="10"/>
    </row>
    <row r="9" spans="1:31" s="6" customFormat="1" ht="27.95" customHeight="1">
      <c r="A9" s="9"/>
      <c r="D9" s="104" t="s">
        <v>97</v>
      </c>
      <c r="E9" s="105"/>
      <c r="F9" s="108" t="s">
        <v>98</v>
      </c>
      <c r="G9" s="106"/>
      <c r="H9" s="106"/>
      <c r="I9" s="106"/>
      <c r="J9" s="161"/>
      <c r="K9" s="48"/>
      <c r="L9" s="48"/>
      <c r="M9" s="49">
        <f>SUM(M18:M74)</f>
        <v>4460</v>
      </c>
      <c r="N9" s="113">
        <f>M9/M$7</f>
        <v>0.79938767620941975</v>
      </c>
      <c r="O9" s="115"/>
      <c r="P9" s="58"/>
      <c r="W9" s="10"/>
      <c r="X9" s="10"/>
    </row>
    <row r="10" spans="1:31" s="6" customFormat="1" ht="27.95" customHeight="1">
      <c r="A10" s="9"/>
      <c r="B10" s="10"/>
      <c r="C10" s="10"/>
      <c r="D10" s="182" t="s">
        <v>99</v>
      </c>
      <c r="E10" s="183"/>
      <c r="F10" s="184" t="s">
        <v>96</v>
      </c>
      <c r="G10" s="189"/>
      <c r="H10" s="189"/>
      <c r="I10" s="189"/>
      <c r="J10" s="185"/>
      <c r="K10" s="186"/>
      <c r="L10" s="186"/>
      <c r="M10" s="187">
        <f>M7-M8-M9</f>
        <v>282.37984000000051</v>
      </c>
      <c r="N10" s="188">
        <f>M10/M$7</f>
        <v>5.0612323790580303E-2</v>
      </c>
      <c r="O10" s="181"/>
      <c r="P10" s="174"/>
      <c r="W10" s="10"/>
      <c r="X10" s="10"/>
    </row>
    <row r="11" spans="1:31" s="8" customFormat="1" ht="20.100000000000001" customHeight="1">
      <c r="A11" s="9"/>
      <c r="B11" s="9"/>
      <c r="C11" s="9"/>
      <c r="D11" s="9"/>
      <c r="G11" s="9"/>
      <c r="H11" s="9"/>
      <c r="I11" s="9"/>
      <c r="J11" s="162"/>
      <c r="M11" s="11"/>
      <c r="N11" s="11"/>
      <c r="P11" s="74"/>
      <c r="Q11" s="74"/>
      <c r="R11" s="74"/>
    </row>
    <row r="12" spans="1:31" s="6" customFormat="1" ht="27" customHeight="1">
      <c r="A12" s="9"/>
      <c r="B12" s="70"/>
      <c r="C12" s="70"/>
      <c r="D12" s="70"/>
      <c r="E12" s="71"/>
      <c r="F12" s="71"/>
      <c r="G12" s="70"/>
      <c r="H12" s="70"/>
      <c r="I12" s="70"/>
      <c r="J12" s="163"/>
      <c r="K12" s="71"/>
      <c r="L12" s="72" t="s">
        <v>100</v>
      </c>
      <c r="M12" s="72" t="s">
        <v>83</v>
      </c>
      <c r="N12" s="72" t="s">
        <v>101</v>
      </c>
      <c r="O12" s="72" t="s">
        <v>88</v>
      </c>
      <c r="P12" s="72" t="s">
        <v>83</v>
      </c>
      <c r="Q12" s="72" t="s">
        <v>101</v>
      </c>
      <c r="R12" s="72" t="s">
        <v>84</v>
      </c>
      <c r="S12" s="72" t="s">
        <v>84</v>
      </c>
    </row>
    <row r="13" spans="1:31" s="6" customFormat="1" ht="20.100000000000001" customHeight="1">
      <c r="A13" s="9"/>
      <c r="B13" s="72" t="s">
        <v>102</v>
      </c>
      <c r="C13" s="72" t="s">
        <v>103</v>
      </c>
      <c r="D13" s="73" t="s">
        <v>104</v>
      </c>
      <c r="E13" s="73" t="s">
        <v>85</v>
      </c>
      <c r="F13" s="72" t="s">
        <v>105</v>
      </c>
      <c r="G13" s="72" t="s">
        <v>87</v>
      </c>
      <c r="H13" s="72" t="s">
        <v>8</v>
      </c>
      <c r="I13" s="72"/>
      <c r="J13" s="164" t="s">
        <v>88</v>
      </c>
      <c r="K13" s="72" t="s">
        <v>89</v>
      </c>
      <c r="L13" s="72" t="s">
        <v>106</v>
      </c>
      <c r="M13" s="72" t="s">
        <v>107</v>
      </c>
      <c r="N13" s="72" t="s">
        <v>86</v>
      </c>
      <c r="O13" s="72" t="s">
        <v>91</v>
      </c>
      <c r="P13" s="72" t="s">
        <v>91</v>
      </c>
      <c r="Q13" s="72" t="s">
        <v>108</v>
      </c>
      <c r="R13" s="72" t="s">
        <v>109</v>
      </c>
      <c r="S13" s="72" t="s">
        <v>92</v>
      </c>
      <c r="U13" s="72" t="s">
        <v>110</v>
      </c>
    </row>
    <row r="14" spans="1:31" s="43" customFormat="1" ht="27.95" customHeight="1">
      <c r="A14" s="9"/>
      <c r="B14" s="258">
        <v>1</v>
      </c>
      <c r="C14" s="88" t="str">
        <f>"Meter in "&amp;(TEXT(M8,"0,0.0")&amp;" gal. of "&amp;$F$8&amp;" water directly into the batch tank.")</f>
        <v>Meter in 836.9 gal. of Ambient water directly into the batch tank.</v>
      </c>
      <c r="D14" s="88"/>
      <c r="E14" s="88"/>
      <c r="F14" s="88"/>
      <c r="G14" s="88"/>
      <c r="H14" s="88"/>
      <c r="I14" s="88"/>
      <c r="J14" s="165"/>
      <c r="K14" s="88"/>
      <c r="L14" s="88"/>
      <c r="M14" s="88"/>
      <c r="N14" s="88"/>
      <c r="O14" s="89"/>
      <c r="P14" s="89"/>
      <c r="Q14" s="89"/>
      <c r="R14" s="90"/>
      <c r="S14" s="91"/>
      <c r="U14" s="121"/>
    </row>
    <row r="15" spans="1:31" s="43" customFormat="1" ht="27.95" customHeight="1">
      <c r="A15" s="9"/>
      <c r="B15" s="259">
        <f>MAX(B$14:B14)+1</f>
        <v>2</v>
      </c>
      <c r="C15" s="81" t="str">
        <f>"Transfer ingredient below directly from Sugar Stoarge Tank directly into batch tank."</f>
        <v>Transfer ingredient below directly from Sugar Stoarge Tank directly into batch tank.</v>
      </c>
      <c r="D15" s="81"/>
      <c r="E15" s="81"/>
      <c r="F15" s="81"/>
      <c r="G15" s="81"/>
      <c r="H15" s="81"/>
      <c r="I15" s="81"/>
      <c r="J15" s="166"/>
      <c r="K15" s="81"/>
      <c r="L15" s="81"/>
      <c r="M15" s="81"/>
      <c r="N15" s="81"/>
      <c r="O15" s="92"/>
      <c r="P15" s="92"/>
      <c r="Q15" s="92"/>
      <c r="R15" s="93"/>
      <c r="S15" s="83"/>
      <c r="U15" s="121"/>
    </row>
    <row r="16" spans="1:31" s="43" customFormat="1" ht="27.95" customHeight="1">
      <c r="A16" s="9">
        <v>1</v>
      </c>
      <c r="B16" s="94"/>
      <c r="C16" s="195" t="str">
        <f>VLOOKUP($A16,DATEX!$B$13:$H$38,2,FALSE)</f>
        <v>MECLSUCROSE</v>
      </c>
      <c r="D16" s="195" t="str">
        <f>VLOOKUP($A16,DATEX!$B$13:$H$38,3,FALSE)</f>
        <v>Batory Foods</v>
      </c>
      <c r="E16" s="195" t="str">
        <f>VLOOKUP($A16,DATEX!$B$13:$H$38,4,FALSE)</f>
        <v>Liquid Sucrose 66.5° Brix (5,085.8 gal.)</v>
      </c>
      <c r="F16" s="197" t="str">
        <f>VLOOKUP($A16,DATEX!$B$13:$H$38,5,FALSE)</f>
        <v>Liquid</v>
      </c>
      <c r="G16" s="198">
        <f>VLOOKUP($A16,DATEX!$B$13:$H$38,7,FALSE)</f>
        <v>4.6844736176000001</v>
      </c>
      <c r="H16" s="199" t="s">
        <v>94</v>
      </c>
      <c r="I16" s="200"/>
      <c r="J16" s="201">
        <f>G16*'MASTER - Batch Overview'!$C$17</f>
        <v>56213.6834112</v>
      </c>
      <c r="K16" s="202">
        <f>J16/J$79</f>
        <v>0.47272005361239783</v>
      </c>
      <c r="L16" s="203" t="s">
        <v>111</v>
      </c>
      <c r="M16" s="204">
        <v>0</v>
      </c>
      <c r="N16" s="205" t="s">
        <v>111</v>
      </c>
      <c r="O16" s="110"/>
      <c r="P16" s="120" t="s">
        <v>75</v>
      </c>
      <c r="Q16" s="120" t="s">
        <v>75</v>
      </c>
      <c r="R16" s="95"/>
      <c r="S16" s="96"/>
      <c r="U16" s="178"/>
    </row>
    <row r="17" spans="1:21" s="43" customFormat="1" ht="27.95" customHeight="1">
      <c r="A17" s="9"/>
      <c r="B17" s="259">
        <f>MAX(B$14:B16)+1</f>
        <v>3</v>
      </c>
      <c r="C17" s="81" t="str">
        <f>"Meter in "&amp;N18&amp;" water to mixer.  After the water addition is complete, add ingredient below into mixer and mix until thoroughly dissolved.  Visually inspect to verify the material is fully dissolved."</f>
        <v>Meter in 170° F water to mixer.  After the water addition is complete, add ingredient below into mixer and mix until thoroughly dissolved.  Visually inspect to verify the material is fully dissolved.</v>
      </c>
      <c r="D17" s="81"/>
      <c r="E17" s="81"/>
      <c r="F17" s="81"/>
      <c r="G17" s="81"/>
      <c r="H17" s="81"/>
      <c r="I17" s="81"/>
      <c r="J17" s="166"/>
      <c r="K17" s="81"/>
      <c r="L17" s="81"/>
      <c r="M17" s="81"/>
      <c r="N17" s="81"/>
      <c r="O17" s="92"/>
      <c r="P17" s="92"/>
      <c r="Q17" s="92"/>
      <c r="R17" s="93"/>
      <c r="S17" s="83"/>
      <c r="U17" s="121"/>
    </row>
    <row r="18" spans="1:21" s="43" customFormat="1" ht="27.95" customHeight="1">
      <c r="A18" s="9">
        <v>2</v>
      </c>
      <c r="B18" s="94"/>
      <c r="C18" s="195" t="str">
        <f>VLOOKUP($A18,DATEX!$B$13:$H$38,2,FALSE)</f>
        <v>NUT001</v>
      </c>
      <c r="D18" s="195" t="str">
        <f>VLOOKUP($A18,DATEX!$B$13:$H$38,3,FALSE)</f>
        <v>Wang Kang Biochemical</v>
      </c>
      <c r="E18" s="195" t="s">
        <v>117</v>
      </c>
      <c r="F18" s="197" t="str">
        <f>VLOOKUP($A18,DATEX!$B$13:$H$38,5,FALSE)</f>
        <v>Dry</v>
      </c>
      <c r="G18" s="198">
        <f>VLOOKUP($A18,DATEX!$B$13:$H$38,7,FALSE)/2</f>
        <v>5.5094000000000004E-2</v>
      </c>
      <c r="H18" s="199" t="s">
        <v>94</v>
      </c>
      <c r="I18" s="200"/>
      <c r="J18" s="201">
        <f>10*50</f>
        <v>500</v>
      </c>
      <c r="K18" s="202">
        <f>J18/J$79</f>
        <v>4.2046706862675825E-3</v>
      </c>
      <c r="L18" s="206">
        <v>0.55000000000000004</v>
      </c>
      <c r="M18" s="204">
        <f>ROUNDUP(((SUM(J18:J22)/U18-SUM(J18:J22))/8.33),-1)</f>
        <v>340</v>
      </c>
      <c r="N18" s="205" t="s">
        <v>112</v>
      </c>
      <c r="O18" s="110"/>
      <c r="P18" s="111"/>
      <c r="Q18" s="95" t="s">
        <v>113</v>
      </c>
      <c r="R18" s="95"/>
      <c r="S18" s="96"/>
      <c r="U18" s="178">
        <v>0.2</v>
      </c>
    </row>
    <row r="19" spans="1:21" s="43" customFormat="1" ht="27.95" customHeight="1">
      <c r="A19" s="9"/>
      <c r="B19" s="259">
        <f>MAX(B$14:B18)+1</f>
        <v>4</v>
      </c>
      <c r="C19" s="81" t="str">
        <f>"Upon completion of prior step, add ingredients below into mixer IN ORDER and mix until thoroughly dissolved.  Visually inspect to verify the material is fully dissolved, then proceed to next ingredient addition. When complete, transfer into batch tank."</f>
        <v>Upon completion of prior step, add ingredients below into mixer IN ORDER and mix until thoroughly dissolved.  Visually inspect to verify the material is fully dissolved, then proceed to next ingredient addition. When complete, transfer into batch tank.</v>
      </c>
      <c r="D19" s="81"/>
      <c r="E19" s="81"/>
      <c r="F19" s="179"/>
      <c r="G19" s="81"/>
      <c r="H19" s="81"/>
      <c r="I19" s="81"/>
      <c r="J19" s="166"/>
      <c r="K19" s="81"/>
      <c r="L19" s="81"/>
      <c r="M19" s="81"/>
      <c r="N19" s="81"/>
      <c r="O19" s="92"/>
      <c r="P19" s="92"/>
      <c r="Q19" s="92"/>
      <c r="R19" s="93"/>
      <c r="S19" s="83"/>
    </row>
    <row r="20" spans="1:21" s="43" customFormat="1" ht="27.95" customHeight="1">
      <c r="A20" s="9">
        <v>3</v>
      </c>
      <c r="B20" s="94"/>
      <c r="C20" s="195" t="str">
        <f>VLOOKUP($A20,DATEX!$B$13:$H$38,2,FALSE)</f>
        <v>MECSORBIC</v>
      </c>
      <c r="D20" s="195" t="str">
        <f>VLOOKUP($A20,DATEX!$B$13:$H$38,3,FALSE)</f>
        <v>Ninbo Wanglong Tech</v>
      </c>
      <c r="E20" s="195" t="s">
        <v>114</v>
      </c>
      <c r="F20" s="197" t="str">
        <f>VLOOKUP($A20,DATEX!$B$13:$H$38,5,FALSE)</f>
        <v>Dry</v>
      </c>
      <c r="G20" s="198">
        <f>VLOOKUP($A20,DATEX!$B$13:$H$38,7,FALSE)/2</f>
        <v>4.3299999999999996E-3</v>
      </c>
      <c r="H20" s="199" t="s">
        <v>94</v>
      </c>
      <c r="I20" s="200"/>
      <c r="J20" s="201">
        <f>CONVERT(25,"kg","lbm")</f>
        <v>55.115565546219393</v>
      </c>
      <c r="K20" s="202">
        <f>J20/J$79</f>
        <v>4.634856056184964E-4</v>
      </c>
      <c r="L20" s="206">
        <v>0.55000000000000004</v>
      </c>
      <c r="M20" s="204">
        <v>0</v>
      </c>
      <c r="N20" s="205" t="s">
        <v>111</v>
      </c>
      <c r="O20" s="110"/>
      <c r="P20" s="120" t="s">
        <v>75</v>
      </c>
      <c r="Q20" s="120" t="s">
        <v>75</v>
      </c>
      <c r="R20" s="95"/>
      <c r="S20" s="96"/>
    </row>
    <row r="21" spans="1:21" s="43" customFormat="1" ht="27.95" customHeight="1">
      <c r="A21" s="9">
        <v>4</v>
      </c>
      <c r="B21" s="94"/>
      <c r="C21" s="195" t="str">
        <f>VLOOKUP($A21,DATEX!$B$13:$H$38,2,FALSE)</f>
        <v>MECBENZOIC</v>
      </c>
      <c r="D21" s="195" t="str">
        <f>VLOOKUP($A21,DATEX!$B$13:$H$38,3,FALSE)</f>
        <v>Wuhan Youji</v>
      </c>
      <c r="E21" s="195" t="s">
        <v>115</v>
      </c>
      <c r="F21" s="197" t="str">
        <f>VLOOKUP($A21,DATEX!$B$13:$H$38,5,FALSE)</f>
        <v>Dry</v>
      </c>
      <c r="G21" s="198">
        <f>VLOOKUP($A21,DATEX!$B$13:$H$38,7,FALSE)/2</f>
        <v>2.532E-3</v>
      </c>
      <c r="H21" s="199" t="s">
        <v>94</v>
      </c>
      <c r="I21" s="200"/>
      <c r="J21" s="201">
        <f>CONVERT(25,"kg","lbm")</f>
        <v>55.115565546219393</v>
      </c>
      <c r="K21" s="202">
        <f>J21/J$79</f>
        <v>4.634856056184964E-4</v>
      </c>
      <c r="L21" s="206">
        <v>0.55000000000000004</v>
      </c>
      <c r="M21" s="204">
        <v>0</v>
      </c>
      <c r="N21" s="205" t="s">
        <v>111</v>
      </c>
      <c r="O21" s="110"/>
      <c r="P21" s="120" t="s">
        <v>75</v>
      </c>
      <c r="Q21" s="120" t="s">
        <v>75</v>
      </c>
      <c r="R21" s="95"/>
      <c r="S21" s="96"/>
    </row>
    <row r="22" spans="1:21" s="43" customFormat="1" ht="27.95" customHeight="1">
      <c r="A22" s="9">
        <v>5</v>
      </c>
      <c r="B22" s="94"/>
      <c r="C22" s="195" t="str">
        <f>VLOOKUP($A22,DATEX!$B$13:$H$38,2,FALSE)</f>
        <v>MECNATCAFFEINE</v>
      </c>
      <c r="D22" s="195" t="str">
        <f>VLOOKUP($A22,DATEX!$B$13:$H$38,3,FALSE)</f>
        <v>NutraChem</v>
      </c>
      <c r="E22" s="195" t="s">
        <v>198</v>
      </c>
      <c r="F22" s="197" t="str">
        <f>VLOOKUP($A22,DATEX!$B$13:$H$38,5,FALSE)</f>
        <v>Dry</v>
      </c>
      <c r="G22" s="198">
        <f>VLOOKUP($A22,DATEX!$B$13:$H$38,7,FALSE)/2</f>
        <v>5.7800000000000004E-3</v>
      </c>
      <c r="H22" s="199" t="s">
        <v>94</v>
      </c>
      <c r="I22" s="200"/>
      <c r="J22" s="201">
        <f>CONVERT(2*20,"kg","lbm")</f>
        <v>88.184904873951027</v>
      </c>
      <c r="K22" s="202">
        <f>J22/J$79</f>
        <v>7.4157696898959427E-4</v>
      </c>
      <c r="L22" s="206">
        <v>0.55000000000000004</v>
      </c>
      <c r="M22" s="204">
        <v>0</v>
      </c>
      <c r="N22" s="205" t="s">
        <v>111</v>
      </c>
      <c r="O22" s="110"/>
      <c r="P22" s="120" t="s">
        <v>75</v>
      </c>
      <c r="Q22" s="120" t="s">
        <v>75</v>
      </c>
      <c r="R22" s="95"/>
      <c r="S22" s="96"/>
    </row>
    <row r="23" spans="1:21" s="43" customFormat="1" ht="27.95" customHeight="1">
      <c r="A23" s="9"/>
      <c r="B23" s="259">
        <f>MAX(B$14:B22)+1</f>
        <v>5</v>
      </c>
      <c r="C23" s="81" t="str">
        <f>"Meter in "&amp;N24&amp;" water to mixer.  After the water addition is complete, add ingredient below into mixer and mix until thoroughly dissolved.  Visually inspect to verify the material is fully dissolved."</f>
        <v>Meter in 170° F water to mixer.  After the water addition is complete, add ingredient below into mixer and mix until thoroughly dissolved.  Visually inspect to verify the material is fully dissolved.</v>
      </c>
      <c r="D23" s="81"/>
      <c r="E23" s="81"/>
      <c r="F23" s="81"/>
      <c r="G23" s="81"/>
      <c r="H23" s="81"/>
      <c r="I23" s="81"/>
      <c r="J23" s="166"/>
      <c r="K23" s="81"/>
      <c r="L23" s="81"/>
      <c r="M23" s="81"/>
      <c r="N23" s="81"/>
      <c r="O23" s="92"/>
      <c r="P23" s="92"/>
      <c r="Q23" s="92"/>
      <c r="R23" s="93"/>
      <c r="S23" s="83"/>
      <c r="U23" s="121"/>
    </row>
    <row r="24" spans="1:21" s="43" customFormat="1" ht="27.95" customHeight="1">
      <c r="A24" s="9">
        <v>2</v>
      </c>
      <c r="B24" s="94"/>
      <c r="C24" s="195" t="str">
        <f>VLOOKUP($A24,DATEX!$B$13:$H$38,2,FALSE)</f>
        <v>NUT001</v>
      </c>
      <c r="D24" s="195" t="str">
        <f>VLOOKUP($A24,DATEX!$B$13:$H$38,3,FALSE)</f>
        <v>Wang Kang Biochemical</v>
      </c>
      <c r="E24" s="195" t="s">
        <v>117</v>
      </c>
      <c r="F24" s="197" t="str">
        <f>VLOOKUP($A24,DATEX!$B$13:$H$38,5,FALSE)</f>
        <v>Dry</v>
      </c>
      <c r="G24" s="198">
        <f>VLOOKUP($A24,DATEX!$B$13:$H$38,7,FALSE)/2</f>
        <v>5.5094000000000004E-2</v>
      </c>
      <c r="H24" s="199" t="s">
        <v>94</v>
      </c>
      <c r="I24" s="200"/>
      <c r="J24" s="201">
        <f>10*50</f>
        <v>500</v>
      </c>
      <c r="K24" s="202">
        <f>J24/J$79</f>
        <v>4.2046706862675825E-3</v>
      </c>
      <c r="L24" s="206">
        <v>0.55000000000000004</v>
      </c>
      <c r="M24" s="204">
        <f>ROUNDUP(((SUM(J24:J29)/U24-SUM(J24:J29))/8.33),-1)</f>
        <v>300</v>
      </c>
      <c r="N24" s="205" t="s">
        <v>112</v>
      </c>
      <c r="O24" s="110"/>
      <c r="P24" s="111"/>
      <c r="Q24" s="95" t="s">
        <v>113</v>
      </c>
      <c r="R24" s="95"/>
      <c r="S24" s="96"/>
      <c r="U24" s="178">
        <v>0.2</v>
      </c>
    </row>
    <row r="25" spans="1:21" s="43" customFormat="1" ht="27.95" customHeight="1">
      <c r="A25" s="9"/>
      <c r="B25" s="259">
        <f>MAX(B$14:B24)+1</f>
        <v>6</v>
      </c>
      <c r="C25" s="81" t="str">
        <f>"Upon completion of prior step, add ingredients below into mixer IN ORDER and mix until thoroughly dissolved.  Visually inspect to verify the material is fully dissolved, then proceed to next ingredient addition. When complete, transfer into batch tank."</f>
        <v>Upon completion of prior step, add ingredients below into mixer IN ORDER and mix until thoroughly dissolved.  Visually inspect to verify the material is fully dissolved, then proceed to next ingredient addition. When complete, transfer into batch tank.</v>
      </c>
      <c r="D25" s="81"/>
      <c r="E25" s="81"/>
      <c r="F25" s="179"/>
      <c r="G25" s="81"/>
      <c r="H25" s="81"/>
      <c r="I25" s="81"/>
      <c r="J25" s="166"/>
      <c r="K25" s="81"/>
      <c r="L25" s="81"/>
      <c r="M25" s="81"/>
      <c r="N25" s="81"/>
      <c r="O25" s="92"/>
      <c r="P25" s="92"/>
      <c r="Q25" s="92"/>
      <c r="R25" s="93"/>
      <c r="S25" s="83"/>
    </row>
    <row r="26" spans="1:21" s="43" customFormat="1" ht="27.95" customHeight="1">
      <c r="A26" s="9">
        <v>3</v>
      </c>
      <c r="B26" s="94"/>
      <c r="C26" s="195" t="str">
        <f>VLOOKUP($A26,DATEX!$B$13:$H$38,2,FALSE)</f>
        <v>MECSORBIC</v>
      </c>
      <c r="D26" s="195" t="str">
        <f>VLOOKUP($A26,DATEX!$B$13:$H$38,3,FALSE)</f>
        <v>Ninbo Wanglong Tech</v>
      </c>
      <c r="E26" s="196" t="str">
        <f>"Sorbic Acid (~"&amp;TEXT(CONVERT(J26,"lbm","kg")/25,"0.00")&amp;"x25 kg bag) Part."</f>
        <v>Sorbic Acid (~0.89x25 kg bag) Part.</v>
      </c>
      <c r="F26" s="197" t="str">
        <f>VLOOKUP($A26,DATEX!$B$13:$H$38,5,FALSE)</f>
        <v>Dry</v>
      </c>
      <c r="G26" s="198">
        <f>VLOOKUP($A26,DATEX!$B$13:$H$38,7,FALSE)</f>
        <v>8.6599999999999993E-3</v>
      </c>
      <c r="H26" s="199" t="s">
        <v>94</v>
      </c>
      <c r="I26" s="200"/>
      <c r="J26" s="201">
        <f>G26*'MASTER - Batch Overview'!$C$17-J20</f>
        <v>48.804434453780594</v>
      </c>
      <c r="K26" s="202">
        <f>J26/J$79</f>
        <v>4.1041314981535781E-4</v>
      </c>
      <c r="L26" s="206">
        <v>0.55000000000000004</v>
      </c>
      <c r="M26" s="204">
        <v>0</v>
      </c>
      <c r="N26" s="205" t="s">
        <v>111</v>
      </c>
      <c r="O26" s="110"/>
      <c r="P26" s="120" t="s">
        <v>75</v>
      </c>
      <c r="Q26" s="120" t="s">
        <v>75</v>
      </c>
      <c r="R26" s="95"/>
      <c r="S26" s="96"/>
    </row>
    <row r="27" spans="1:21" s="43" customFormat="1" ht="27.95" customHeight="1">
      <c r="A27" s="9">
        <v>4</v>
      </c>
      <c r="B27" s="94"/>
      <c r="C27" s="195" t="str">
        <f>VLOOKUP($A27,DATEX!$B$13:$H$38,2,FALSE)</f>
        <v>MECBENZOIC</v>
      </c>
      <c r="D27" s="195" t="str">
        <f>VLOOKUP($A27,DATEX!$B$13:$H$38,3,FALSE)</f>
        <v>Wuhan Youji</v>
      </c>
      <c r="E27" s="196" t="str">
        <f>"Benzoic Acid (~"&amp;TEXT(CONVERT(J27,"lbm","kg")/25,"0.00")&amp;"x25 kg bag) Part."</f>
        <v>Benzoic Acid (~0.10x25 kg bag) Part.</v>
      </c>
      <c r="F27" s="197" t="str">
        <f>VLOOKUP($A27,DATEX!$B$13:$H$38,5,FALSE)</f>
        <v>Dry</v>
      </c>
      <c r="G27" s="198">
        <f>VLOOKUP($A27,DATEX!$B$13:$H$38,7,FALSE)</f>
        <v>5.0639999999999999E-3</v>
      </c>
      <c r="H27" s="199" t="s">
        <v>94</v>
      </c>
      <c r="I27" s="200"/>
      <c r="J27" s="201">
        <f>G27*'MASTER - Batch Overview'!$C$17-J21</f>
        <v>5.6524344537806073</v>
      </c>
      <c r="K27" s="202">
        <f>J27/J$79</f>
        <v>4.7533250907720463E-5</v>
      </c>
      <c r="L27" s="206">
        <v>0.55000000000000004</v>
      </c>
      <c r="M27" s="204">
        <v>0</v>
      </c>
      <c r="N27" s="205" t="s">
        <v>111</v>
      </c>
      <c r="O27" s="110"/>
      <c r="P27" s="120" t="s">
        <v>75</v>
      </c>
      <c r="Q27" s="120" t="s">
        <v>75</v>
      </c>
      <c r="R27" s="95"/>
      <c r="S27" s="96"/>
    </row>
    <row r="28" spans="1:21" s="43" customFormat="1" ht="27.95" customHeight="1">
      <c r="A28" s="9">
        <v>5</v>
      </c>
      <c r="B28" s="94"/>
      <c r="C28" s="195" t="str">
        <f>VLOOKUP($A28,DATEX!$B$13:$H$38,2,FALSE)</f>
        <v>MECNATCAFFEINE</v>
      </c>
      <c r="D28" s="195" t="str">
        <f>VLOOKUP($A28,DATEX!$B$13:$H$38,3,FALSE)</f>
        <v>NutraChem</v>
      </c>
      <c r="E28" s="195" t="s">
        <v>116</v>
      </c>
      <c r="F28" s="197" t="str">
        <f>VLOOKUP($A28,DATEX!$B$13:$H$38,5,FALSE)</f>
        <v>Dry</v>
      </c>
      <c r="G28" s="198">
        <f>VLOOKUP($A28,DATEX!$B$13:$H$38,7,FALSE)/2</f>
        <v>5.7800000000000004E-3</v>
      </c>
      <c r="H28" s="199" t="s">
        <v>94</v>
      </c>
      <c r="I28" s="200"/>
      <c r="J28" s="201">
        <f>CONVERT(1*20,"kg","lbm")</f>
        <v>44.092452436975513</v>
      </c>
      <c r="K28" s="202">
        <f>J28/J$79</f>
        <v>3.7078848449479713E-4</v>
      </c>
      <c r="L28" s="206">
        <v>0.55000000000000004</v>
      </c>
      <c r="M28" s="204">
        <v>0</v>
      </c>
      <c r="N28" s="205" t="s">
        <v>111</v>
      </c>
      <c r="O28" s="110"/>
      <c r="P28" s="120" t="s">
        <v>75</v>
      </c>
      <c r="Q28" s="120" t="s">
        <v>75</v>
      </c>
      <c r="R28" s="95"/>
      <c r="S28" s="96"/>
    </row>
    <row r="29" spans="1:21" s="43" customFormat="1" ht="27.95" customHeight="1">
      <c r="A29" s="9">
        <v>5</v>
      </c>
      <c r="B29" s="94"/>
      <c r="C29" s="195" t="str">
        <f>VLOOKUP($A29,DATEX!$B$13:$H$38,2,FALSE)</f>
        <v>MECNATCAFFEINE</v>
      </c>
      <c r="D29" s="195" t="str">
        <f>VLOOKUP($A29,DATEX!$B$13:$H$38,3,FALSE)</f>
        <v>NutraChem</v>
      </c>
      <c r="E29" s="196" t="str">
        <f>"Natural Caffeine (~"&amp;TEXT(CONVERT(J29,"lbm","kg")/20,"0.00")&amp;"x20 kg bag) Part."</f>
        <v>Natural Caffeine (~0.15x20 kg bag) Part.</v>
      </c>
      <c r="F29" s="197" t="str">
        <f>VLOOKUP($A29,DATEX!$B$13:$H$38,5,FALSE)</f>
        <v>Dry</v>
      </c>
      <c r="G29" s="198">
        <f>VLOOKUP($A29,DATEX!$B$13:$H$38,7,FALSE)</f>
        <v>1.1560000000000001E-2</v>
      </c>
      <c r="H29" s="199" t="s">
        <v>94</v>
      </c>
      <c r="I29" s="200"/>
      <c r="J29" s="201">
        <f>G29*'MASTER - Batch Overview'!$C$17-J22-J28</f>
        <v>6.4426426890734589</v>
      </c>
      <c r="K29" s="202">
        <f>J29/J$79</f>
        <v>5.4178381713686649E-5</v>
      </c>
      <c r="L29" s="206">
        <v>0.55000000000000004</v>
      </c>
      <c r="M29" s="204">
        <v>0</v>
      </c>
      <c r="N29" s="205" t="s">
        <v>111</v>
      </c>
      <c r="O29" s="110"/>
      <c r="P29" s="120" t="s">
        <v>75</v>
      </c>
      <c r="Q29" s="120" t="s">
        <v>75</v>
      </c>
      <c r="R29" s="95"/>
      <c r="S29" s="96"/>
    </row>
    <row r="30" spans="1:21" s="43" customFormat="1" ht="27.95" customHeight="1">
      <c r="A30" s="9"/>
      <c r="B30" s="259">
        <f>MAX(B$14:B29)+1</f>
        <v>7</v>
      </c>
      <c r="C30" s="81" t="str">
        <f>"Meter in "&amp;N31&amp;" water to mixer.  After the water addition is complete, add ingredient below into mixer and mix until thoroughly dissolved.  Visually inspect to verify the material is fully dissolved."</f>
        <v>Meter in 170° F water to mixer.  After the water addition is complete, add ingredient below into mixer and mix until thoroughly dissolved.  Visually inspect to verify the material is fully dissolved.</v>
      </c>
      <c r="D30" s="81"/>
      <c r="E30" s="81"/>
      <c r="F30" s="81"/>
      <c r="G30" s="81"/>
      <c r="H30" s="81"/>
      <c r="I30" s="81"/>
      <c r="J30" s="166"/>
      <c r="K30" s="81"/>
      <c r="L30" s="81"/>
      <c r="M30" s="81"/>
      <c r="N30" s="81"/>
      <c r="O30" s="92"/>
      <c r="P30" s="92"/>
      <c r="Q30" s="92"/>
      <c r="R30" s="93"/>
      <c r="S30" s="83"/>
      <c r="U30" s="121"/>
    </row>
    <row r="31" spans="1:21" s="43" customFormat="1" ht="27.95" customHeight="1">
      <c r="A31" s="9">
        <v>2</v>
      </c>
      <c r="B31" s="94"/>
      <c r="C31" s="195" t="str">
        <f>VLOOKUP($A31,DATEX!$B$13:$H$38,2,FALSE)</f>
        <v>NUT001</v>
      </c>
      <c r="D31" s="195" t="str">
        <f>VLOOKUP($A31,DATEX!$B$13:$H$38,3,FALSE)</f>
        <v>Wang Kang Biochemical</v>
      </c>
      <c r="E31" s="195" t="s">
        <v>199</v>
      </c>
      <c r="F31" s="197" t="str">
        <f>VLOOKUP($A31,DATEX!$B$13:$H$38,5,FALSE)</f>
        <v>Dry</v>
      </c>
      <c r="G31" s="198">
        <f>VLOOKUP($A31,DATEX!$B$13:$H$38,7,FALSE)/2</f>
        <v>5.5094000000000004E-2</v>
      </c>
      <c r="H31" s="199" t="s">
        <v>94</v>
      </c>
      <c r="I31" s="200"/>
      <c r="J31" s="201">
        <f>6*50</f>
        <v>300</v>
      </c>
      <c r="K31" s="202">
        <f>J31/J$79</f>
        <v>2.5228024117605495E-3</v>
      </c>
      <c r="L31" s="206">
        <v>0.55000000000000004</v>
      </c>
      <c r="M31" s="204">
        <f>ROUNDUP(((SUM(J31:J32)/U31-SUM(J31:J32))/8.33),-1)</f>
        <v>160</v>
      </c>
      <c r="N31" s="205" t="s">
        <v>112</v>
      </c>
      <c r="O31" s="110"/>
      <c r="P31" s="111"/>
      <c r="Q31" s="95" t="s">
        <v>113</v>
      </c>
      <c r="R31" s="95"/>
      <c r="S31" s="96"/>
      <c r="U31" s="178">
        <v>0.2</v>
      </c>
    </row>
    <row r="32" spans="1:21" s="43" customFormat="1" ht="27.95" customHeight="1">
      <c r="A32" s="9">
        <v>2</v>
      </c>
      <c r="B32" s="94"/>
      <c r="C32" s="195" t="str">
        <f>VLOOKUP($A32,DATEX!$B$13:$H$38,2,FALSE)</f>
        <v>NUT001</v>
      </c>
      <c r="D32" s="195" t="str">
        <f>VLOOKUP($A32,DATEX!$B$13:$H$38,3,FALSE)</f>
        <v>Wang Kang Biochemical</v>
      </c>
      <c r="E32" s="196" t="str">
        <f>"Trisodium Citrate Dihydrate (~"&amp;TEXT(J32/50,"0.00")&amp;"x50 lb. bag) Part."</f>
        <v>Trisodium Citrate Dihydrate (~0.45x50 lb. bag) Part.</v>
      </c>
      <c r="F32" s="197" t="str">
        <f>VLOOKUP($A32,DATEX!$B$13:$H$38,5,FALSE)</f>
        <v>Dry</v>
      </c>
      <c r="G32" s="198">
        <f>VLOOKUP($A32,DATEX!$B$13:$H$38,7,FALSE)</f>
        <v>0.11018800000000001</v>
      </c>
      <c r="H32" s="199" t="s">
        <v>94</v>
      </c>
      <c r="I32" s="200"/>
      <c r="J32" s="201">
        <f>G32*'MASTER - Batch Overview'!$C$17-J31-J24-J18</f>
        <v>22.256000000000085</v>
      </c>
      <c r="K32" s="202">
        <f>J32/J$79</f>
        <v>1.8715830158714335E-4</v>
      </c>
      <c r="L32" s="206">
        <v>0.55000000000000004</v>
      </c>
      <c r="M32" s="204">
        <v>0</v>
      </c>
      <c r="N32" s="205" t="s">
        <v>111</v>
      </c>
      <c r="O32" s="110"/>
      <c r="P32" s="120" t="s">
        <v>75</v>
      </c>
      <c r="Q32" s="120" t="s">
        <v>75</v>
      </c>
      <c r="R32" s="95"/>
      <c r="S32" s="96"/>
      <c r="U32" s="178">
        <v>0.2</v>
      </c>
    </row>
    <row r="33" spans="1:21" s="43" customFormat="1" ht="27.95" customHeight="1">
      <c r="A33" s="9"/>
      <c r="B33" s="259">
        <f>MAX(B$14:B32)+1</f>
        <v>8</v>
      </c>
      <c r="C33" s="80" t="str">
        <f>"Meter in "&amp;N34&amp;" "&amp;E34&amp;" to mixer after the prior solution is visually depleted from the mixer.  Turn on mixer for 2 minutes.  Transfer into batch tank."</f>
        <v>Meter in Ambient Push Water to mixer after the prior solution is visually depleted from the mixer.  Turn on mixer for 2 minutes.  Transfer into batch tank.</v>
      </c>
      <c r="D33" s="80"/>
      <c r="E33" s="81"/>
      <c r="F33" s="179"/>
      <c r="G33" s="81"/>
      <c r="H33" s="81"/>
      <c r="I33" s="81"/>
      <c r="J33" s="167"/>
      <c r="K33" s="97"/>
      <c r="L33" s="97"/>
      <c r="M33" s="97"/>
      <c r="N33" s="97"/>
      <c r="O33" s="92"/>
      <c r="P33" s="92"/>
      <c r="Q33" s="92"/>
      <c r="R33" s="93"/>
      <c r="S33" s="83"/>
    </row>
    <row r="34" spans="1:21" s="43" customFormat="1" ht="27.95" customHeight="1">
      <c r="A34" s="9"/>
      <c r="B34" s="94"/>
      <c r="C34" s="195"/>
      <c r="D34" s="195"/>
      <c r="E34" s="195" t="s">
        <v>118</v>
      </c>
      <c r="F34" s="199" t="s">
        <v>119</v>
      </c>
      <c r="G34" s="198"/>
      <c r="H34" s="199"/>
      <c r="I34" s="199"/>
      <c r="J34" s="201"/>
      <c r="K34" s="202"/>
      <c r="L34" s="206">
        <v>0.45</v>
      </c>
      <c r="M34" s="204">
        <v>100</v>
      </c>
      <c r="N34" s="205" t="s">
        <v>96</v>
      </c>
      <c r="O34" s="119" t="s">
        <v>75</v>
      </c>
      <c r="P34" s="111"/>
      <c r="Q34" s="120" t="s">
        <v>75</v>
      </c>
      <c r="R34" s="120" t="s">
        <v>75</v>
      </c>
      <c r="S34" s="96"/>
    </row>
    <row r="35" spans="1:21" s="43" customFormat="1" ht="27.95" customHeight="1">
      <c r="A35" s="9"/>
      <c r="B35" s="259">
        <f>MAX(B$14:B34)+1</f>
        <v>9</v>
      </c>
      <c r="C35" s="81" t="str">
        <f>"Meter in "&amp;N36&amp;" water to mixer.  After the water addition is complete, add ingredient below into mixer and mix for 15 minutes or until thoroughly dissolved.  Visually inspect to verify the material is fully dissolved.  Transfer into batch tank."</f>
        <v>Meter in 140° F water to mixer.  After the water addition is complete, add ingredient below into mixer and mix for 15 minutes or until thoroughly dissolved.  Visually inspect to verify the material is fully dissolved.  Transfer into batch tank.</v>
      </c>
      <c r="D35" s="81"/>
      <c r="E35" s="81"/>
      <c r="F35" s="179"/>
      <c r="G35" s="81"/>
      <c r="H35" s="81"/>
      <c r="I35" s="81"/>
      <c r="J35" s="166"/>
      <c r="K35" s="81"/>
      <c r="L35" s="81"/>
      <c r="M35" s="81"/>
      <c r="N35" s="81"/>
      <c r="O35" s="92"/>
      <c r="P35" s="92"/>
      <c r="Q35" s="92"/>
      <c r="R35" s="93"/>
      <c r="S35" s="83"/>
    </row>
    <row r="36" spans="1:21" s="43" customFormat="1" ht="27.95" customHeight="1">
      <c r="A36" s="9">
        <v>6</v>
      </c>
      <c r="B36" s="94"/>
      <c r="C36" s="195" t="str">
        <f>VLOOKUP($A36,DATEX!$B$13:$H$38,2,FALSE)</f>
        <v>H-69241</v>
      </c>
      <c r="D36" s="195" t="str">
        <f>VLOOKUP($A36,DATEX!$B$13:$H$38,3,FALSE)</f>
        <v>Glanbia</v>
      </c>
      <c r="E36" s="195" t="s">
        <v>120</v>
      </c>
      <c r="F36" s="197" t="str">
        <f>VLOOKUP($A36,DATEX!$B$13:$H$38,5,FALSE)</f>
        <v>Dry</v>
      </c>
      <c r="G36" s="198"/>
      <c r="H36" s="199"/>
      <c r="I36" s="200"/>
      <c r="J36" s="201">
        <f>CONVERT(25*14,"kg","lbm")</f>
        <v>771.61791764707152</v>
      </c>
      <c r="K36" s="202">
        <f>J36/J$79</f>
        <v>6.4887984786589498E-3</v>
      </c>
      <c r="L36" s="206">
        <v>0.55000000000000004</v>
      </c>
      <c r="M36" s="204">
        <f>ROUNDUP(((SUM(J36)/U36-SUM(J36))/8.33),-1)</f>
        <v>380</v>
      </c>
      <c r="N36" s="205" t="s">
        <v>121</v>
      </c>
      <c r="O36" s="110"/>
      <c r="P36" s="111"/>
      <c r="Q36" s="95" t="s">
        <v>113</v>
      </c>
      <c r="R36" s="95"/>
      <c r="S36" s="96"/>
      <c r="U36" s="178">
        <v>0.2</v>
      </c>
    </row>
    <row r="37" spans="1:21" s="43" customFormat="1" ht="27.95" customHeight="1">
      <c r="A37" s="9"/>
      <c r="B37" s="259">
        <f>MAX(B$14:B36)+1</f>
        <v>10</v>
      </c>
      <c r="C37" s="81" t="str">
        <f>"Meter in "&amp;N38&amp;" water to mixer.  After the water addition is complete, add ingredient below into mixer and mix for 15 minutes or until thoroughly dissolved.  Visually inspect to verify the material is fully dissolved.  Transfer into batch tank."</f>
        <v>Meter in 140° F water to mixer.  After the water addition is complete, add ingredient below into mixer and mix for 15 minutes or until thoroughly dissolved.  Visually inspect to verify the material is fully dissolved.  Transfer into batch tank.</v>
      </c>
      <c r="D37" s="81"/>
      <c r="E37" s="271"/>
      <c r="F37" s="179"/>
      <c r="G37" s="81"/>
      <c r="H37" s="81"/>
      <c r="I37" s="81"/>
      <c r="J37" s="166"/>
      <c r="K37" s="81"/>
      <c r="L37" s="81"/>
      <c r="M37" s="81"/>
      <c r="N37" s="81"/>
      <c r="O37" s="92"/>
      <c r="P37" s="92"/>
      <c r="Q37" s="92"/>
      <c r="R37" s="93"/>
      <c r="S37" s="83"/>
    </row>
    <row r="38" spans="1:21" s="43" customFormat="1" ht="27.95" customHeight="1">
      <c r="A38" s="9">
        <v>6</v>
      </c>
      <c r="B38" s="94"/>
      <c r="C38" s="195" t="str">
        <f>VLOOKUP($A38,DATEX!$B$13:$H$38,2,FALSE)</f>
        <v>H-69241</v>
      </c>
      <c r="D38" s="195" t="str">
        <f>VLOOKUP($A38,DATEX!$B$13:$H$38,3,FALSE)</f>
        <v>Glanbia</v>
      </c>
      <c r="E38" s="195" t="s">
        <v>120</v>
      </c>
      <c r="F38" s="197" t="str">
        <f>VLOOKUP($A38,DATEX!$B$13:$H$38,5,FALSE)</f>
        <v>Dry</v>
      </c>
      <c r="G38" s="198"/>
      <c r="H38" s="199"/>
      <c r="I38" s="200"/>
      <c r="J38" s="201">
        <f>CONVERT(25*14,"kg","lbm")</f>
        <v>771.61791764707152</v>
      </c>
      <c r="K38" s="202">
        <f>J38/J$79</f>
        <v>6.4887984786589498E-3</v>
      </c>
      <c r="L38" s="206">
        <v>0.55000000000000004</v>
      </c>
      <c r="M38" s="204">
        <f>ROUNDUP(((SUM(J38)/U38-SUM(J38))/8.33),-1)</f>
        <v>380</v>
      </c>
      <c r="N38" s="205" t="s">
        <v>121</v>
      </c>
      <c r="O38" s="110"/>
      <c r="P38" s="111"/>
      <c r="Q38" s="95" t="s">
        <v>113</v>
      </c>
      <c r="R38" s="95"/>
      <c r="S38" s="96"/>
      <c r="U38" s="178">
        <v>0.2</v>
      </c>
    </row>
    <row r="39" spans="1:21" s="43" customFormat="1" ht="27.95" customHeight="1">
      <c r="A39" s="9"/>
      <c r="B39" s="259">
        <f>MAX(B$14:B38)+1</f>
        <v>11</v>
      </c>
      <c r="C39" s="81" t="str">
        <f>"Meter in "&amp;N40&amp;" water to mixer.  After the water addition is complete, add ingredient below into mixer and mix for 15 minutes or until thoroughly dissolved.  Visually inspect to verify the material is fully dissolved.  Transfer into batch tank."</f>
        <v>Meter in 140° F water to mixer.  After the water addition is complete, add ingredient below into mixer and mix for 15 minutes or until thoroughly dissolved.  Visually inspect to verify the material is fully dissolved.  Transfer into batch tank.</v>
      </c>
      <c r="D39" s="81"/>
      <c r="E39" s="271"/>
      <c r="F39" s="179"/>
      <c r="G39" s="81"/>
      <c r="H39" s="81"/>
      <c r="I39" s="81"/>
      <c r="J39" s="166"/>
      <c r="K39" s="81"/>
      <c r="L39" s="81"/>
      <c r="M39" s="81"/>
      <c r="N39" s="81"/>
      <c r="O39" s="92"/>
      <c r="P39" s="92"/>
      <c r="Q39" s="92"/>
      <c r="R39" s="93"/>
      <c r="S39" s="83"/>
    </row>
    <row r="40" spans="1:21" s="43" customFormat="1" ht="27.95" customHeight="1">
      <c r="A40" s="9">
        <v>6</v>
      </c>
      <c r="B40" s="94"/>
      <c r="C40" s="195" t="str">
        <f>VLOOKUP($A40,DATEX!$B$13:$H$38,2,FALSE)</f>
        <v>H-69241</v>
      </c>
      <c r="D40" s="195" t="str">
        <f>VLOOKUP($A40,DATEX!$B$13:$H$38,3,FALSE)</f>
        <v>Glanbia</v>
      </c>
      <c r="E40" s="195" t="s">
        <v>200</v>
      </c>
      <c r="F40" s="197" t="str">
        <f>VLOOKUP($A40,DATEX!$B$13:$H$38,5,FALSE)</f>
        <v>Dry</v>
      </c>
      <c r="G40" s="198"/>
      <c r="H40" s="207"/>
      <c r="I40" s="200"/>
      <c r="J40" s="201">
        <f>CONVERT(25*7,"kg","lbm")</f>
        <v>385.80895882353576</v>
      </c>
      <c r="K40" s="202">
        <f>J40/J$79</f>
        <v>3.2443992393294749E-3</v>
      </c>
      <c r="L40" s="206">
        <v>0.55000000000000004</v>
      </c>
      <c r="M40" s="204">
        <f>ROUNDUP(((SUM(J40:J41)/U40-SUM(J40:J41))/8.33),-1)</f>
        <v>210</v>
      </c>
      <c r="N40" s="205" t="s">
        <v>121</v>
      </c>
      <c r="O40" s="110"/>
      <c r="P40" s="111"/>
      <c r="Q40" s="95" t="s">
        <v>113</v>
      </c>
      <c r="R40" s="95"/>
      <c r="S40" s="96"/>
      <c r="U40" s="178">
        <v>0.2</v>
      </c>
    </row>
    <row r="41" spans="1:21" s="43" customFormat="1" ht="27.95" customHeight="1">
      <c r="A41" s="9">
        <v>6</v>
      </c>
      <c r="B41" s="94"/>
      <c r="C41" s="195" t="str">
        <f>VLOOKUP($A41,DATEX!$B$13:$H$38,2,FALSE)</f>
        <v>H-69241</v>
      </c>
      <c r="D41" s="195" t="str">
        <f>VLOOKUP($A41,DATEX!$B$13:$H$38,3,FALSE)</f>
        <v>Glanbia</v>
      </c>
      <c r="E41" s="196" t="str">
        <f>"Monster Energy Blend H-69241 (~"&amp;TEXT(CONVERT(J41,"lbm","kg")/25,"0.00")&amp;"x25 kg box) Part."</f>
        <v>Monster Energy Blend H-69241 (~0.83x25 kg box) Part.</v>
      </c>
      <c r="F41" s="197" t="str">
        <f>VLOOKUP($A41,DATEX!$B$13:$H$38,5,FALSE)</f>
        <v>Dry</v>
      </c>
      <c r="G41" s="198">
        <f>VLOOKUP($A41,DATEX!$B$13:$H$38,7,FALSE)</f>
        <v>0.164552</v>
      </c>
      <c r="H41" s="199" t="s">
        <v>94</v>
      </c>
      <c r="I41" s="200"/>
      <c r="J41" s="201">
        <f>G41*'MASTER - Batch Overview'!$C$17-SUM(J36:J40)</f>
        <v>45.579205882321276</v>
      </c>
      <c r="K41" s="202">
        <f>J41/J$79</f>
        <v>3.8329110175350245E-4</v>
      </c>
      <c r="L41" s="206">
        <v>0.55000000000000004</v>
      </c>
      <c r="M41" s="204">
        <v>0</v>
      </c>
      <c r="N41" s="205" t="s">
        <v>111</v>
      </c>
      <c r="O41" s="110"/>
      <c r="P41" s="120" t="s">
        <v>75</v>
      </c>
      <c r="Q41" s="120" t="s">
        <v>75</v>
      </c>
      <c r="R41" s="95"/>
      <c r="S41" s="96"/>
      <c r="U41" s="178">
        <v>0.2</v>
      </c>
    </row>
    <row r="42" spans="1:21" s="43" customFormat="1" ht="27.95" customHeight="1">
      <c r="A42" s="9"/>
      <c r="B42" s="259">
        <f>MAX(B$14:B41)+1</f>
        <v>12</v>
      </c>
      <c r="C42" s="80" t="str">
        <f>"Meter in "&amp;N43&amp;" "&amp;E43&amp;" to mixer after the prior solution is visually depleted from the mixer.  Turn on mixer for 2 minutes.  Transfer into batch tank."</f>
        <v>Meter in Ambient Push Water to mixer after the prior solution is visually depleted from the mixer.  Turn on mixer for 2 minutes.  Transfer into batch tank.</v>
      </c>
      <c r="D42" s="80"/>
      <c r="E42" s="81"/>
      <c r="F42" s="179"/>
      <c r="G42" s="81"/>
      <c r="H42" s="81"/>
      <c r="I42" s="81"/>
      <c r="J42" s="167"/>
      <c r="K42" s="97"/>
      <c r="L42" s="97"/>
      <c r="M42" s="97"/>
      <c r="N42" s="97"/>
      <c r="O42" s="92"/>
      <c r="P42" s="92"/>
      <c r="Q42" s="92"/>
      <c r="R42" s="93"/>
      <c r="S42" s="83"/>
    </row>
    <row r="43" spans="1:21" s="43" customFormat="1" ht="27.95" customHeight="1">
      <c r="A43" s="9"/>
      <c r="B43" s="94"/>
      <c r="C43" s="195"/>
      <c r="D43" s="195"/>
      <c r="E43" s="195" t="s">
        <v>118</v>
      </c>
      <c r="F43" s="199" t="s">
        <v>119</v>
      </c>
      <c r="G43" s="198"/>
      <c r="H43" s="199"/>
      <c r="I43" s="199"/>
      <c r="J43" s="201"/>
      <c r="K43" s="202"/>
      <c r="L43" s="206">
        <v>0.45</v>
      </c>
      <c r="M43" s="204">
        <v>100</v>
      </c>
      <c r="N43" s="205" t="s">
        <v>96</v>
      </c>
      <c r="O43" s="119" t="s">
        <v>75</v>
      </c>
      <c r="P43" s="111"/>
      <c r="Q43" s="120" t="s">
        <v>75</v>
      </c>
      <c r="R43" s="120" t="s">
        <v>75</v>
      </c>
      <c r="S43" s="96"/>
    </row>
    <row r="44" spans="1:21" s="43" customFormat="1" ht="27.95" customHeight="1">
      <c r="A44" s="9"/>
      <c r="B44" s="259">
        <f>MAX(B$14:B43)+1</f>
        <v>13</v>
      </c>
      <c r="C44" s="81" t="str">
        <f>"Meter in "&amp;N45&amp;" water to mixer.  After the water addition is complete, add ingredient below into mixer and mix until thoroughly dissolved.  Visually inspect to verify the material is fully dissolved.  Transfer into batch tank."</f>
        <v>Meter in 140° F water to mixer.  After the water addition is complete, add ingredient below into mixer and mix until thoroughly dissolved.  Visually inspect to verify the material is fully dissolved.  Transfer into batch tank.</v>
      </c>
      <c r="D44" s="81"/>
      <c r="E44" s="81"/>
      <c r="F44" s="179"/>
      <c r="G44" s="81"/>
      <c r="H44" s="81"/>
      <c r="I44" s="81"/>
      <c r="J44" s="166"/>
      <c r="K44" s="81"/>
      <c r="L44" s="81"/>
      <c r="M44" s="81"/>
      <c r="N44" s="81"/>
      <c r="O44" s="92"/>
      <c r="P44" s="92"/>
      <c r="Q44" s="92"/>
      <c r="R44" s="93"/>
      <c r="S44" s="83"/>
    </row>
    <row r="45" spans="1:21" s="43" customFormat="1" ht="27.95" customHeight="1">
      <c r="A45" s="9">
        <v>7</v>
      </c>
      <c r="B45" s="94"/>
      <c r="C45" s="195" t="str">
        <f>VLOOKUP($A45,DATEX!$B$13:$H$38,2,FALSE)</f>
        <v>MECDEXTROSE</v>
      </c>
      <c r="D45" s="195" t="str">
        <f>VLOOKUP($A45,DATEX!$B$13:$H$38,3,FALSE)</f>
        <v>Various</v>
      </c>
      <c r="E45" s="195" t="s">
        <v>122</v>
      </c>
      <c r="F45" s="197" t="str">
        <f>VLOOKUP($A45,DATEX!$B$13:$H$38,5,FALSE)</f>
        <v>Dry</v>
      </c>
      <c r="G45" s="198">
        <f>VLOOKUP($A45,DATEX!$B$13:$H$38,7,FALSE)/8</f>
        <v>8.8040999999999994E-2</v>
      </c>
      <c r="H45" s="199" t="s">
        <v>94</v>
      </c>
      <c r="I45" s="200"/>
      <c r="J45" s="201">
        <f>CONVERT(1*907.5,"kg","lbm")</f>
        <v>2000.6950293277641</v>
      </c>
      <c r="K45" s="202">
        <f>J45/J$79</f>
        <v>1.6824527483951423E-2</v>
      </c>
      <c r="L45" s="206">
        <v>0.55000000000000004</v>
      </c>
      <c r="M45" s="204">
        <f>ROUNDUP(((SUM(J45)/U45-SUM(J45))/8.33),-1)</f>
        <v>370</v>
      </c>
      <c r="N45" s="205" t="s">
        <v>121</v>
      </c>
      <c r="O45" s="110"/>
      <c r="P45" s="111"/>
      <c r="Q45" s="95" t="s">
        <v>113</v>
      </c>
      <c r="R45" s="95"/>
      <c r="S45" s="96"/>
      <c r="U45" s="178">
        <v>0.4</v>
      </c>
    </row>
    <row r="46" spans="1:21" s="43" customFormat="1" ht="27.95" customHeight="1">
      <c r="A46" s="9"/>
      <c r="B46" s="259">
        <f>MAX(B$14:B45)+1</f>
        <v>14</v>
      </c>
      <c r="C46" s="81" t="str">
        <f>"Meter in "&amp;N47&amp;" water to mixer.  After the water addition is complete, add ingredient below into mixer and mix until thoroughly dissolved.  Visually inspect to verify the material is fully dissolved.  Transfer into batch tank."</f>
        <v>Meter in 140° F water to mixer.  After the water addition is complete, add ingredient below into mixer and mix until thoroughly dissolved.  Visually inspect to verify the material is fully dissolved.  Transfer into batch tank.</v>
      </c>
      <c r="D46" s="81"/>
      <c r="E46" s="81"/>
      <c r="F46" s="179"/>
      <c r="G46" s="81"/>
      <c r="H46" s="81"/>
      <c r="I46" s="81"/>
      <c r="J46" s="166"/>
      <c r="K46" s="81"/>
      <c r="L46" s="81"/>
      <c r="M46" s="81"/>
      <c r="N46" s="81"/>
      <c r="O46" s="92"/>
      <c r="P46" s="92"/>
      <c r="Q46" s="92"/>
      <c r="R46" s="93"/>
      <c r="S46" s="83"/>
    </row>
    <row r="47" spans="1:21" s="43" customFormat="1" ht="27.95" customHeight="1">
      <c r="A47" s="9">
        <v>7</v>
      </c>
      <c r="B47" s="94"/>
      <c r="C47" s="195" t="str">
        <f>VLOOKUP($A47,DATEX!$B$13:$H$38,2,FALSE)</f>
        <v>MECDEXTROSE</v>
      </c>
      <c r="D47" s="195" t="str">
        <f>VLOOKUP($A47,DATEX!$B$13:$H$38,3,FALSE)</f>
        <v>Various</v>
      </c>
      <c r="E47" s="195" t="s">
        <v>122</v>
      </c>
      <c r="F47" s="197" t="str">
        <f>VLOOKUP($A47,DATEX!$B$13:$H$38,5,FALSE)</f>
        <v>Dry</v>
      </c>
      <c r="G47" s="198">
        <f>VLOOKUP($A47,DATEX!$B$13:$H$38,7,FALSE)/8</f>
        <v>8.8040999999999994E-2</v>
      </c>
      <c r="H47" s="199" t="s">
        <v>94</v>
      </c>
      <c r="I47" s="200"/>
      <c r="J47" s="201">
        <f>CONVERT(1*907.5,"kg","lbm")</f>
        <v>2000.6950293277641</v>
      </c>
      <c r="K47" s="202">
        <f>J47/J$79</f>
        <v>1.6824527483951423E-2</v>
      </c>
      <c r="L47" s="206">
        <v>0.55000000000000004</v>
      </c>
      <c r="M47" s="204">
        <f>ROUNDUP(((SUM(J47)/U47-SUM(J47))/8.33),-1)</f>
        <v>370</v>
      </c>
      <c r="N47" s="205" t="s">
        <v>121</v>
      </c>
      <c r="O47" s="110"/>
      <c r="P47" s="111"/>
      <c r="Q47" s="95" t="s">
        <v>113</v>
      </c>
      <c r="R47" s="95"/>
      <c r="S47" s="96"/>
      <c r="U47" s="178">
        <v>0.4</v>
      </c>
    </row>
    <row r="48" spans="1:21" s="43" customFormat="1" ht="27.95" customHeight="1">
      <c r="A48" s="9"/>
      <c r="B48" s="259">
        <f>MAX(B$14:B47)+1</f>
        <v>15</v>
      </c>
      <c r="C48" s="81" t="str">
        <f>"Meter in "&amp;N49&amp;" water to mixer.  After the water addition is complete, add ingredient below into mixer and mix until thoroughly dissolved.  Visually inspect to verify the material is fully dissolved.  Transfer into batch tank."</f>
        <v>Meter in 140° F water to mixer.  After the water addition is complete, add ingredient below into mixer and mix until thoroughly dissolved.  Visually inspect to verify the material is fully dissolved.  Transfer into batch tank.</v>
      </c>
      <c r="D48" s="81"/>
      <c r="E48" s="81"/>
      <c r="F48" s="179"/>
      <c r="G48" s="81"/>
      <c r="H48" s="81"/>
      <c r="I48" s="81"/>
      <c r="J48" s="166"/>
      <c r="K48" s="81"/>
      <c r="L48" s="81"/>
      <c r="M48" s="81"/>
      <c r="N48" s="81"/>
      <c r="O48" s="92"/>
      <c r="P48" s="92"/>
      <c r="Q48" s="92"/>
      <c r="R48" s="93"/>
      <c r="S48" s="83"/>
    </row>
    <row r="49" spans="1:24" s="43" customFormat="1" ht="27.95" customHeight="1">
      <c r="A49" s="9">
        <v>7</v>
      </c>
      <c r="B49" s="94"/>
      <c r="C49" s="195" t="str">
        <f>VLOOKUP($A49,DATEX!$B$13:$H$38,2,FALSE)</f>
        <v>MECDEXTROSE</v>
      </c>
      <c r="D49" s="195" t="str">
        <f>VLOOKUP($A49,DATEX!$B$13:$H$38,3,FALSE)</f>
        <v>Various</v>
      </c>
      <c r="E49" s="195" t="s">
        <v>122</v>
      </c>
      <c r="F49" s="197" t="str">
        <f>VLOOKUP($A49,DATEX!$B$13:$H$38,5,FALSE)</f>
        <v>Dry</v>
      </c>
      <c r="G49" s="198">
        <f>VLOOKUP($A49,DATEX!$B$13:$H$38,7,FALSE)/8</f>
        <v>8.8040999999999994E-2</v>
      </c>
      <c r="H49" s="199" t="s">
        <v>94</v>
      </c>
      <c r="I49" s="200"/>
      <c r="J49" s="201">
        <f>CONVERT(1*907.5,"kg","lbm")</f>
        <v>2000.6950293277641</v>
      </c>
      <c r="K49" s="202">
        <f>J49/J$79</f>
        <v>1.6824527483951423E-2</v>
      </c>
      <c r="L49" s="206">
        <v>0.55000000000000004</v>
      </c>
      <c r="M49" s="204">
        <f>ROUNDUP(((SUM(J49)/U49-SUM(J49))/8.33),-1)</f>
        <v>370</v>
      </c>
      <c r="N49" s="205" t="s">
        <v>121</v>
      </c>
      <c r="O49" s="110"/>
      <c r="P49" s="111"/>
      <c r="Q49" s="95" t="s">
        <v>113</v>
      </c>
      <c r="R49" s="95"/>
      <c r="S49" s="96"/>
      <c r="U49" s="178">
        <v>0.4</v>
      </c>
    </row>
    <row r="50" spans="1:24" s="43" customFormat="1" ht="27.95" customHeight="1">
      <c r="A50" s="9"/>
      <c r="B50" s="259">
        <f>MAX(B$14:B49)+1</f>
        <v>16</v>
      </c>
      <c r="C50" s="81" t="str">
        <f>"Meter in "&amp;N51&amp;" water to mixer.  After the water addition is complete, add ingredient below into mixer and mix until thoroughly dissolved.  Visually inspect to verify the material is fully dissolved.  Transfer into batch tank."</f>
        <v>Meter in 140° F water to mixer.  After the water addition is complete, add ingredient below into mixer and mix until thoroughly dissolved.  Visually inspect to verify the material is fully dissolved.  Transfer into batch tank.</v>
      </c>
      <c r="D50" s="81"/>
      <c r="E50" s="81"/>
      <c r="F50" s="179"/>
      <c r="G50" s="81"/>
      <c r="H50" s="81"/>
      <c r="I50" s="81"/>
      <c r="J50" s="166"/>
      <c r="K50" s="81"/>
      <c r="L50" s="81"/>
      <c r="M50" s="81"/>
      <c r="N50" s="81"/>
      <c r="O50" s="92"/>
      <c r="P50" s="92"/>
      <c r="Q50" s="92"/>
      <c r="R50" s="93"/>
      <c r="S50" s="83"/>
    </row>
    <row r="51" spans="1:24" s="43" customFormat="1" ht="27.95" customHeight="1">
      <c r="A51" s="9">
        <v>7</v>
      </c>
      <c r="B51" s="94"/>
      <c r="C51" s="195" t="str">
        <f>VLOOKUP($A51,DATEX!$B$13:$H$38,2,FALSE)</f>
        <v>MECDEXTROSE</v>
      </c>
      <c r="D51" s="195" t="str">
        <f>VLOOKUP($A51,DATEX!$B$13:$H$38,3,FALSE)</f>
        <v>Various</v>
      </c>
      <c r="E51" s="195" t="s">
        <v>122</v>
      </c>
      <c r="F51" s="197" t="str">
        <f>VLOOKUP($A51,DATEX!$B$13:$H$38,5,FALSE)</f>
        <v>Dry</v>
      </c>
      <c r="G51" s="198">
        <f>VLOOKUP($A51,DATEX!$B$13:$H$38,7,FALSE)/8</f>
        <v>8.8040999999999994E-2</v>
      </c>
      <c r="H51" s="199" t="s">
        <v>94</v>
      </c>
      <c r="I51" s="200"/>
      <c r="J51" s="201">
        <f>CONVERT(1*907.5,"kg","lbm")</f>
        <v>2000.6950293277641</v>
      </c>
      <c r="K51" s="202">
        <f>J51/J$79</f>
        <v>1.6824527483951423E-2</v>
      </c>
      <c r="L51" s="206">
        <v>0.55000000000000004</v>
      </c>
      <c r="M51" s="204">
        <f>ROUNDUP(((SUM(J51)/U51-SUM(J51))/8.33),-1)</f>
        <v>370</v>
      </c>
      <c r="N51" s="205" t="s">
        <v>121</v>
      </c>
      <c r="O51" s="110"/>
      <c r="P51" s="111"/>
      <c r="Q51" s="95" t="s">
        <v>113</v>
      </c>
      <c r="R51" s="95"/>
      <c r="S51" s="96"/>
      <c r="U51" s="178">
        <v>0.4</v>
      </c>
    </row>
    <row r="52" spans="1:24" s="43" customFormat="1" ht="27.95" customHeight="1">
      <c r="A52" s="9"/>
      <c r="B52" s="259">
        <f>MAX(B$14:B51)+1</f>
        <v>17</v>
      </c>
      <c r="C52" s="81" t="str">
        <f>"Meter in "&amp;N53&amp;" water to mixer.  After the water addition is complete, add ingredient below into mixer and mix until thoroughly dissolved.  Visually inspect to verify the material is fully dissolved.  Transfer into batch tank."</f>
        <v>Meter in 140° F water to mixer.  After the water addition is complete, add ingredient below into mixer and mix until thoroughly dissolved.  Visually inspect to verify the material is fully dissolved.  Transfer into batch tank.</v>
      </c>
      <c r="D52" s="81"/>
      <c r="E52" s="81"/>
      <c r="F52" s="179"/>
      <c r="G52" s="81"/>
      <c r="H52" s="81"/>
      <c r="I52" s="81"/>
      <c r="J52" s="166"/>
      <c r="K52" s="81"/>
      <c r="L52" s="81"/>
      <c r="M52" s="81"/>
      <c r="N52" s="81"/>
      <c r="O52" s="92"/>
      <c r="P52" s="92"/>
      <c r="Q52" s="92"/>
      <c r="R52" s="93"/>
      <c r="S52" s="83"/>
    </row>
    <row r="53" spans="1:24" s="43" customFormat="1" ht="27.95" customHeight="1">
      <c r="A53" s="9">
        <v>7</v>
      </c>
      <c r="B53" s="94"/>
      <c r="C53" s="195" t="str">
        <f>VLOOKUP($A53,DATEX!$B$13:$H$38,2,FALSE)</f>
        <v>MECDEXTROSE</v>
      </c>
      <c r="D53" s="195" t="str">
        <f>VLOOKUP($A53,DATEX!$B$13:$H$38,3,FALSE)</f>
        <v>Various</v>
      </c>
      <c r="E53" s="195" t="s">
        <v>201</v>
      </c>
      <c r="F53" s="197" t="str">
        <f>VLOOKUP($A53,DATEX!$B$13:$H$38,5,FALSE)</f>
        <v>Dry</v>
      </c>
      <c r="G53" s="198">
        <f>VLOOKUP($A53,DATEX!$B$13:$H$38,7,FALSE)/8</f>
        <v>8.8040999999999994E-2</v>
      </c>
      <c r="H53" s="199" t="s">
        <v>94</v>
      </c>
      <c r="I53" s="200"/>
      <c r="J53" s="201">
        <f>50*8</f>
        <v>400</v>
      </c>
      <c r="K53" s="202">
        <f>J53/J$79</f>
        <v>3.363736549014066E-3</v>
      </c>
      <c r="L53" s="206">
        <v>0.55000000000000004</v>
      </c>
      <c r="M53" s="204">
        <f>ROUNDUP(((SUM(J53:J54)/U53-SUM(J53:J54))/8.33),-1)</f>
        <v>90</v>
      </c>
      <c r="N53" s="205" t="s">
        <v>121</v>
      </c>
      <c r="O53" s="110"/>
      <c r="P53" s="111"/>
      <c r="Q53" s="95" t="s">
        <v>113</v>
      </c>
      <c r="R53" s="95"/>
      <c r="S53" s="96"/>
      <c r="U53" s="178">
        <v>0.4</v>
      </c>
    </row>
    <row r="54" spans="1:24" s="43" customFormat="1" ht="27.95" customHeight="1">
      <c r="A54" s="9">
        <v>7</v>
      </c>
      <c r="B54" s="94"/>
      <c r="C54" s="195" t="str">
        <f>VLOOKUP($A54,DATEX!$B$13:$H$38,2,FALSE)</f>
        <v>MECDEXTROSE</v>
      </c>
      <c r="D54" s="195" t="str">
        <f>VLOOKUP($A54,DATEX!$B$13:$H$38,3,FALSE)</f>
        <v>Various</v>
      </c>
      <c r="E54" s="196" t="str">
        <f>"Dextrose Monohydrate (~"&amp;TEXT(J54/50,"0.00")&amp;"x50 lb. bag) Part."</f>
        <v>Dextrose Monohydrate (~0.98x50 lb. bag) Part.</v>
      </c>
      <c r="F54" s="197" t="str">
        <f>VLOOKUP($A54,DATEX!$B$13:$H$38,5,FALSE)</f>
        <v>Dry</v>
      </c>
      <c r="G54" s="198">
        <f>VLOOKUP($A54,DATEX!$B$13:$H$38,7,FALSE)</f>
        <v>0.70432799999999995</v>
      </c>
      <c r="H54" s="199" t="s">
        <v>94</v>
      </c>
      <c r="I54" s="200"/>
      <c r="J54" s="201">
        <f>G54*'MASTER - Batch Overview'!$C$17-SUM(J45:J53)</f>
        <v>49.155882688943166</v>
      </c>
      <c r="K54" s="202">
        <f>J54/J$79</f>
        <v>4.1336859799961489E-4</v>
      </c>
      <c r="L54" s="206">
        <v>0.55000000000000004</v>
      </c>
      <c r="M54" s="204">
        <v>0</v>
      </c>
      <c r="N54" s="205" t="s">
        <v>111</v>
      </c>
      <c r="O54" s="110"/>
      <c r="P54" s="120" t="s">
        <v>75</v>
      </c>
      <c r="Q54" s="120" t="s">
        <v>75</v>
      </c>
      <c r="R54" s="95"/>
      <c r="S54" s="96"/>
      <c r="U54" s="178">
        <v>0.5</v>
      </c>
    </row>
    <row r="55" spans="1:24" s="43" customFormat="1" ht="27.95" customHeight="1">
      <c r="A55" s="9"/>
      <c r="B55" s="259">
        <f>MAX(B$14:B54)+1</f>
        <v>18</v>
      </c>
      <c r="C55" s="80" t="str">
        <f>"Meter in "&amp;N56&amp;" "&amp;E56&amp;" to mixer after the prior solution is visually depleted from the mixer.  Turn on mixer for 2 minutes.  Transfer into batch tank."</f>
        <v>Meter in Ambient Push Water to mixer after the prior solution is visually depleted from the mixer.  Turn on mixer for 2 minutes.  Transfer into batch tank.</v>
      </c>
      <c r="D55" s="80"/>
      <c r="E55" s="81"/>
      <c r="F55" s="179"/>
      <c r="G55" s="81"/>
      <c r="H55" s="81"/>
      <c r="I55" s="81"/>
      <c r="J55" s="167"/>
      <c r="K55" s="97"/>
      <c r="L55" s="97"/>
      <c r="M55" s="97"/>
      <c r="N55" s="97"/>
      <c r="O55" s="92"/>
      <c r="P55" s="92"/>
      <c r="Q55" s="92"/>
      <c r="R55" s="93"/>
      <c r="S55" s="83"/>
    </row>
    <row r="56" spans="1:24" s="43" customFormat="1" ht="27.95" customHeight="1">
      <c r="A56" s="9"/>
      <c r="B56" s="94"/>
      <c r="C56" s="195"/>
      <c r="D56" s="195"/>
      <c r="E56" s="195" t="s">
        <v>118</v>
      </c>
      <c r="F56" s="199" t="s">
        <v>119</v>
      </c>
      <c r="G56" s="198"/>
      <c r="H56" s="199"/>
      <c r="I56" s="199"/>
      <c r="J56" s="201"/>
      <c r="K56" s="202"/>
      <c r="L56" s="206">
        <v>0.45</v>
      </c>
      <c r="M56" s="204">
        <v>100</v>
      </c>
      <c r="N56" s="205" t="s">
        <v>96</v>
      </c>
      <c r="O56" s="119" t="s">
        <v>75</v>
      </c>
      <c r="P56" s="111"/>
      <c r="Q56" s="120" t="s">
        <v>75</v>
      </c>
      <c r="R56" s="120" t="s">
        <v>75</v>
      </c>
      <c r="S56" s="96"/>
    </row>
    <row r="57" spans="1:24" s="8" customFormat="1" ht="30.95" customHeight="1">
      <c r="A57" s="9"/>
      <c r="B57" s="252">
        <f>MAX(B$14:B56)+1</f>
        <v>19</v>
      </c>
      <c r="C57" s="253" t="s">
        <v>123</v>
      </c>
      <c r="D57" s="254"/>
      <c r="E57" s="254"/>
      <c r="F57" s="254"/>
      <c r="G57" s="254"/>
      <c r="H57" s="254"/>
      <c r="I57" s="254"/>
      <c r="J57" s="255"/>
      <c r="K57" s="254"/>
      <c r="L57" s="254"/>
      <c r="M57" s="254"/>
      <c r="N57" s="254"/>
      <c r="O57" s="254"/>
      <c r="P57" s="254"/>
      <c r="Q57" s="256" t="s">
        <v>113</v>
      </c>
      <c r="R57" s="256"/>
      <c r="S57" s="257"/>
      <c r="W57" s="9"/>
      <c r="X57" s="9"/>
    </row>
    <row r="58" spans="1:24" s="43" customFormat="1" ht="27.95" customHeight="1">
      <c r="A58" s="9"/>
      <c r="B58" s="259">
        <f>MAX(B$14:B53)+1</f>
        <v>18</v>
      </c>
      <c r="C58" s="81" t="str">
        <f>"Meter in "&amp;N59&amp;" water to mixer.  After the water addition is complete, add ingredient below into mixer and mix until thoroughly dissolved.  Visually inspect to verify the material is fully dissolved."</f>
        <v>Meter in Ambient water to mixer.  After the water addition is complete, add ingredient below into mixer and mix until thoroughly dissolved.  Visually inspect to verify the material is fully dissolved.</v>
      </c>
      <c r="D58" s="81"/>
      <c r="E58" s="81"/>
      <c r="F58" s="81"/>
      <c r="G58" s="81"/>
      <c r="H58" s="81"/>
      <c r="I58" s="81"/>
      <c r="J58" s="166"/>
      <c r="K58" s="81"/>
      <c r="L58" s="81"/>
      <c r="M58" s="81"/>
      <c r="N58" s="81"/>
      <c r="O58" s="92"/>
      <c r="P58" s="92"/>
      <c r="Q58" s="92"/>
      <c r="R58" s="93"/>
      <c r="S58" s="83"/>
      <c r="U58" s="121"/>
    </row>
    <row r="59" spans="1:24" s="43" customFormat="1" ht="27.95" customHeight="1">
      <c r="A59" s="9">
        <v>8</v>
      </c>
      <c r="B59" s="94"/>
      <c r="C59" s="195" t="str">
        <f>VLOOKUP($A59,DATEX!$B$13:$H$38,2,FALSE)</f>
        <v>MECCITRIC</v>
      </c>
      <c r="D59" s="195" t="str">
        <f>VLOOKUP($A59,DATEX!$B$13:$H$38,3,FALSE)</f>
        <v>NutraChem</v>
      </c>
      <c r="E59" s="195" t="s">
        <v>202</v>
      </c>
      <c r="F59" s="197" t="str">
        <f>VLOOKUP($A59,DATEX!$B$13:$H$38,5,FALSE)</f>
        <v>Dry</v>
      </c>
      <c r="G59" s="198">
        <f>VLOOKUP($A59,DATEX!$B$13:$H$38,7,FALSE)/3</f>
        <v>5.6792000000000002E-2</v>
      </c>
      <c r="H59" s="199" t="s">
        <v>94</v>
      </c>
      <c r="I59" s="200"/>
      <c r="J59" s="201">
        <f>50*20</f>
        <v>1000</v>
      </c>
      <c r="K59" s="202">
        <f>J59/J$79</f>
        <v>8.4093413725351649E-3</v>
      </c>
      <c r="L59" s="206">
        <v>0.55000000000000004</v>
      </c>
      <c r="M59" s="204">
        <f>ROUNDUP(((SUM(J59:J61)/U59-SUM(J59:J61))/8.33),-1)</f>
        <v>160</v>
      </c>
      <c r="N59" s="205" t="s">
        <v>96</v>
      </c>
      <c r="O59" s="110"/>
      <c r="P59" s="111"/>
      <c r="Q59" s="120" t="s">
        <v>75</v>
      </c>
      <c r="R59" s="95"/>
      <c r="S59" s="96"/>
      <c r="U59" s="178">
        <v>0.45</v>
      </c>
    </row>
    <row r="60" spans="1:24" s="43" customFormat="1" ht="27.95" customHeight="1">
      <c r="A60" s="9">
        <v>12</v>
      </c>
      <c r="B60" s="94"/>
      <c r="C60" s="195" t="str">
        <f>VLOOKUP($A60,DATEX!$B$13:$H$38,2,FALSE)</f>
        <v>020845</v>
      </c>
      <c r="D60" s="195" t="str">
        <f>VLOOKUP($A60,DATEX!$B$13:$H$38,3,FALSE)</f>
        <v>AFF</v>
      </c>
      <c r="E60" s="195" t="s">
        <v>124</v>
      </c>
      <c r="F60" s="197" t="str">
        <f>VLOOKUP($A60,DATEX!$B$13:$H$38,5,FALSE)</f>
        <v>Dry</v>
      </c>
      <c r="G60" s="198">
        <f>VLOOKUP($A60,DATEX!$B$13:$H$38,7,FALSE)</f>
        <v>2.4496000000000001E-3</v>
      </c>
      <c r="H60" s="199" t="s">
        <v>94</v>
      </c>
      <c r="I60" s="200"/>
      <c r="J60" s="201">
        <f>25*1</f>
        <v>25</v>
      </c>
      <c r="K60" s="202">
        <f>J60/J$79</f>
        <v>2.1023353431337912E-4</v>
      </c>
      <c r="L60" s="206">
        <v>0.55000000000000004</v>
      </c>
      <c r="M60" s="204">
        <v>0</v>
      </c>
      <c r="N60" s="205" t="s">
        <v>111</v>
      </c>
      <c r="O60" s="110"/>
      <c r="P60" s="120" t="s">
        <v>75</v>
      </c>
      <c r="Q60" s="120" t="s">
        <v>75</v>
      </c>
      <c r="R60" s="95"/>
      <c r="S60" s="96"/>
    </row>
    <row r="61" spans="1:24" s="43" customFormat="1" ht="27.95" customHeight="1">
      <c r="A61" s="9">
        <v>12</v>
      </c>
      <c r="B61" s="94"/>
      <c r="C61" s="195" t="str">
        <f>VLOOKUP($A61,DATEX!$B$13:$H$38,2,FALSE)</f>
        <v>020845</v>
      </c>
      <c r="D61" s="195" t="str">
        <f>VLOOKUP($A61,DATEX!$B$13:$H$38,3,FALSE)</f>
        <v>AFF</v>
      </c>
      <c r="E61" s="196" t="str">
        <f>"Ruby Red PE #020845 (~"&amp;TEXT(J61/25,"0.00")&amp;"x25 lb. drum) Part."</f>
        <v>Ruby Red PE #020845 (~0.18x25 lb. drum) Part.</v>
      </c>
      <c r="F61" s="197" t="str">
        <f>VLOOKUP($A61,DATEX!$B$13:$H$38,5,FALSE)</f>
        <v>Dry</v>
      </c>
      <c r="G61" s="198">
        <f>VLOOKUP($A61,DATEX!$B$13:$H$38,7,FALSE)</f>
        <v>2.4496000000000001E-3</v>
      </c>
      <c r="H61" s="199" t="s">
        <v>94</v>
      </c>
      <c r="I61" s="200"/>
      <c r="J61" s="201">
        <f>G61*'MASTER - Batch Overview'!$C$17-J60</f>
        <v>4.3952000000000027</v>
      </c>
      <c r="K61" s="202">
        <f>J61/J$79</f>
        <v>3.6960737200566581E-5</v>
      </c>
      <c r="L61" s="206">
        <v>0.55000000000000004</v>
      </c>
      <c r="M61" s="204">
        <v>0</v>
      </c>
      <c r="N61" s="205" t="s">
        <v>111</v>
      </c>
      <c r="O61" s="110"/>
      <c r="P61" s="120" t="s">
        <v>75</v>
      </c>
      <c r="Q61" s="120" t="s">
        <v>75</v>
      </c>
      <c r="R61" s="95"/>
      <c r="S61" s="96"/>
    </row>
    <row r="62" spans="1:24" s="43" customFormat="1" ht="27.95" customHeight="1">
      <c r="A62" s="9"/>
      <c r="B62" s="259">
        <f>MAX(B$14:B59)+1</f>
        <v>20</v>
      </c>
      <c r="C62" s="81" t="str">
        <f>"Meter in "&amp;N63&amp;" water to mixer.  After the water addition is complete, add ingredient below into mixer and mix until thoroughly dissolved.  Visually inspect to verify the material is fully dissolved."</f>
        <v>Meter in Ambient water to mixer.  After the water addition is complete, add ingredient below into mixer and mix until thoroughly dissolved.  Visually inspect to verify the material is fully dissolved.</v>
      </c>
      <c r="D62" s="81"/>
      <c r="E62" s="81"/>
      <c r="F62" s="81"/>
      <c r="G62" s="81"/>
      <c r="H62" s="81"/>
      <c r="I62" s="81"/>
      <c r="J62" s="166"/>
      <c r="K62" s="81"/>
      <c r="L62" s="81"/>
      <c r="M62" s="81"/>
      <c r="N62" s="81"/>
      <c r="O62" s="92"/>
      <c r="P62" s="92"/>
      <c r="Q62" s="92"/>
      <c r="R62" s="93"/>
      <c r="S62" s="83"/>
      <c r="U62" s="121"/>
    </row>
    <row r="63" spans="1:24" s="43" customFormat="1" ht="27.95" customHeight="1">
      <c r="A63" s="9">
        <v>8</v>
      </c>
      <c r="B63" s="94"/>
      <c r="C63" s="195" t="str">
        <f>VLOOKUP($A63,DATEX!$B$13:$H$38,2,FALSE)</f>
        <v>MECCITRIC</v>
      </c>
      <c r="D63" s="195" t="str">
        <f>VLOOKUP($A63,DATEX!$B$13:$H$38,3,FALSE)</f>
        <v>NutraChem</v>
      </c>
      <c r="E63" s="195" t="s">
        <v>202</v>
      </c>
      <c r="F63" s="197" t="str">
        <f>VLOOKUP($A63,DATEX!$B$13:$H$38,5,FALSE)</f>
        <v>Dry</v>
      </c>
      <c r="G63" s="198">
        <f>VLOOKUP($A63,DATEX!$B$13:$H$38,7,FALSE)/3</f>
        <v>5.6792000000000002E-2</v>
      </c>
      <c r="H63" s="199" t="s">
        <v>94</v>
      </c>
      <c r="I63" s="200"/>
      <c r="J63" s="201">
        <f>50*20</f>
        <v>1000</v>
      </c>
      <c r="K63" s="202">
        <f>J63/J$79</f>
        <v>8.4093413725351649E-3</v>
      </c>
      <c r="L63" s="206">
        <v>0.55000000000000004</v>
      </c>
      <c r="M63" s="204">
        <f>ROUNDUP(((SUM(J63:J67)/U63-SUM(J63:J67))/8.33),-1)</f>
        <v>220</v>
      </c>
      <c r="N63" s="205" t="s">
        <v>96</v>
      </c>
      <c r="O63" s="110"/>
      <c r="P63" s="111"/>
      <c r="Q63" s="120" t="s">
        <v>75</v>
      </c>
      <c r="R63" s="95"/>
      <c r="S63" s="96"/>
      <c r="U63" s="178">
        <v>0.45</v>
      </c>
    </row>
    <row r="64" spans="1:24" s="43" customFormat="1" ht="27.95" customHeight="1">
      <c r="A64" s="9">
        <v>8</v>
      </c>
      <c r="B64" s="94"/>
      <c r="C64" s="195" t="str">
        <f>VLOOKUP($A64,DATEX!$B$13:$H$38,2,FALSE)</f>
        <v>MECCITRIC</v>
      </c>
      <c r="D64" s="195" t="str">
        <f>VLOOKUP($A64,DATEX!$B$13:$H$38,3,FALSE)</f>
        <v>NutraChem</v>
      </c>
      <c r="E64" s="196" t="str">
        <f>"Anhydrous Citric Acid (~"&amp;TEXT(J64/50,"0.00")&amp;"x50 lb. bag) Part."</f>
        <v>Anhydrous Citric Acid (~0.89x50 lb. bag) Part.</v>
      </c>
      <c r="F64" s="197" t="str">
        <f>VLOOKUP($A64,DATEX!$B$13:$H$38,5,FALSE)</f>
        <v>Dry</v>
      </c>
      <c r="G64" s="198">
        <f>VLOOKUP($A64,DATEX!$B$13:$H$38,7,FALSE)</f>
        <v>0.170376</v>
      </c>
      <c r="H64" s="199" t="s">
        <v>94</v>
      </c>
      <c r="I64" s="200"/>
      <c r="J64" s="201">
        <f>G64*'MASTER - Batch Overview'!$C$17-J59-J63</f>
        <v>44.511999999999944</v>
      </c>
      <c r="K64" s="202">
        <f>J64/J$79</f>
        <v>3.743166031742848E-4</v>
      </c>
      <c r="L64" s="206">
        <v>0.55000000000000004</v>
      </c>
      <c r="M64" s="204">
        <v>0</v>
      </c>
      <c r="N64" s="205" t="s">
        <v>111</v>
      </c>
      <c r="O64" s="110"/>
      <c r="P64" s="120" t="s">
        <v>75</v>
      </c>
      <c r="Q64" s="120" t="s">
        <v>75</v>
      </c>
      <c r="R64" s="95"/>
      <c r="S64" s="96"/>
      <c r="U64" s="178"/>
    </row>
    <row r="65" spans="1:24" s="43" customFormat="1" ht="27.95" customHeight="1">
      <c r="A65" s="9">
        <v>9</v>
      </c>
      <c r="B65" s="94"/>
      <c r="C65" s="195" t="str">
        <f>VLOOKUP($A65,DATEX!$B$13:$H$38,2,FALSE)</f>
        <v>1300101717900</v>
      </c>
      <c r="D65" s="195" t="str">
        <f>VLOOKUP($A65,DATEX!$B$13:$H$38,3,FALSE)</f>
        <v>Tate &amp; Lyle</v>
      </c>
      <c r="E65" s="195" t="s">
        <v>203</v>
      </c>
      <c r="F65" s="197" t="str">
        <f>VLOOKUP($A65,DATEX!$B$13:$H$38,5,FALSE)</f>
        <v>Liquid</v>
      </c>
      <c r="G65" s="198">
        <f>VLOOKUP($A65,DATEX!$B$13:$H$38,7,FALSE)</f>
        <v>5.5999999999999999E-3</v>
      </c>
      <c r="H65" s="199" t="s">
        <v>94</v>
      </c>
      <c r="I65" s="200"/>
      <c r="J65" s="201">
        <f>7*8.82</f>
        <v>61.74</v>
      </c>
      <c r="K65" s="202">
        <f>J65/J$79</f>
        <v>5.191927363403211E-4</v>
      </c>
      <c r="L65" s="206">
        <v>0.55000000000000004</v>
      </c>
      <c r="M65" s="204">
        <v>0</v>
      </c>
      <c r="N65" s="205" t="s">
        <v>111</v>
      </c>
      <c r="O65" s="110"/>
      <c r="P65" s="120" t="s">
        <v>75</v>
      </c>
      <c r="Q65" s="120" t="s">
        <v>75</v>
      </c>
      <c r="R65" s="95"/>
      <c r="S65" s="96"/>
    </row>
    <row r="66" spans="1:24" s="43" customFormat="1" ht="27.95" customHeight="1">
      <c r="A66" s="9">
        <v>9</v>
      </c>
      <c r="B66" s="94"/>
      <c r="C66" s="195" t="str">
        <f>VLOOKUP($A66,DATEX!$B$13:$H$38,2,FALSE)</f>
        <v>1300101717900</v>
      </c>
      <c r="D66" s="195" t="str">
        <f>VLOOKUP($A66,DATEX!$B$13:$H$38,3,FALSE)</f>
        <v>Tate &amp; Lyle</v>
      </c>
      <c r="E66" s="196" t="str">
        <f>"Sucralose 25% Solution (~"&amp;TEXT(J66/8.82,"0.00")&amp;"x8.82 lb. jug) Part."</f>
        <v>Sucralose 25% Solution (~0.62x8.82 lb. jug) Part.</v>
      </c>
      <c r="F66" s="197" t="str">
        <f>VLOOKUP($A66,DATEX!$B$13:$H$38,5,FALSE)</f>
        <v>Liquid</v>
      </c>
      <c r="G66" s="198">
        <f>VLOOKUP($A66,DATEX!$B$13:$H$38,7,FALSE)</f>
        <v>5.5999999999999999E-3</v>
      </c>
      <c r="H66" s="199" t="s">
        <v>94</v>
      </c>
      <c r="I66" s="200"/>
      <c r="J66" s="201">
        <f>G66*'MASTER - Batch Overview'!$C$17-J65</f>
        <v>5.4600000000000009</v>
      </c>
      <c r="K66" s="202">
        <f>J66/J$79</f>
        <v>4.5915003894042007E-5</v>
      </c>
      <c r="L66" s="206">
        <v>0.55000000000000004</v>
      </c>
      <c r="M66" s="204">
        <v>0</v>
      </c>
      <c r="N66" s="205" t="s">
        <v>111</v>
      </c>
      <c r="O66" s="110"/>
      <c r="P66" s="120" t="s">
        <v>75</v>
      </c>
      <c r="Q66" s="120" t="s">
        <v>75</v>
      </c>
      <c r="R66" s="95"/>
      <c r="S66" s="96"/>
    </row>
    <row r="67" spans="1:24" s="43" customFormat="1" ht="27.95" customHeight="1">
      <c r="A67" s="9">
        <v>10</v>
      </c>
      <c r="B67" s="94"/>
      <c r="C67" s="195" t="str">
        <f>VLOOKUP($A67,DATEX!$B$13:$H$38,2,FALSE)</f>
        <v>G-337</v>
      </c>
      <c r="D67" s="195" t="str">
        <f>VLOOKUP($A67,DATEX!$B$13:$H$38,3,FALSE)</f>
        <v>AFF</v>
      </c>
      <c r="E67" s="196" t="str">
        <f>"Panax Ginseng Extract G-337 (~"&amp;TEXT(J67/500,"0.00")&amp;"x500 lb. drum) Part."</f>
        <v>Panax Ginseng Extract G-337 (~0.68x500 lb. drum) Part.</v>
      </c>
      <c r="F67" s="197" t="str">
        <f>VLOOKUP($A67,DATEX!$B$13:$H$38,5,FALSE)</f>
        <v>Liquid</v>
      </c>
      <c r="G67" s="198">
        <f>VLOOKUP($A67,DATEX!$B$13:$H$38,7,FALSE)</f>
        <v>2.8219999999999999E-2</v>
      </c>
      <c r="H67" s="199" t="s">
        <v>94</v>
      </c>
      <c r="I67" s="200"/>
      <c r="J67" s="201">
        <f>G67*'MASTER - Batch Overview'!$C$17</f>
        <v>338.64</v>
      </c>
      <c r="K67" s="202">
        <f>J67/J$79</f>
        <v>2.8477393623953079E-3</v>
      </c>
      <c r="L67" s="206">
        <v>0.55000000000000004</v>
      </c>
      <c r="M67" s="204">
        <v>0</v>
      </c>
      <c r="N67" s="205" t="s">
        <v>111</v>
      </c>
      <c r="O67" s="110"/>
      <c r="P67" s="120" t="s">
        <v>75</v>
      </c>
      <c r="Q67" s="120" t="s">
        <v>75</v>
      </c>
      <c r="R67" s="95"/>
      <c r="S67" s="96"/>
    </row>
    <row r="68" spans="1:24" s="43" customFormat="1" ht="27.95" customHeight="1">
      <c r="A68" s="9"/>
      <c r="B68" s="259">
        <f>MAX(B$14:B67)+1</f>
        <v>21</v>
      </c>
      <c r="C68" s="80" t="str">
        <f>"Meter in "&amp;N69&amp;" "&amp;E69&amp;" to mixer after the prior solution is visually depleted from the mixer.  Turn on mixer for 2 minutes.  Transfer into batch tank."</f>
        <v>Meter in Ambient Push Water to mixer after the prior solution is visually depleted from the mixer.  Turn on mixer for 2 minutes.  Transfer into batch tank.</v>
      </c>
      <c r="D68" s="80"/>
      <c r="E68" s="81"/>
      <c r="F68" s="179"/>
      <c r="G68" s="81"/>
      <c r="H68" s="81"/>
      <c r="I68" s="81"/>
      <c r="J68" s="167"/>
      <c r="K68" s="97"/>
      <c r="L68" s="97"/>
      <c r="M68" s="97"/>
      <c r="N68" s="97"/>
      <c r="O68" s="92"/>
      <c r="P68" s="92"/>
      <c r="Q68" s="92"/>
      <c r="R68" s="93"/>
      <c r="S68" s="83"/>
    </row>
    <row r="69" spans="1:24" s="43" customFormat="1" ht="27.95" customHeight="1">
      <c r="A69" s="9"/>
      <c r="B69" s="94"/>
      <c r="C69" s="195"/>
      <c r="D69" s="195"/>
      <c r="E69" s="195" t="s">
        <v>118</v>
      </c>
      <c r="F69" s="199" t="s">
        <v>119</v>
      </c>
      <c r="G69" s="198"/>
      <c r="H69" s="199"/>
      <c r="I69" s="199"/>
      <c r="J69" s="201"/>
      <c r="K69" s="202"/>
      <c r="L69" s="206">
        <v>0.45</v>
      </c>
      <c r="M69" s="204">
        <v>100</v>
      </c>
      <c r="N69" s="205" t="s">
        <v>96</v>
      </c>
      <c r="O69" s="119" t="s">
        <v>75</v>
      </c>
      <c r="P69" s="111"/>
      <c r="Q69" s="120" t="s">
        <v>75</v>
      </c>
      <c r="R69" s="120" t="s">
        <v>75</v>
      </c>
      <c r="S69" s="96"/>
    </row>
    <row r="70" spans="1:24" s="43" customFormat="1" ht="27.95" customHeight="1">
      <c r="A70" s="9"/>
      <c r="B70" s="259">
        <f>MAX(B$14:B69)+1</f>
        <v>22</v>
      </c>
      <c r="C70" s="81" t="str">
        <f>"Meter in "&amp;N71&amp;" water to mixer.  After the water addition is complete, add ingredient below into mixer and mix until thoroughly dissolved.  Visually inspect to verify the material is fully dissolved."</f>
        <v>Meter in Ambient water to mixer.  After the water addition is complete, add ingredient below into mixer and mix until thoroughly dissolved.  Visually inspect to verify the material is fully dissolved.</v>
      </c>
      <c r="D70" s="81"/>
      <c r="E70" s="81"/>
      <c r="F70" s="179"/>
      <c r="G70" s="81"/>
      <c r="H70" s="81"/>
      <c r="I70" s="81"/>
      <c r="J70" s="166"/>
      <c r="K70" s="81"/>
      <c r="L70" s="81"/>
      <c r="M70" s="81"/>
      <c r="N70" s="81"/>
      <c r="O70" s="92"/>
      <c r="P70" s="92"/>
      <c r="Q70" s="92"/>
      <c r="R70" s="93"/>
      <c r="S70" s="83"/>
    </row>
    <row r="71" spans="1:24" s="43" customFormat="1" ht="27.95" customHeight="1">
      <c r="A71" s="9">
        <v>11</v>
      </c>
      <c r="B71" s="94"/>
      <c r="C71" s="195" t="str">
        <f>VLOOKUP($A71,DATEX!$B$13:$H$38,2,FALSE)</f>
        <v>B-288</v>
      </c>
      <c r="D71" s="195" t="str">
        <f>VLOOKUP($A71,DATEX!$B$13:$H$38,3,FALSE)</f>
        <v>AFF</v>
      </c>
      <c r="E71" s="195" t="s">
        <v>125</v>
      </c>
      <c r="F71" s="197" t="str">
        <f>VLOOKUP($A71,DATEX!$B$13:$H$38,5,FALSE)</f>
        <v>Liquid</v>
      </c>
      <c r="G71" s="198">
        <f>VLOOKUP($A71,DATEX!$B$13:$H$38,7,FALSE)</f>
        <v>0.14119999999999999</v>
      </c>
      <c r="H71" s="199" t="s">
        <v>94</v>
      </c>
      <c r="I71" s="200"/>
      <c r="J71" s="201">
        <f>490*3</f>
        <v>1470</v>
      </c>
      <c r="K71" s="202">
        <f>J71/J$79</f>
        <v>1.2361731817626693E-2</v>
      </c>
      <c r="L71" s="206">
        <v>0.25</v>
      </c>
      <c r="M71" s="204">
        <f>ROUNDUP(((SUM(J71:J72)/U71-SUM(J71:J72))/8.33),-1)</f>
        <v>140</v>
      </c>
      <c r="N71" s="205" t="s">
        <v>96</v>
      </c>
      <c r="O71" s="110"/>
      <c r="P71" s="111"/>
      <c r="Q71" s="120" t="s">
        <v>75</v>
      </c>
      <c r="R71" s="95"/>
      <c r="S71" s="96"/>
      <c r="U71" s="246">
        <v>0.6</v>
      </c>
    </row>
    <row r="72" spans="1:24" s="43" customFormat="1" ht="27.95" customHeight="1">
      <c r="A72" s="9">
        <v>11</v>
      </c>
      <c r="B72" s="94"/>
      <c r="C72" s="195" t="str">
        <f>VLOOKUP($A72,DATEX!$B$13:$H$38,2,FALSE)</f>
        <v>B-288</v>
      </c>
      <c r="D72" s="195" t="str">
        <f>VLOOKUP($A72,DATEX!$B$13:$H$38,3,FALSE)</f>
        <v>AFF</v>
      </c>
      <c r="E72" s="196" t="str">
        <f>"Monster Energy Flavor B-288 (~"&amp;TEXT(J72/500,"0.00")&amp;"x490 lb. drum) Part."</f>
        <v>Monster Energy Flavor B-288 (~0.45x490 lb. drum) Part.</v>
      </c>
      <c r="F72" s="197" t="str">
        <f>VLOOKUP($A72,DATEX!$B$13:$H$38,5,FALSE)</f>
        <v>Liquid</v>
      </c>
      <c r="G72" s="198">
        <f>VLOOKUP($A72,DATEX!$B$13:$H$38,7,FALSE)</f>
        <v>0.14119999999999999</v>
      </c>
      <c r="H72" s="199" t="s">
        <v>94</v>
      </c>
      <c r="I72" s="200"/>
      <c r="J72" s="201">
        <f>G72*'MASTER - Batch Overview'!$C$17-J71</f>
        <v>224.39999999999986</v>
      </c>
      <c r="K72" s="202">
        <f>J72/J$79</f>
        <v>1.8870562039968897E-3</v>
      </c>
      <c r="L72" s="206">
        <v>0.25</v>
      </c>
      <c r="M72" s="204">
        <v>0</v>
      </c>
      <c r="N72" s="205" t="s">
        <v>111</v>
      </c>
      <c r="O72" s="110"/>
      <c r="P72" s="120" t="s">
        <v>75</v>
      </c>
      <c r="Q72" s="120" t="s">
        <v>75</v>
      </c>
      <c r="R72" s="95"/>
      <c r="S72" s="96"/>
    </row>
    <row r="73" spans="1:24" s="43" customFormat="1" ht="27.95" customHeight="1">
      <c r="A73" s="9"/>
      <c r="B73" s="259">
        <f>MAX(B$14:B72)+1</f>
        <v>23</v>
      </c>
      <c r="C73" s="80" t="str">
        <f>"Meter in "&amp;N74&amp;" "&amp;E74&amp;" to mixer after the prior solution is visually depleted from the mixer.  Turn on mixer for 2 minutes.  Transfer into batch tank."</f>
        <v>Meter in Ambient Push Water to mixer after the prior solution is visually depleted from the mixer.  Turn on mixer for 2 minutes.  Transfer into batch tank.</v>
      </c>
      <c r="D73" s="80"/>
      <c r="E73" s="81"/>
      <c r="F73" s="179"/>
      <c r="G73" s="81"/>
      <c r="H73" s="81"/>
      <c r="I73" s="81"/>
      <c r="J73" s="167"/>
      <c r="K73" s="97"/>
      <c r="L73" s="97"/>
      <c r="M73" s="97"/>
      <c r="N73" s="97"/>
      <c r="O73" s="92"/>
      <c r="P73" s="92"/>
      <c r="Q73" s="92"/>
      <c r="R73" s="93"/>
      <c r="S73" s="83"/>
    </row>
    <row r="74" spans="1:24" s="12" customFormat="1" ht="30.95" customHeight="1">
      <c r="A74" s="159"/>
      <c r="B74" s="94"/>
      <c r="C74" s="195"/>
      <c r="D74" s="195"/>
      <c r="E74" s="195" t="s">
        <v>118</v>
      </c>
      <c r="F74" s="199" t="s">
        <v>119</v>
      </c>
      <c r="G74" s="198"/>
      <c r="H74" s="199"/>
      <c r="I74" s="199"/>
      <c r="J74" s="201"/>
      <c r="K74" s="202"/>
      <c r="L74" s="206">
        <v>0.45</v>
      </c>
      <c r="M74" s="204">
        <v>200</v>
      </c>
      <c r="N74" s="205" t="s">
        <v>96</v>
      </c>
      <c r="O74" s="119" t="s">
        <v>75</v>
      </c>
      <c r="P74" s="111"/>
      <c r="Q74" s="120" t="s">
        <v>75</v>
      </c>
      <c r="R74" s="120" t="s">
        <v>75</v>
      </c>
      <c r="S74" s="96"/>
    </row>
    <row r="75" spans="1:24" s="43" customFormat="1" ht="27.95" customHeight="1">
      <c r="A75" s="9"/>
      <c r="B75" s="259">
        <f>MAX(B$14:B74)+1</f>
        <v>24</v>
      </c>
      <c r="C75" s="80" t="str">
        <f>"Meter in Final Water directly into batch tank."</f>
        <v>Meter in Final Water directly into batch tank.</v>
      </c>
      <c r="D75" s="80"/>
      <c r="E75" s="81"/>
      <c r="F75" s="179"/>
      <c r="G75" s="167"/>
      <c r="H75" s="97"/>
      <c r="I75" s="97"/>
      <c r="J75" s="97"/>
      <c r="K75" s="97"/>
      <c r="L75" s="92"/>
      <c r="M75" s="92"/>
      <c r="N75" s="93"/>
      <c r="O75" s="92"/>
      <c r="P75" s="92"/>
      <c r="Q75" s="92"/>
      <c r="R75" s="93"/>
      <c r="S75" s="83"/>
    </row>
    <row r="76" spans="1:24" s="12" customFormat="1" ht="30.95" customHeight="1">
      <c r="A76" s="159"/>
      <c r="B76" s="94"/>
      <c r="C76" s="195"/>
      <c r="D76" s="195"/>
      <c r="E76" s="195" t="s">
        <v>126</v>
      </c>
      <c r="F76" s="199" t="s">
        <v>119</v>
      </c>
      <c r="G76" s="198"/>
      <c r="H76" s="199"/>
      <c r="I76" s="199"/>
      <c r="J76" s="201"/>
      <c r="K76" s="202"/>
      <c r="L76" s="206"/>
      <c r="M76" s="204">
        <f>M10</f>
        <v>282.37984000000051</v>
      </c>
      <c r="N76" s="205" t="s">
        <v>96</v>
      </c>
      <c r="O76" s="119" t="s">
        <v>75</v>
      </c>
      <c r="P76" s="180"/>
      <c r="Q76" s="120" t="s">
        <v>75</v>
      </c>
      <c r="R76" s="120" t="s">
        <v>75</v>
      </c>
      <c r="S76" s="96"/>
    </row>
    <row r="77" spans="1:24" s="8" customFormat="1" ht="30.95" customHeight="1">
      <c r="A77" s="9"/>
      <c r="B77" s="259">
        <f>MAX(B$14:B76)+1</f>
        <v>25</v>
      </c>
      <c r="C77" s="81" t="s">
        <v>127</v>
      </c>
      <c r="D77" s="81"/>
      <c r="E77" s="81"/>
      <c r="F77" s="81"/>
      <c r="G77" s="81"/>
      <c r="H77" s="81"/>
      <c r="I77" s="81"/>
      <c r="J77" s="166"/>
      <c r="K77" s="81"/>
      <c r="L77" s="81"/>
      <c r="M77" s="81"/>
      <c r="N77" s="81"/>
      <c r="O77" s="81"/>
      <c r="P77" s="81"/>
      <c r="Q77" s="81"/>
      <c r="R77" s="82"/>
      <c r="S77" s="83"/>
      <c r="W77" s="9"/>
      <c r="X77" s="9"/>
    </row>
    <row r="78" spans="1:24" s="8" customFormat="1" ht="30.95" customHeight="1">
      <c r="A78" s="9"/>
      <c r="B78" s="260">
        <f>MAX(B$14:B77)+1</f>
        <v>26</v>
      </c>
      <c r="C78" s="84" t="s">
        <v>128</v>
      </c>
      <c r="D78" s="84"/>
      <c r="E78" s="85"/>
      <c r="F78" s="85"/>
      <c r="G78" s="85"/>
      <c r="H78" s="85"/>
      <c r="I78" s="85"/>
      <c r="J78" s="168"/>
      <c r="K78" s="85"/>
      <c r="L78" s="85"/>
      <c r="M78" s="85"/>
      <c r="N78" s="85"/>
      <c r="O78" s="85"/>
      <c r="P78" s="85"/>
      <c r="Q78" s="85"/>
      <c r="R78" s="86"/>
      <c r="S78" s="87"/>
    </row>
    <row r="79" spans="1:24" s="8" customFormat="1" ht="30.95" customHeight="1">
      <c r="A79" s="9"/>
      <c r="B79" s="261"/>
      <c r="C79" s="261"/>
      <c r="D79" s="70"/>
      <c r="E79" s="71"/>
      <c r="F79" s="71"/>
      <c r="G79" s="70"/>
      <c r="H79" s="70"/>
      <c r="I79" s="70"/>
      <c r="J79" s="262">
        <f>SUM(J7:J72)</f>
        <v>118915.37704319999</v>
      </c>
      <c r="K79" s="263" t="s">
        <v>129</v>
      </c>
      <c r="L79" s="264" t="s">
        <v>130</v>
      </c>
      <c r="M79" s="71"/>
      <c r="N79" s="43"/>
      <c r="O79" s="43"/>
      <c r="P79" s="265"/>
      <c r="Q79" s="266" t="s">
        <v>131</v>
      </c>
      <c r="R79" s="43"/>
      <c r="S79" s="121"/>
    </row>
    <row r="80" spans="1:24" s="8" customFormat="1" ht="30.95" customHeight="1">
      <c r="A80" s="9"/>
      <c r="B80" s="122" t="s">
        <v>76</v>
      </c>
      <c r="C80" s="267"/>
      <c r="D80" s="268"/>
      <c r="E80" s="122" t="s">
        <v>132</v>
      </c>
      <c r="F80" s="43"/>
      <c r="G80" s="121"/>
      <c r="H80" s="121"/>
      <c r="I80" s="121"/>
      <c r="J80" s="269">
        <f>'MASTER - Batch Overview'!C17</f>
        <v>12000</v>
      </c>
      <c r="K80" s="270" t="s">
        <v>133</v>
      </c>
      <c r="L80" s="264" t="s">
        <v>134</v>
      </c>
      <c r="M80" s="43"/>
      <c r="N80" s="43"/>
      <c r="O80" s="43"/>
      <c r="P80" s="43"/>
      <c r="Q80" s="43"/>
      <c r="R80" s="43"/>
      <c r="S80" s="43"/>
      <c r="W80" s="9"/>
      <c r="X80" s="9"/>
    </row>
    <row r="81" spans="1:27" s="8" customFormat="1" ht="30.95" customHeight="1">
      <c r="A81" s="9"/>
      <c r="E81" s="1"/>
      <c r="P81" s="2"/>
      <c r="Q81" s="2"/>
      <c r="R81" s="1"/>
      <c r="S81" s="1"/>
      <c r="W81" s="9"/>
      <c r="X81" s="9"/>
    </row>
    <row r="82" spans="1:27" s="8" customFormat="1" ht="18" customHeight="1">
      <c r="A82" s="9"/>
      <c r="W82" s="9"/>
      <c r="X82" s="9"/>
    </row>
    <row r="83" spans="1:27" s="8" customFormat="1" ht="20.100000000000001" customHeight="1">
      <c r="A83" s="9"/>
      <c r="W83" s="9"/>
      <c r="X83" s="9"/>
    </row>
    <row r="84" spans="1:27" s="8" customFormat="1" ht="20.100000000000001" customHeight="1">
      <c r="A84" s="9"/>
      <c r="B84" s="9"/>
      <c r="C84" s="9"/>
      <c r="D84" s="9"/>
      <c r="W84" s="9"/>
      <c r="X84" s="9"/>
    </row>
    <row r="85" spans="1:27" s="8" customFormat="1" ht="20.100000000000001" customHeight="1">
      <c r="A85" s="9"/>
      <c r="B85" s="9"/>
      <c r="C85" s="9"/>
      <c r="D85" s="9"/>
      <c r="W85" s="9"/>
      <c r="X85" s="9"/>
    </row>
    <row r="86" spans="1:27" s="8" customFormat="1" ht="20.100000000000001" customHeight="1">
      <c r="A86" s="9"/>
      <c r="B86" s="9"/>
      <c r="C86" s="9"/>
      <c r="D86" s="9"/>
      <c r="W86" s="9"/>
      <c r="X86" s="9"/>
    </row>
    <row r="87" spans="1:27" s="8" customFormat="1" ht="20.100000000000001" customHeight="1">
      <c r="A87" s="9"/>
      <c r="B87" s="9"/>
      <c r="C87" s="9"/>
      <c r="D87" s="9"/>
      <c r="W87" s="9"/>
      <c r="X87" s="9"/>
    </row>
    <row r="88" spans="1:27" s="8" customFormat="1" ht="20.100000000000001" customHeight="1">
      <c r="A88" s="9"/>
      <c r="B88" s="9"/>
      <c r="C88" s="9"/>
      <c r="D88" s="9"/>
      <c r="E88" s="9"/>
      <c r="W88" s="9"/>
      <c r="X88" s="9"/>
    </row>
    <row r="89" spans="1:27" s="8" customFormat="1" ht="20.100000000000001" customHeight="1">
      <c r="A89" s="9"/>
      <c r="B89" s="9"/>
      <c r="C89" s="9"/>
      <c r="D89" s="9"/>
      <c r="E89" s="9"/>
      <c r="W89" s="9"/>
      <c r="X89" s="9"/>
    </row>
    <row r="90" spans="1:27" s="8" customFormat="1" ht="20.100000000000001" customHeight="1">
      <c r="A90" s="9"/>
      <c r="B90" s="9"/>
      <c r="C90" s="1"/>
      <c r="D90" s="1"/>
      <c r="E90" s="1"/>
      <c r="F90" s="1"/>
      <c r="G90" s="1"/>
      <c r="H90" s="1"/>
      <c r="I90" s="1"/>
      <c r="W90" s="9"/>
      <c r="X90" s="9"/>
    </row>
    <row r="91" spans="1:27" s="8" customFormat="1" ht="20.100000000000001" customHeight="1">
      <c r="A91" s="9"/>
      <c r="B91" s="9"/>
      <c r="C91" s="1"/>
      <c r="D91" s="1"/>
      <c r="E91" s="1"/>
      <c r="F91" s="1"/>
      <c r="G91" s="1"/>
      <c r="H91" s="1"/>
      <c r="I91" s="1"/>
      <c r="W91" s="9"/>
      <c r="X91" s="9"/>
    </row>
    <row r="92" spans="1:27" s="8" customFormat="1" ht="20.100000000000001" customHeight="1">
      <c r="A92" s="9"/>
      <c r="B92" s="9"/>
      <c r="C92" s="1"/>
      <c r="D92" s="1"/>
      <c r="E92" s="1"/>
      <c r="F92" s="1"/>
      <c r="G92" s="1"/>
      <c r="H92" s="1"/>
      <c r="I92" s="1"/>
      <c r="W92" s="9"/>
      <c r="X92" s="9"/>
    </row>
    <row r="93" spans="1:27" s="8" customFormat="1" ht="20.100000000000001" customHeight="1">
      <c r="A93" s="9"/>
      <c r="B93" s="9"/>
      <c r="C93" s="1"/>
      <c r="D93" s="1"/>
      <c r="E93" s="1"/>
      <c r="F93" s="1"/>
      <c r="G93" s="1"/>
      <c r="H93" s="1"/>
      <c r="I93" s="1"/>
      <c r="U93" s="7"/>
      <c r="V93" s="7"/>
      <c r="W93" s="52"/>
      <c r="X93" s="52"/>
      <c r="Y93" s="7"/>
      <c r="Z93" s="7"/>
      <c r="AA93" s="7"/>
    </row>
    <row r="94" spans="1:27" s="8" customFormat="1" ht="20.100000000000001" customHeight="1">
      <c r="A94" s="9"/>
      <c r="B94" s="9"/>
      <c r="C94" s="1"/>
      <c r="D94" s="1"/>
      <c r="E94" s="1"/>
      <c r="F94" s="1"/>
      <c r="G94" s="1"/>
      <c r="H94" s="1"/>
      <c r="I94" s="1"/>
      <c r="J94" s="1"/>
      <c r="U94" s="7"/>
      <c r="V94" s="7"/>
      <c r="W94" s="52"/>
      <c r="X94" s="52"/>
      <c r="Y94" s="7"/>
      <c r="Z94" s="7"/>
      <c r="AA94" s="7"/>
    </row>
    <row r="95" spans="1:27" s="8" customFormat="1" ht="20.100000000000001" customHeight="1">
      <c r="A95" s="9"/>
      <c r="B95" s="9"/>
      <c r="C95" s="1"/>
      <c r="D95" s="1"/>
      <c r="E95" s="1"/>
      <c r="F95" s="1"/>
      <c r="G95" s="1"/>
      <c r="H95" s="1"/>
      <c r="I95" s="1"/>
      <c r="J95" s="1"/>
      <c r="U95" s="7"/>
      <c r="V95" s="7"/>
      <c r="W95" s="52"/>
      <c r="X95" s="52"/>
      <c r="Y95" s="7"/>
      <c r="Z95" s="7"/>
      <c r="AA95" s="7"/>
    </row>
    <row r="96" spans="1:27" s="8" customFormat="1" ht="20.100000000000001" customHeight="1">
      <c r="A96" s="9"/>
      <c r="B96" s="9"/>
      <c r="C96" s="1"/>
      <c r="D96" s="1"/>
      <c r="E96" s="1"/>
      <c r="F96" s="1"/>
      <c r="G96" s="1"/>
      <c r="H96" s="1"/>
      <c r="I96" s="1"/>
      <c r="J96" s="1"/>
      <c r="U96" s="7"/>
      <c r="V96" s="7"/>
      <c r="W96" s="52"/>
      <c r="X96" s="52"/>
      <c r="Y96" s="7"/>
      <c r="Z96" s="7"/>
      <c r="AA96" s="7"/>
    </row>
    <row r="97" spans="2:19">
      <c r="B97" s="9"/>
      <c r="C97" s="1"/>
      <c r="D97" s="1"/>
      <c r="G97" s="1"/>
      <c r="H97" s="1"/>
      <c r="I97" s="1"/>
      <c r="K97" s="8"/>
      <c r="L97" s="8"/>
      <c r="M97" s="8"/>
      <c r="N97" s="8"/>
      <c r="O97" s="8"/>
      <c r="P97" s="8"/>
      <c r="Q97" s="8"/>
      <c r="R97" s="8"/>
      <c r="S97" s="8"/>
    </row>
    <row r="98" spans="2:19">
      <c r="B98" s="9"/>
      <c r="C98" s="1"/>
      <c r="D98" s="1"/>
      <c r="G98" s="1"/>
      <c r="H98" s="1"/>
      <c r="I98" s="1"/>
      <c r="K98" s="8"/>
      <c r="L98" s="8"/>
      <c r="M98" s="8"/>
      <c r="N98" s="8"/>
      <c r="O98" s="8"/>
      <c r="P98" s="8"/>
      <c r="Q98" s="8"/>
      <c r="R98" s="8"/>
      <c r="S98" s="8"/>
    </row>
    <row r="99" spans="2:19">
      <c r="B99" s="9"/>
      <c r="C99" s="1"/>
      <c r="D99" s="1"/>
      <c r="G99" s="1"/>
      <c r="H99" s="1"/>
      <c r="I99" s="1"/>
      <c r="K99" s="8"/>
      <c r="L99" s="8"/>
      <c r="M99" s="8"/>
      <c r="N99" s="8"/>
      <c r="O99" s="8"/>
      <c r="P99" s="8"/>
      <c r="Q99" s="8"/>
      <c r="R99" s="8"/>
      <c r="S99" s="8"/>
    </row>
    <row r="100" spans="2:19">
      <c r="B100" s="9"/>
      <c r="C100" s="1"/>
      <c r="D100" s="1"/>
      <c r="G100" s="1"/>
      <c r="H100" s="1"/>
      <c r="I100" s="1"/>
      <c r="K100" s="8"/>
      <c r="L100" s="8"/>
      <c r="M100" s="8"/>
      <c r="N100" s="8"/>
      <c r="O100" s="8"/>
      <c r="P100" s="8"/>
      <c r="Q100" s="8"/>
      <c r="R100" s="8"/>
      <c r="S100" s="8"/>
    </row>
    <row r="101" spans="2:19">
      <c r="C101" s="1"/>
      <c r="D101" s="1"/>
      <c r="G101" s="1"/>
      <c r="H101" s="1"/>
      <c r="I101" s="1"/>
    </row>
  </sheetData>
  <mergeCells count="3">
    <mergeCell ref="B2:D3"/>
    <mergeCell ref="E2:M2"/>
    <mergeCell ref="E3:M3"/>
  </mergeCells>
  <printOptions horizontalCentered="1"/>
  <pageMargins left="0.25" right="0.25" top="0.75" bottom="0.75" header="0.3" footer="0.3"/>
  <pageSetup paperSize="3" scale="54" fitToHeight="3" orientation="landscape" horizontalDpi="0" verticalDpi="0" copies="2"/>
  <headerFooter>
    <oddFooter>&amp;L&amp;"-,Bold" 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685BB-DB2F-CD43-8D62-5ACC35FEE6A1}">
  <sheetPr>
    <tabColor rgb="FF2362AA"/>
    <pageSetUpPr fitToPage="1"/>
  </sheetPr>
  <dimension ref="A1:AH43"/>
  <sheetViews>
    <sheetView showGridLines="0" zoomScale="50" zoomScaleNormal="100" workbookViewId="0">
      <selection activeCell="H41" sqref="H41"/>
    </sheetView>
  </sheetViews>
  <sheetFormatPr defaultColWidth="10.875" defaultRowHeight="15"/>
  <cols>
    <col min="1" max="1" width="3.625" style="1" customWidth="1"/>
    <col min="2" max="3" width="43.375" style="2" customWidth="1"/>
    <col min="4" max="4" width="96.5" style="2" customWidth="1"/>
    <col min="5" max="5" width="24.5" style="1" customWidth="1"/>
    <col min="6" max="6" width="4.875" style="1" customWidth="1"/>
    <col min="7" max="8" width="43.375" style="2" customWidth="1"/>
    <col min="9" max="9" width="96.5" style="1" customWidth="1"/>
    <col min="10" max="10" width="24.5" style="1" customWidth="1"/>
    <col min="11" max="11" width="4.875" style="1" customWidth="1"/>
    <col min="12" max="12" width="38.875" style="2" customWidth="1"/>
    <col min="13" max="13" width="34.375" style="2" customWidth="1"/>
    <col min="14" max="14" width="58.875" style="1" customWidth="1"/>
    <col min="15" max="15" width="18.875" style="1" customWidth="1"/>
    <col min="16" max="22" width="22.625" style="1" customWidth="1"/>
    <col min="23" max="23" width="11.375" style="1" customWidth="1"/>
    <col min="24" max="24" width="23.125" style="4" customWidth="1"/>
    <col min="25" max="25" width="19.875" style="4" customWidth="1"/>
    <col min="26" max="27" width="13.625" style="5" customWidth="1"/>
    <col min="28" max="29" width="10.875" style="4"/>
    <col min="30" max="30" width="11.5" style="4" bestFit="1" customWidth="1"/>
    <col min="31" max="16384" width="10.875" style="1"/>
  </cols>
  <sheetData>
    <row r="1" spans="1:34" ht="16.5">
      <c r="A1" s="4"/>
      <c r="B1" s="5"/>
      <c r="C1" s="5"/>
      <c r="D1" s="5"/>
      <c r="E1" s="4"/>
      <c r="F1" s="4"/>
      <c r="G1" s="5"/>
      <c r="H1" s="5"/>
      <c r="I1" s="4"/>
      <c r="J1" s="4"/>
      <c r="K1" s="4"/>
      <c r="L1" s="5"/>
      <c r="M1" s="5"/>
      <c r="N1" s="4"/>
      <c r="O1" s="4"/>
      <c r="P1" s="4"/>
      <c r="Q1" s="4"/>
      <c r="R1" s="4"/>
      <c r="S1" s="4"/>
      <c r="T1" s="4"/>
      <c r="U1" s="4"/>
      <c r="V1" s="4"/>
      <c r="W1" s="4"/>
      <c r="AE1" s="6"/>
      <c r="AF1" s="6"/>
      <c r="AG1" s="6"/>
      <c r="AH1" s="6"/>
    </row>
    <row r="2" spans="1:34" ht="36.950000000000003" customHeight="1">
      <c r="A2" s="4"/>
      <c r="B2" s="299" t="s">
        <v>0</v>
      </c>
      <c r="C2" s="299"/>
      <c r="D2" s="299"/>
      <c r="E2" s="300" t="str">
        <f>"Batch Lot Tracking - "&amp;'MASTER - Batch Overview'!C10</f>
        <v>Batch Lot Tracking - BXX.X.XXXX</v>
      </c>
      <c r="F2" s="300"/>
      <c r="G2" s="300"/>
      <c r="H2" s="300"/>
      <c r="I2" s="208"/>
      <c r="J2" s="208"/>
      <c r="K2" s="208"/>
      <c r="L2" s="51"/>
      <c r="M2" s="51"/>
      <c r="N2" s="51"/>
      <c r="O2" s="51"/>
      <c r="P2" s="51"/>
      <c r="Q2" s="51"/>
      <c r="R2" s="51"/>
      <c r="S2" s="51"/>
      <c r="T2" s="51"/>
      <c r="U2" s="51"/>
      <c r="V2" s="51"/>
      <c r="W2" s="51"/>
      <c r="X2" s="51"/>
      <c r="Y2" s="51"/>
      <c r="Z2" s="66"/>
      <c r="AA2" s="66"/>
      <c r="AE2" s="6"/>
      <c r="AF2" s="6"/>
      <c r="AG2" s="6"/>
      <c r="AH2" s="6"/>
    </row>
    <row r="3" spans="1:34" s="8" customFormat="1" ht="36.950000000000003" customHeight="1">
      <c r="A3" s="7"/>
      <c r="B3" s="299"/>
      <c r="C3" s="299"/>
      <c r="D3" s="299"/>
      <c r="E3" s="301" t="str">
        <f>'MASTER - Batch Overview'!D3</f>
        <v>Monster Energy - Monster Energy (New Caledonia, Tahiti) EXPORT - 9/23/24</v>
      </c>
      <c r="F3" s="301"/>
      <c r="G3" s="301"/>
      <c r="H3" s="301"/>
      <c r="I3" s="209"/>
      <c r="J3" s="209"/>
      <c r="K3" s="209"/>
      <c r="L3" s="50"/>
      <c r="M3" s="50"/>
      <c r="N3" s="50"/>
      <c r="O3" s="50"/>
      <c r="P3" s="50"/>
      <c r="Q3" s="50"/>
      <c r="R3" s="50"/>
      <c r="S3" s="50"/>
      <c r="T3" s="50"/>
      <c r="U3" s="50"/>
      <c r="V3" s="50"/>
      <c r="W3" s="50"/>
      <c r="X3" s="50"/>
      <c r="Y3" s="50"/>
      <c r="Z3" s="67"/>
      <c r="AA3" s="67"/>
      <c r="AB3" s="7"/>
      <c r="AC3" s="7"/>
      <c r="AE3" s="6"/>
      <c r="AF3" s="6"/>
      <c r="AG3" s="6"/>
      <c r="AH3" s="6"/>
    </row>
    <row r="4" spans="1:34" s="8" customFormat="1" ht="30" customHeight="1">
      <c r="A4" s="7"/>
      <c r="B4" s="79"/>
      <c r="C4" s="79"/>
      <c r="D4" s="67"/>
      <c r="E4" s="67"/>
      <c r="F4" s="67"/>
      <c r="G4" s="67"/>
      <c r="H4" s="67"/>
      <c r="I4" s="67"/>
      <c r="J4" s="67"/>
      <c r="K4" s="67"/>
      <c r="L4" s="67"/>
      <c r="M4" s="67"/>
      <c r="N4" s="50"/>
      <c r="O4" s="50"/>
      <c r="P4" s="50"/>
      <c r="Q4" s="50"/>
      <c r="R4" s="50"/>
      <c r="S4" s="50"/>
      <c r="T4" s="50"/>
      <c r="U4" s="50"/>
      <c r="V4" s="50"/>
      <c r="W4" s="50"/>
      <c r="X4" s="50"/>
      <c r="Y4" s="50"/>
      <c r="Z4" s="67"/>
      <c r="AA4" s="67"/>
      <c r="AB4" s="7"/>
      <c r="AC4" s="7"/>
      <c r="AE4" s="6"/>
      <c r="AF4" s="6"/>
      <c r="AG4" s="6"/>
      <c r="AH4" s="6"/>
    </row>
    <row r="5" spans="1:34" s="8" customFormat="1" ht="30" customHeight="1">
      <c r="A5" s="7"/>
      <c r="B5" s="79"/>
      <c r="C5" s="79"/>
      <c r="D5" s="79"/>
      <c r="E5" s="79"/>
      <c r="F5" s="67"/>
      <c r="G5" s="67"/>
      <c r="H5" s="67"/>
      <c r="I5" s="67"/>
      <c r="J5" s="67"/>
      <c r="K5" s="67"/>
      <c r="L5" s="67"/>
      <c r="M5" s="67"/>
      <c r="N5" s="67"/>
      <c r="O5" s="67"/>
      <c r="P5" s="67"/>
      <c r="Q5" s="67"/>
      <c r="R5" s="67"/>
      <c r="S5" s="67"/>
      <c r="T5" s="67"/>
      <c r="U5" s="67"/>
      <c r="V5" s="50"/>
      <c r="W5" s="50"/>
      <c r="X5" s="50"/>
      <c r="Y5" s="50"/>
      <c r="Z5" s="67"/>
      <c r="AA5" s="67"/>
      <c r="AB5" s="7"/>
      <c r="AC5" s="7"/>
      <c r="AE5" s="6"/>
      <c r="AF5" s="6"/>
      <c r="AG5" s="6"/>
      <c r="AH5" s="6"/>
    </row>
    <row r="6" spans="1:34" s="210" customFormat="1" ht="30" customHeight="1">
      <c r="B6" s="211" t="s">
        <v>135</v>
      </c>
      <c r="C6" s="211" t="s">
        <v>104</v>
      </c>
      <c r="D6" s="211" t="s">
        <v>136</v>
      </c>
      <c r="E6" s="212" t="s">
        <v>137</v>
      </c>
      <c r="G6" s="211" t="s">
        <v>135</v>
      </c>
      <c r="H6" s="211" t="s">
        <v>104</v>
      </c>
      <c r="I6" s="211" t="s">
        <v>136</v>
      </c>
      <c r="J6" s="212" t="s">
        <v>137</v>
      </c>
      <c r="L6" s="213"/>
      <c r="M6" s="213"/>
      <c r="N6" s="213"/>
      <c r="O6" s="213"/>
      <c r="Z6" s="214"/>
      <c r="AA6" s="214"/>
    </row>
    <row r="7" spans="1:34" s="215" customFormat="1" ht="30" customHeight="1">
      <c r="B7" s="216" t="str">
        <f>VLOOKUP($B8,DATEX!$B$13:$I$28,2,FALSE)</f>
        <v>MECLSUCROSE</v>
      </c>
      <c r="C7" s="217" t="str">
        <f>VLOOKUP($B8,DATEX!$B$13:$I$28,3,FALSE)</f>
        <v>Batory Foods</v>
      </c>
      <c r="D7" s="217" t="str">
        <f>VLOOKUP($B8,DATEX!$B$13:$I$28,4,FALSE)</f>
        <v>Liquid Sucrose 66.5° Brix (5,085.8 gal.)</v>
      </c>
      <c r="E7" s="218">
        <f>VLOOKUP($B8,DATEX!$B$13:$I$28,8,FALSE)</f>
        <v>56213.6834112</v>
      </c>
      <c r="F7" s="210"/>
      <c r="G7" s="219" t="str">
        <f>VLOOKUP($G8,DATEX!$B$13:$I$28,2,FALSE)</f>
        <v>MECBENZOIC</v>
      </c>
      <c r="H7" s="220" t="str">
        <f>VLOOKUP($G8,DATEX!$B$13:$I$28,3,FALSE)</f>
        <v>Wuhan Youji</v>
      </c>
      <c r="I7" s="220" t="str">
        <f>VLOOKUP($G8,DATEX!$B$13:$I$28,4,FALSE)</f>
        <v>Benzoic Acid</v>
      </c>
      <c r="J7" s="221">
        <f>VLOOKUP($G8,DATEX!$B$13:$I$28,8,FALSE)</f>
        <v>60.768000000000001</v>
      </c>
      <c r="L7" s="222"/>
      <c r="M7" s="222"/>
      <c r="N7" s="222"/>
      <c r="O7" s="222"/>
      <c r="Z7" s="223"/>
      <c r="AA7" s="223"/>
    </row>
    <row r="8" spans="1:34" s="43" customFormat="1" ht="11.1" customHeight="1">
      <c r="B8" s="224">
        <v>1</v>
      </c>
      <c r="C8" s="210"/>
      <c r="D8" s="210"/>
      <c r="E8" s="210"/>
      <c r="F8" s="210"/>
      <c r="G8" s="224">
        <v>4</v>
      </c>
      <c r="H8" s="210"/>
      <c r="I8" s="210"/>
      <c r="J8" s="210"/>
      <c r="K8" s="8"/>
      <c r="L8" s="2"/>
      <c r="M8" s="2"/>
      <c r="N8" s="2"/>
      <c r="O8" s="2"/>
      <c r="P8" s="8"/>
      <c r="Q8" s="8"/>
      <c r="R8" s="8"/>
      <c r="S8" s="8"/>
      <c r="T8" s="8"/>
      <c r="U8" s="8"/>
      <c r="V8" s="8"/>
    </row>
    <row r="9" spans="1:34" s="43" customFormat="1" ht="30" customHeight="1">
      <c r="B9" s="298" t="s">
        <v>138</v>
      </c>
      <c r="C9" s="298"/>
      <c r="D9" s="212" t="s">
        <v>139</v>
      </c>
      <c r="E9" s="212" t="s">
        <v>140</v>
      </c>
      <c r="F9" s="210"/>
      <c r="G9" s="298" t="s">
        <v>138</v>
      </c>
      <c r="H9" s="298"/>
      <c r="I9" s="212" t="s">
        <v>139</v>
      </c>
      <c r="J9" s="212" t="s">
        <v>140</v>
      </c>
      <c r="K9" s="8"/>
      <c r="L9" s="2"/>
      <c r="M9" s="2"/>
      <c r="N9" s="2"/>
      <c r="O9" s="2"/>
      <c r="P9" s="8"/>
      <c r="Q9" s="8"/>
      <c r="R9" s="8"/>
      <c r="S9" s="8"/>
      <c r="T9" s="8"/>
      <c r="U9" s="8"/>
      <c r="V9" s="8"/>
    </row>
    <row r="10" spans="1:34" s="6" customFormat="1" ht="44.1" customHeight="1">
      <c r="B10" s="225" t="s">
        <v>141</v>
      </c>
      <c r="C10" s="226"/>
      <c r="D10" s="226"/>
      <c r="E10" s="227"/>
      <c r="F10" s="210"/>
      <c r="G10" s="225" t="s">
        <v>141</v>
      </c>
      <c r="H10" s="226"/>
      <c r="I10" s="226"/>
      <c r="J10" s="228"/>
      <c r="L10" s="2"/>
      <c r="M10" s="2"/>
      <c r="N10" s="2"/>
      <c r="O10" s="2"/>
      <c r="P10" s="8"/>
      <c r="Q10" s="8"/>
      <c r="R10" s="8"/>
      <c r="S10" s="8"/>
      <c r="T10" s="8"/>
      <c r="U10" s="8"/>
      <c r="V10" s="8"/>
      <c r="Z10" s="10"/>
      <c r="AA10" s="10"/>
    </row>
    <row r="11" spans="1:34" s="6" customFormat="1" ht="44.1" customHeight="1">
      <c r="B11" s="229" t="s">
        <v>142</v>
      </c>
      <c r="C11" s="230"/>
      <c r="D11" s="230"/>
      <c r="E11" s="231"/>
      <c r="F11" s="210"/>
      <c r="G11" s="229" t="s">
        <v>142</v>
      </c>
      <c r="H11" s="230"/>
      <c r="I11" s="230"/>
      <c r="J11" s="232"/>
      <c r="L11" s="2"/>
      <c r="M11" s="2"/>
      <c r="N11" s="2"/>
      <c r="O11" s="2"/>
      <c r="P11" s="8"/>
      <c r="Q11" s="8"/>
      <c r="R11" s="8"/>
      <c r="S11" s="8"/>
      <c r="T11" s="8"/>
      <c r="U11" s="8"/>
      <c r="V11" s="8"/>
      <c r="Z11" s="10"/>
      <c r="AA11" s="10"/>
    </row>
    <row r="12" spans="1:34" s="6" customFormat="1" ht="44.1" customHeight="1">
      <c r="B12" s="229" t="s">
        <v>143</v>
      </c>
      <c r="C12" s="230"/>
      <c r="D12" s="230"/>
      <c r="E12" s="231"/>
      <c r="F12" s="210"/>
      <c r="G12" s="229" t="s">
        <v>143</v>
      </c>
      <c r="H12" s="230"/>
      <c r="I12" s="230"/>
      <c r="J12" s="232"/>
      <c r="L12" s="2"/>
      <c r="M12" s="2"/>
      <c r="N12" s="2"/>
      <c r="O12" s="2"/>
      <c r="P12" s="8"/>
      <c r="Q12" s="8"/>
      <c r="R12" s="8"/>
      <c r="S12" s="8"/>
      <c r="T12" s="8"/>
      <c r="U12" s="8"/>
      <c r="V12" s="8"/>
      <c r="Z12" s="10"/>
      <c r="AA12" s="10"/>
    </row>
    <row r="13" spans="1:34" s="6" customFormat="1" ht="44.1" customHeight="1">
      <c r="B13" s="229" t="s">
        <v>144</v>
      </c>
      <c r="C13" s="230"/>
      <c r="D13" s="230"/>
      <c r="E13" s="231"/>
      <c r="F13" s="210"/>
      <c r="G13" s="229" t="s">
        <v>144</v>
      </c>
      <c r="H13" s="230"/>
      <c r="I13" s="230"/>
      <c r="J13" s="232"/>
      <c r="L13" s="2"/>
      <c r="M13" s="2"/>
      <c r="N13" s="2"/>
      <c r="O13" s="2"/>
      <c r="P13" s="8"/>
      <c r="Q13" s="8"/>
      <c r="R13" s="8"/>
      <c r="S13" s="8"/>
      <c r="T13" s="8"/>
      <c r="U13" s="8"/>
      <c r="V13" s="8"/>
      <c r="Z13" s="10"/>
      <c r="AA13" s="10"/>
    </row>
    <row r="14" spans="1:34" s="6" customFormat="1" ht="44.1" customHeight="1">
      <c r="B14" s="229" t="s">
        <v>145</v>
      </c>
      <c r="C14" s="230"/>
      <c r="D14" s="230"/>
      <c r="E14" s="231"/>
      <c r="F14" s="210"/>
      <c r="G14" s="229" t="s">
        <v>145</v>
      </c>
      <c r="H14" s="230"/>
      <c r="I14" s="230"/>
      <c r="J14" s="232"/>
      <c r="L14" s="2"/>
      <c r="M14" s="2"/>
      <c r="N14" s="2"/>
      <c r="O14" s="2"/>
      <c r="P14" s="8"/>
      <c r="Q14" s="8"/>
      <c r="R14" s="8"/>
      <c r="S14" s="8"/>
      <c r="T14" s="8"/>
      <c r="U14" s="8"/>
      <c r="V14" s="8"/>
    </row>
    <row r="15" spans="1:34" s="43" customFormat="1" ht="44.1" customHeight="1">
      <c r="B15" s="233" t="s">
        <v>146</v>
      </c>
      <c r="C15" s="234"/>
      <c r="D15" s="234"/>
      <c r="E15" s="235"/>
      <c r="F15" s="210"/>
      <c r="G15" s="233" t="s">
        <v>146</v>
      </c>
      <c r="H15" s="234"/>
      <c r="I15" s="234"/>
      <c r="J15" s="236"/>
      <c r="L15" s="2"/>
      <c r="M15" s="2"/>
      <c r="N15" s="2"/>
      <c r="O15" s="2"/>
      <c r="P15" s="8"/>
      <c r="Q15" s="8"/>
      <c r="R15" s="8"/>
      <c r="S15" s="8"/>
      <c r="T15" s="8"/>
      <c r="U15" s="8"/>
      <c r="V15" s="8"/>
    </row>
    <row r="16" spans="1:34" s="210" customFormat="1" ht="44.1" customHeight="1">
      <c r="B16" s="237" t="s">
        <v>147</v>
      </c>
      <c r="D16" s="238" t="s">
        <v>148</v>
      </c>
      <c r="E16" s="239"/>
      <c r="G16" s="237" t="s">
        <v>147</v>
      </c>
      <c r="I16" s="238" t="s">
        <v>148</v>
      </c>
      <c r="J16" s="240"/>
      <c r="L16" s="213"/>
      <c r="M16" s="213"/>
      <c r="N16" s="213"/>
      <c r="O16" s="213"/>
    </row>
    <row r="17" spans="2:22" s="43" customFormat="1" ht="18.95" customHeight="1">
      <c r="B17" s="210"/>
      <c r="C17" s="210"/>
      <c r="D17" s="210"/>
      <c r="E17" s="210"/>
      <c r="F17" s="210"/>
      <c r="G17" s="210"/>
      <c r="H17" s="210"/>
      <c r="I17" s="210"/>
      <c r="J17" s="210"/>
      <c r="K17" s="8"/>
      <c r="L17" s="2"/>
      <c r="M17" s="2"/>
      <c r="N17" s="2"/>
      <c r="O17" s="2"/>
      <c r="P17" s="8"/>
      <c r="Q17" s="8"/>
      <c r="R17" s="8"/>
      <c r="S17" s="8"/>
      <c r="T17" s="8"/>
      <c r="U17" s="8"/>
      <c r="V17" s="8"/>
    </row>
    <row r="18" spans="2:22" s="210" customFormat="1" ht="30" customHeight="1">
      <c r="B18" s="211" t="s">
        <v>135</v>
      </c>
      <c r="C18" s="211" t="s">
        <v>104</v>
      </c>
      <c r="D18" s="211" t="s">
        <v>136</v>
      </c>
      <c r="E18" s="212" t="s">
        <v>137</v>
      </c>
      <c r="G18" s="211" t="s">
        <v>135</v>
      </c>
      <c r="H18" s="211" t="s">
        <v>104</v>
      </c>
      <c r="I18" s="211" t="s">
        <v>136</v>
      </c>
      <c r="J18" s="212" t="s">
        <v>137</v>
      </c>
      <c r="L18" s="213"/>
      <c r="M18" s="213"/>
      <c r="N18" s="213"/>
      <c r="O18" s="213"/>
    </row>
    <row r="19" spans="2:22" s="215" customFormat="1" ht="30" customHeight="1">
      <c r="B19" s="241" t="str">
        <f>VLOOKUP($B20,DATEX!$B$13:$I$28,2,FALSE)</f>
        <v>NUT001</v>
      </c>
      <c r="C19" s="220" t="str">
        <f>VLOOKUP($B20,DATEX!$B$13:$I$28,3,FALSE)</f>
        <v>Wang Kang Biochemical</v>
      </c>
      <c r="D19" s="220" t="str">
        <f>VLOOKUP($B20,DATEX!$B$13:$I$28,4,FALSE)</f>
        <v>Trisodium Citrate Dihydrate</v>
      </c>
      <c r="E19" s="221">
        <f>VLOOKUP($B20,DATEX!$B$13:$I$28,8,FALSE)</f>
        <v>1322.2560000000001</v>
      </c>
      <c r="F19" s="210"/>
      <c r="G19" s="242" t="str">
        <f>VLOOKUP($G20,DATEX!$B$13:$I$28,2,FALSE)</f>
        <v>MECNATCAFFEINE</v>
      </c>
      <c r="H19" s="217" t="str">
        <f>VLOOKUP($G20,DATEX!$B$13:$I$28,3,FALSE)</f>
        <v>NutraChem</v>
      </c>
      <c r="I19" s="217" t="str">
        <f>VLOOKUP($G20,DATEX!$B$13:$I$28,4,FALSE)</f>
        <v>Natural Caffeine</v>
      </c>
      <c r="J19" s="218">
        <f>VLOOKUP($G20,DATEX!$B$13:$I$28,8,FALSE)</f>
        <v>138.72</v>
      </c>
      <c r="L19" s="222"/>
      <c r="M19" s="222"/>
      <c r="N19" s="222"/>
      <c r="O19" s="222"/>
    </row>
    <row r="20" spans="2:22" s="43" customFormat="1" ht="11.1" customHeight="1">
      <c r="B20" s="224">
        <v>2</v>
      </c>
      <c r="C20" s="210"/>
      <c r="D20" s="210"/>
      <c r="E20" s="210"/>
      <c r="F20" s="210"/>
      <c r="G20" s="224">
        <v>5</v>
      </c>
      <c r="H20" s="210"/>
      <c r="I20" s="210"/>
      <c r="J20" s="210"/>
      <c r="K20" s="8"/>
      <c r="L20" s="2"/>
      <c r="M20" s="2"/>
      <c r="N20" s="2"/>
      <c r="O20" s="2"/>
      <c r="P20" s="8"/>
      <c r="Q20" s="8"/>
      <c r="R20" s="8"/>
      <c r="S20" s="8"/>
      <c r="T20" s="8"/>
      <c r="U20" s="8"/>
      <c r="V20" s="8"/>
    </row>
    <row r="21" spans="2:22" s="43" customFormat="1" ht="30" customHeight="1">
      <c r="B21" s="298" t="s">
        <v>138</v>
      </c>
      <c r="C21" s="298"/>
      <c r="D21" s="212" t="s">
        <v>139</v>
      </c>
      <c r="E21" s="212" t="s">
        <v>140</v>
      </c>
      <c r="F21" s="210"/>
      <c r="G21" s="298" t="s">
        <v>138</v>
      </c>
      <c r="H21" s="298"/>
      <c r="I21" s="212" t="s">
        <v>139</v>
      </c>
      <c r="J21" s="212" t="s">
        <v>140</v>
      </c>
      <c r="K21" s="8"/>
      <c r="L21" s="2"/>
      <c r="M21" s="2"/>
      <c r="N21" s="2"/>
      <c r="O21" s="2"/>
      <c r="P21" s="8"/>
      <c r="Q21" s="8"/>
      <c r="R21" s="8"/>
      <c r="S21" s="8"/>
      <c r="T21" s="8"/>
      <c r="U21" s="8"/>
      <c r="V21" s="8"/>
    </row>
    <row r="22" spans="2:22" s="43" customFormat="1" ht="44.1" customHeight="1">
      <c r="B22" s="225" t="s">
        <v>141</v>
      </c>
      <c r="C22" s="226"/>
      <c r="D22" s="226"/>
      <c r="E22" s="228"/>
      <c r="F22" s="210"/>
      <c r="G22" s="225" t="s">
        <v>141</v>
      </c>
      <c r="H22" s="226"/>
      <c r="I22" s="226"/>
      <c r="J22" s="227"/>
      <c r="K22" s="8"/>
      <c r="L22" s="2"/>
      <c r="M22" s="2"/>
      <c r="N22" s="2"/>
      <c r="O22" s="2"/>
      <c r="P22" s="8"/>
      <c r="Q22" s="8"/>
      <c r="R22" s="8"/>
      <c r="S22" s="8"/>
      <c r="T22" s="8"/>
      <c r="U22" s="8"/>
      <c r="V22" s="8"/>
    </row>
    <row r="23" spans="2:22" s="43" customFormat="1" ht="44.1" customHeight="1">
      <c r="B23" s="229" t="s">
        <v>142</v>
      </c>
      <c r="C23" s="230"/>
      <c r="D23" s="230"/>
      <c r="E23" s="232"/>
      <c r="F23" s="210"/>
      <c r="G23" s="229" t="s">
        <v>142</v>
      </c>
      <c r="H23" s="230"/>
      <c r="I23" s="230"/>
      <c r="J23" s="231"/>
      <c r="K23" s="8"/>
      <c r="L23" s="2"/>
      <c r="M23" s="2"/>
      <c r="N23" s="2"/>
      <c r="O23" s="2"/>
      <c r="P23" s="8"/>
      <c r="Q23" s="8"/>
      <c r="R23" s="8"/>
      <c r="S23" s="8"/>
      <c r="T23" s="8"/>
      <c r="U23" s="8"/>
      <c r="V23" s="8"/>
    </row>
    <row r="24" spans="2:22" s="43" customFormat="1" ht="44.1" customHeight="1">
      <c r="B24" s="229" t="s">
        <v>143</v>
      </c>
      <c r="C24" s="230"/>
      <c r="D24" s="230"/>
      <c r="E24" s="232"/>
      <c r="F24" s="210"/>
      <c r="G24" s="229" t="s">
        <v>143</v>
      </c>
      <c r="H24" s="230"/>
      <c r="I24" s="230"/>
      <c r="J24" s="231"/>
      <c r="K24" s="8"/>
      <c r="L24" s="2"/>
      <c r="M24" s="2"/>
      <c r="N24" s="2"/>
      <c r="O24" s="2"/>
      <c r="P24" s="8"/>
      <c r="Q24" s="8"/>
      <c r="R24" s="8"/>
      <c r="S24" s="8"/>
      <c r="T24" s="8"/>
      <c r="U24" s="8"/>
      <c r="V24" s="8"/>
    </row>
    <row r="25" spans="2:22" s="43" customFormat="1" ht="44.1" customHeight="1">
      <c r="B25" s="229" t="s">
        <v>144</v>
      </c>
      <c r="C25" s="230"/>
      <c r="D25" s="230"/>
      <c r="E25" s="232"/>
      <c r="F25" s="210"/>
      <c r="G25" s="229" t="s">
        <v>144</v>
      </c>
      <c r="H25" s="230"/>
      <c r="I25" s="230"/>
      <c r="J25" s="231"/>
      <c r="K25" s="8"/>
      <c r="L25" s="2"/>
      <c r="M25" s="2"/>
      <c r="N25" s="2"/>
      <c r="O25" s="2"/>
      <c r="P25" s="8"/>
      <c r="Q25" s="8"/>
      <c r="R25" s="8"/>
      <c r="S25" s="8"/>
      <c r="T25" s="8"/>
      <c r="U25" s="8"/>
      <c r="V25" s="8"/>
    </row>
    <row r="26" spans="2:22" s="43" customFormat="1" ht="44.1" customHeight="1">
      <c r="B26" s="229" t="s">
        <v>145</v>
      </c>
      <c r="C26" s="230"/>
      <c r="D26" s="230"/>
      <c r="E26" s="232"/>
      <c r="F26" s="210"/>
      <c r="G26" s="229" t="s">
        <v>145</v>
      </c>
      <c r="H26" s="230"/>
      <c r="I26" s="230"/>
      <c r="J26" s="231"/>
      <c r="K26" s="8"/>
      <c r="L26" s="2"/>
      <c r="M26" s="2"/>
      <c r="N26" s="2"/>
      <c r="O26" s="2"/>
      <c r="P26" s="8"/>
      <c r="Q26" s="8"/>
      <c r="R26" s="8"/>
      <c r="S26" s="8"/>
      <c r="T26" s="8"/>
      <c r="U26" s="8"/>
      <c r="V26" s="8"/>
    </row>
    <row r="27" spans="2:22" s="43" customFormat="1" ht="44.1" customHeight="1">
      <c r="B27" s="233" t="s">
        <v>146</v>
      </c>
      <c r="C27" s="234"/>
      <c r="D27" s="234"/>
      <c r="E27" s="236"/>
      <c r="F27" s="210"/>
      <c r="G27" s="233" t="s">
        <v>146</v>
      </c>
      <c r="H27" s="234"/>
      <c r="I27" s="234"/>
      <c r="J27" s="235"/>
      <c r="K27" s="8"/>
      <c r="L27" s="2"/>
      <c r="M27" s="2"/>
      <c r="N27" s="2"/>
      <c r="O27" s="2"/>
      <c r="P27" s="8"/>
      <c r="Q27" s="8"/>
      <c r="R27" s="8"/>
      <c r="S27" s="8"/>
      <c r="T27" s="8"/>
      <c r="U27" s="8"/>
      <c r="V27" s="8"/>
    </row>
    <row r="28" spans="2:22" s="210" customFormat="1" ht="44.1" customHeight="1">
      <c r="B28" s="237" t="s">
        <v>147</v>
      </c>
      <c r="D28" s="238" t="s">
        <v>148</v>
      </c>
      <c r="E28" s="240"/>
      <c r="G28" s="237" t="s">
        <v>147</v>
      </c>
      <c r="I28" s="238" t="s">
        <v>148</v>
      </c>
      <c r="J28" s="239"/>
      <c r="L28" s="213"/>
      <c r="M28" s="213"/>
      <c r="N28" s="213"/>
      <c r="O28" s="213"/>
    </row>
    <row r="29" spans="2:22" s="43" customFormat="1" ht="18.95" customHeight="1">
      <c r="B29" s="210"/>
      <c r="C29" s="210"/>
      <c r="D29" s="210"/>
      <c r="E29" s="210"/>
      <c r="F29" s="210"/>
      <c r="G29" s="210"/>
      <c r="H29" s="210"/>
      <c r="I29" s="210"/>
      <c r="J29" s="210"/>
      <c r="K29" s="8"/>
      <c r="L29" s="2"/>
      <c r="M29" s="2"/>
      <c r="N29" s="2"/>
      <c r="O29" s="2"/>
      <c r="P29" s="8"/>
      <c r="Q29" s="8"/>
      <c r="R29" s="8"/>
      <c r="S29" s="8"/>
      <c r="T29" s="8"/>
      <c r="U29" s="8"/>
      <c r="V29" s="8"/>
    </row>
    <row r="30" spans="2:22" s="210" customFormat="1" ht="30" customHeight="1">
      <c r="B30" s="211" t="s">
        <v>135</v>
      </c>
      <c r="C30" s="211" t="s">
        <v>104</v>
      </c>
      <c r="D30" s="211" t="s">
        <v>136</v>
      </c>
      <c r="E30" s="212" t="s">
        <v>137</v>
      </c>
      <c r="G30" s="211" t="s">
        <v>135</v>
      </c>
      <c r="H30" s="211" t="s">
        <v>104</v>
      </c>
      <c r="I30" s="211" t="s">
        <v>136</v>
      </c>
      <c r="J30" s="212" t="s">
        <v>137</v>
      </c>
      <c r="K30" s="213"/>
      <c r="L30" s="213"/>
      <c r="M30" s="213"/>
      <c r="N30" s="213"/>
      <c r="O30" s="213"/>
    </row>
    <row r="31" spans="2:22" s="215" customFormat="1" ht="30" customHeight="1">
      <c r="B31" s="216" t="str">
        <f>VLOOKUP($B32,DATEX!$B$13:$I$28,2,FALSE)</f>
        <v>MECSORBIC</v>
      </c>
      <c r="C31" s="217" t="str">
        <f>VLOOKUP($B32,DATEX!$B$13:$I$28,3,FALSE)</f>
        <v>Ninbo Wanglong Tech</v>
      </c>
      <c r="D31" s="217" t="str">
        <f>VLOOKUP($B32,DATEX!$B$13:$I$28,4,FALSE)</f>
        <v>Sorbic Acid</v>
      </c>
      <c r="E31" s="218">
        <f>VLOOKUP($B32,DATEX!$B$13:$I$28,8,FALSE)</f>
        <v>103.91999999999999</v>
      </c>
      <c r="F31" s="210"/>
      <c r="G31" s="241" t="str">
        <f>VLOOKUP($G32,DATEX!$B$13:$I$28,2,FALSE)</f>
        <v>H-69241</v>
      </c>
      <c r="H31" s="220" t="str">
        <f>VLOOKUP($G32,DATEX!$B$13:$I$28,3,FALSE)</f>
        <v>Glanbia</v>
      </c>
      <c r="I31" s="220" t="str">
        <f>VLOOKUP($G32,DATEX!$B$13:$I$28,4,FALSE)</f>
        <v>Monster Energy Blend H-69241</v>
      </c>
      <c r="J31" s="221">
        <f>VLOOKUP($G32,DATEX!$B$13:$I$28,8,FALSE)</f>
        <v>1974.624</v>
      </c>
      <c r="K31" s="222"/>
      <c r="L31" s="222"/>
      <c r="M31" s="222"/>
      <c r="N31" s="222"/>
      <c r="O31" s="222"/>
    </row>
    <row r="32" spans="2:22" s="43" customFormat="1" ht="11.1" customHeight="1">
      <c r="B32" s="224">
        <v>3</v>
      </c>
      <c r="C32" s="210"/>
      <c r="D32" s="210"/>
      <c r="E32" s="210"/>
      <c r="F32" s="210"/>
      <c r="G32" s="224">
        <v>6</v>
      </c>
      <c r="H32" s="210"/>
      <c r="I32" s="210"/>
      <c r="J32" s="210"/>
      <c r="K32" s="2"/>
      <c r="L32" s="2"/>
      <c r="M32" s="2"/>
      <c r="N32" s="2"/>
      <c r="O32" s="2"/>
      <c r="P32" s="8"/>
      <c r="Q32" s="8"/>
      <c r="R32" s="8"/>
      <c r="S32" s="8"/>
      <c r="T32" s="8"/>
      <c r="U32" s="8"/>
      <c r="V32" s="8"/>
    </row>
    <row r="33" spans="2:22" s="43" customFormat="1" ht="30" customHeight="1">
      <c r="B33" s="298" t="s">
        <v>138</v>
      </c>
      <c r="C33" s="298"/>
      <c r="D33" s="212" t="s">
        <v>139</v>
      </c>
      <c r="E33" s="212" t="s">
        <v>140</v>
      </c>
      <c r="F33" s="210"/>
      <c r="G33" s="298" t="s">
        <v>138</v>
      </c>
      <c r="H33" s="298"/>
      <c r="I33" s="212" t="s">
        <v>139</v>
      </c>
      <c r="J33" s="212" t="s">
        <v>140</v>
      </c>
      <c r="K33" s="2"/>
      <c r="L33" s="2"/>
      <c r="M33" s="2"/>
      <c r="N33" s="2"/>
      <c r="O33" s="2"/>
      <c r="P33" s="8"/>
      <c r="Q33" s="8"/>
      <c r="R33" s="8"/>
      <c r="S33" s="8"/>
      <c r="T33" s="8"/>
      <c r="U33" s="8"/>
      <c r="V33" s="8"/>
    </row>
    <row r="34" spans="2:22" s="43" customFormat="1" ht="44.1" customHeight="1">
      <c r="B34" s="225" t="s">
        <v>141</v>
      </c>
      <c r="C34" s="226"/>
      <c r="D34" s="226"/>
      <c r="E34" s="227"/>
      <c r="F34" s="210"/>
      <c r="G34" s="225" t="s">
        <v>141</v>
      </c>
      <c r="H34" s="226"/>
      <c r="I34" s="226"/>
      <c r="J34" s="228"/>
      <c r="K34" s="2"/>
      <c r="L34" s="2"/>
      <c r="M34" s="2"/>
      <c r="N34" s="2"/>
      <c r="O34" s="2"/>
      <c r="P34" s="8"/>
      <c r="Q34" s="8"/>
      <c r="R34" s="8"/>
      <c r="S34" s="8"/>
      <c r="T34" s="8"/>
      <c r="U34" s="8"/>
      <c r="V34" s="8"/>
    </row>
    <row r="35" spans="2:22" s="43" customFormat="1" ht="44.1" customHeight="1">
      <c r="B35" s="229" t="s">
        <v>142</v>
      </c>
      <c r="C35" s="230"/>
      <c r="D35" s="230"/>
      <c r="E35" s="231"/>
      <c r="F35" s="210"/>
      <c r="G35" s="229" t="s">
        <v>142</v>
      </c>
      <c r="H35" s="230"/>
      <c r="I35" s="230"/>
      <c r="J35" s="232"/>
      <c r="K35" s="2"/>
      <c r="L35" s="2"/>
      <c r="M35" s="2"/>
      <c r="N35" s="2"/>
      <c r="O35" s="2"/>
      <c r="P35" s="8"/>
      <c r="Q35" s="8"/>
      <c r="R35" s="8"/>
      <c r="S35" s="8"/>
      <c r="T35" s="8"/>
      <c r="U35" s="8"/>
      <c r="V35" s="8"/>
    </row>
    <row r="36" spans="2:22" s="43" customFormat="1" ht="44.1" customHeight="1">
      <c r="B36" s="229" t="s">
        <v>143</v>
      </c>
      <c r="C36" s="230"/>
      <c r="D36" s="230"/>
      <c r="E36" s="231"/>
      <c r="F36" s="210"/>
      <c r="G36" s="229" t="s">
        <v>143</v>
      </c>
      <c r="H36" s="230"/>
      <c r="I36" s="230"/>
      <c r="J36" s="232"/>
      <c r="K36" s="2"/>
      <c r="L36" s="2"/>
      <c r="M36" s="2"/>
      <c r="N36" s="2"/>
      <c r="O36" s="2"/>
      <c r="P36" s="8"/>
      <c r="Q36" s="8"/>
      <c r="R36" s="8"/>
      <c r="S36" s="8"/>
      <c r="T36" s="8"/>
      <c r="U36" s="8"/>
      <c r="V36" s="8"/>
    </row>
    <row r="37" spans="2:22" s="43" customFormat="1" ht="44.1" customHeight="1">
      <c r="B37" s="229" t="s">
        <v>144</v>
      </c>
      <c r="C37" s="230"/>
      <c r="D37" s="230"/>
      <c r="E37" s="231"/>
      <c r="F37" s="210"/>
      <c r="G37" s="229" t="s">
        <v>144</v>
      </c>
      <c r="H37" s="230"/>
      <c r="I37" s="230"/>
      <c r="J37" s="232"/>
      <c r="K37" s="2"/>
      <c r="L37" s="2"/>
      <c r="M37" s="2"/>
      <c r="N37" s="2"/>
      <c r="O37" s="2"/>
      <c r="P37" s="8"/>
      <c r="Q37" s="8"/>
      <c r="R37" s="8"/>
      <c r="S37" s="8"/>
      <c r="T37" s="8"/>
      <c r="U37" s="8"/>
      <c r="V37" s="8"/>
    </row>
    <row r="38" spans="2:22" s="43" customFormat="1" ht="44.1" customHeight="1">
      <c r="B38" s="229" t="s">
        <v>145</v>
      </c>
      <c r="C38" s="230"/>
      <c r="D38" s="230"/>
      <c r="E38" s="231"/>
      <c r="F38" s="210"/>
      <c r="G38" s="229" t="s">
        <v>145</v>
      </c>
      <c r="H38" s="230"/>
      <c r="I38" s="230"/>
      <c r="J38" s="232"/>
      <c r="K38" s="2"/>
      <c r="L38" s="2"/>
      <c r="M38" s="2"/>
      <c r="N38" s="2"/>
      <c r="O38" s="2"/>
      <c r="P38" s="8"/>
      <c r="Q38" s="8"/>
      <c r="R38" s="8"/>
      <c r="S38" s="8"/>
      <c r="T38" s="8"/>
      <c r="U38" s="8"/>
      <c r="V38" s="8"/>
    </row>
    <row r="39" spans="2:22" s="43" customFormat="1" ht="44.1" customHeight="1">
      <c r="B39" s="233" t="s">
        <v>146</v>
      </c>
      <c r="C39" s="234"/>
      <c r="D39" s="234"/>
      <c r="E39" s="235"/>
      <c r="F39" s="210"/>
      <c r="G39" s="233" t="s">
        <v>146</v>
      </c>
      <c r="H39" s="234"/>
      <c r="I39" s="234"/>
      <c r="J39" s="236"/>
      <c r="K39" s="2"/>
      <c r="L39" s="2"/>
      <c r="M39" s="2"/>
      <c r="N39" s="2"/>
      <c r="O39" s="2"/>
      <c r="P39" s="8"/>
      <c r="Q39" s="8"/>
      <c r="R39" s="8"/>
      <c r="S39" s="8"/>
      <c r="T39" s="8"/>
      <c r="U39" s="8"/>
      <c r="V39" s="8"/>
    </row>
    <row r="40" spans="2:22" s="210" customFormat="1" ht="44.1" customHeight="1">
      <c r="B40" s="237" t="s">
        <v>147</v>
      </c>
      <c r="D40" s="238" t="s">
        <v>148</v>
      </c>
      <c r="E40" s="239"/>
      <c r="G40" s="237" t="s">
        <v>147</v>
      </c>
      <c r="I40" s="238" t="s">
        <v>148</v>
      </c>
      <c r="J40" s="240"/>
      <c r="K40" s="213"/>
      <c r="L40" s="213"/>
      <c r="M40" s="213"/>
      <c r="N40" s="213"/>
      <c r="O40" s="213"/>
    </row>
    <row r="41" spans="2:22" ht="78.95" customHeight="1">
      <c r="B41" s="243" t="s">
        <v>76</v>
      </c>
      <c r="C41" s="244"/>
      <c r="D41" s="243" t="s">
        <v>149</v>
      </c>
      <c r="E41" s="243"/>
      <c r="F41" s="245"/>
      <c r="G41" s="243" t="s">
        <v>81</v>
      </c>
      <c r="H41" s="244"/>
      <c r="I41" s="243" t="s">
        <v>149</v>
      </c>
      <c r="J41" s="243"/>
      <c r="K41" s="2"/>
      <c r="N41" s="2"/>
      <c r="O41" s="2"/>
    </row>
    <row r="42" spans="2:22" ht="25.5">
      <c r="B42" s="213"/>
      <c r="C42" s="213"/>
      <c r="D42" s="213"/>
      <c r="E42" s="245"/>
      <c r="F42" s="245"/>
      <c r="G42" s="213"/>
      <c r="H42" s="213"/>
      <c r="I42" s="213"/>
      <c r="J42" s="213"/>
    </row>
    <row r="43" spans="2:22">
      <c r="I43" s="2"/>
      <c r="J43" s="2"/>
    </row>
  </sheetData>
  <mergeCells count="9">
    <mergeCell ref="B33:C33"/>
    <mergeCell ref="G33:H33"/>
    <mergeCell ref="B2:D3"/>
    <mergeCell ref="E2:H2"/>
    <mergeCell ref="E3:H3"/>
    <mergeCell ref="B9:C9"/>
    <mergeCell ref="G9:H9"/>
    <mergeCell ref="B21:C21"/>
    <mergeCell ref="G21:H21"/>
  </mergeCells>
  <printOptions horizontalCentered="1"/>
  <pageMargins left="0.25" right="0.25" top="0.75" bottom="0.75" header="0.3" footer="0.3"/>
  <pageSetup scale="47" orientation="landscape" horizontalDpi="0" verticalDpi="0"/>
  <headerFooter>
    <oddFooter>&amp;L&amp;"-,Bold" Confidential</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1A8EA-6545-EC47-B8BB-BA91FC8390F8}">
  <sheetPr>
    <tabColor rgb="FF2362AA"/>
    <pageSetUpPr fitToPage="1"/>
  </sheetPr>
  <dimension ref="A1:AH43"/>
  <sheetViews>
    <sheetView showGridLines="0" zoomScale="50" zoomScaleNormal="100" workbookViewId="0">
      <selection activeCell="B32" sqref="B32"/>
    </sheetView>
  </sheetViews>
  <sheetFormatPr defaultColWidth="10.875" defaultRowHeight="15"/>
  <cols>
    <col min="1" max="1" width="3.625" style="1" customWidth="1"/>
    <col min="2" max="3" width="43.375" style="2" customWidth="1"/>
    <col min="4" max="4" width="96.5" style="2" customWidth="1"/>
    <col min="5" max="5" width="24.5" style="1" customWidth="1"/>
    <col min="6" max="6" width="4.875" style="1" customWidth="1"/>
    <col min="7" max="8" width="43.375" style="2" customWidth="1"/>
    <col min="9" max="9" width="96.5" style="1" customWidth="1"/>
    <col min="10" max="10" width="24.5" style="1" customWidth="1"/>
    <col min="11" max="11" width="4.875" style="1" customWidth="1"/>
    <col min="12" max="12" width="38.875" style="2" customWidth="1"/>
    <col min="13" max="13" width="34.375" style="2" customWidth="1"/>
    <col min="14" max="14" width="58.875" style="1" customWidth="1"/>
    <col min="15" max="15" width="18.875" style="1" customWidth="1"/>
    <col min="16" max="22" width="22.625" style="1" customWidth="1"/>
    <col min="23" max="23" width="11.375" style="1" customWidth="1"/>
    <col min="24" max="24" width="23.125" style="4" customWidth="1"/>
    <col min="25" max="25" width="19.875" style="4" customWidth="1"/>
    <col min="26" max="27" width="13.625" style="5" customWidth="1"/>
    <col min="28" max="29" width="10.875" style="4"/>
    <col min="30" max="30" width="11.5" style="4" bestFit="1" customWidth="1"/>
    <col min="31" max="16384" width="10.875" style="1"/>
  </cols>
  <sheetData>
    <row r="1" spans="1:34" ht="16.5">
      <c r="A1" s="4"/>
      <c r="B1" s="5"/>
      <c r="C1" s="5"/>
      <c r="D1" s="5"/>
      <c r="E1" s="4"/>
      <c r="F1" s="4"/>
      <c r="G1" s="5"/>
      <c r="H1" s="5"/>
      <c r="I1" s="4"/>
      <c r="J1" s="4"/>
      <c r="K1" s="4"/>
      <c r="L1" s="5"/>
      <c r="M1" s="5"/>
      <c r="N1" s="4"/>
      <c r="O1" s="4"/>
      <c r="P1" s="4"/>
      <c r="Q1" s="4"/>
      <c r="R1" s="4"/>
      <c r="S1" s="4"/>
      <c r="T1" s="4"/>
      <c r="U1" s="4"/>
      <c r="V1" s="4"/>
      <c r="W1" s="4"/>
      <c r="AE1" s="6"/>
      <c r="AF1" s="6"/>
      <c r="AG1" s="6"/>
      <c r="AH1" s="6"/>
    </row>
    <row r="2" spans="1:34" ht="36.950000000000003" customHeight="1">
      <c r="A2" s="4"/>
      <c r="B2" s="299" t="s">
        <v>0</v>
      </c>
      <c r="C2" s="299"/>
      <c r="D2" s="299"/>
      <c r="E2" s="300" t="str">
        <f>"Batch Lot Tracking - "&amp;'MASTER - Batch Overview'!C10</f>
        <v>Batch Lot Tracking - BXX.X.XXXX</v>
      </c>
      <c r="F2" s="300"/>
      <c r="G2" s="300"/>
      <c r="H2" s="300"/>
      <c r="I2" s="208"/>
      <c r="J2" s="208"/>
      <c r="K2" s="208"/>
      <c r="L2" s="51"/>
      <c r="M2" s="51"/>
      <c r="N2" s="51"/>
      <c r="O2" s="51"/>
      <c r="P2" s="51"/>
      <c r="Q2" s="51"/>
      <c r="R2" s="51"/>
      <c r="S2" s="51"/>
      <c r="T2" s="51"/>
      <c r="U2" s="51"/>
      <c r="V2" s="51"/>
      <c r="W2" s="51"/>
      <c r="X2" s="51"/>
      <c r="Y2" s="51"/>
      <c r="Z2" s="66"/>
      <c r="AA2" s="66"/>
      <c r="AE2" s="6"/>
      <c r="AF2" s="6"/>
      <c r="AG2" s="6"/>
      <c r="AH2" s="6"/>
    </row>
    <row r="3" spans="1:34" s="8" customFormat="1" ht="36.950000000000003" customHeight="1">
      <c r="A3" s="7"/>
      <c r="B3" s="299"/>
      <c r="C3" s="299"/>
      <c r="D3" s="299"/>
      <c r="E3" s="301" t="str">
        <f>'MASTER - Batch Overview'!D3</f>
        <v>Monster Energy - Monster Energy (New Caledonia, Tahiti) EXPORT - 9/23/24</v>
      </c>
      <c r="F3" s="301"/>
      <c r="G3" s="301"/>
      <c r="H3" s="301"/>
      <c r="I3" s="209"/>
      <c r="J3" s="209"/>
      <c r="K3" s="209"/>
      <c r="L3" s="50"/>
      <c r="M3" s="50"/>
      <c r="N3" s="50"/>
      <c r="O3" s="50"/>
      <c r="P3" s="50"/>
      <c r="Q3" s="50"/>
      <c r="R3" s="50"/>
      <c r="S3" s="50"/>
      <c r="T3" s="50"/>
      <c r="U3" s="50"/>
      <c r="V3" s="50"/>
      <c r="W3" s="50"/>
      <c r="X3" s="50"/>
      <c r="Y3" s="50"/>
      <c r="Z3" s="67"/>
      <c r="AA3" s="67"/>
      <c r="AB3" s="7"/>
      <c r="AC3" s="7"/>
      <c r="AE3" s="6"/>
      <c r="AF3" s="6"/>
      <c r="AG3" s="6"/>
      <c r="AH3" s="6"/>
    </row>
    <row r="4" spans="1:34" s="8" customFormat="1" ht="30" customHeight="1">
      <c r="A4" s="7"/>
      <c r="B4" s="79"/>
      <c r="C4" s="79"/>
      <c r="D4" s="67"/>
      <c r="E4" s="67"/>
      <c r="F4" s="67"/>
      <c r="G4" s="67"/>
      <c r="H4" s="67"/>
      <c r="I4" s="67"/>
      <c r="J4" s="67"/>
      <c r="K4" s="67"/>
      <c r="L4" s="67"/>
      <c r="M4" s="67"/>
      <c r="N4" s="50"/>
      <c r="O4" s="50"/>
      <c r="P4" s="50"/>
      <c r="Q4" s="50"/>
      <c r="R4" s="50"/>
      <c r="S4" s="50"/>
      <c r="T4" s="50"/>
      <c r="U4" s="50"/>
      <c r="V4" s="50"/>
      <c r="W4" s="50"/>
      <c r="X4" s="50"/>
      <c r="Y4" s="50"/>
      <c r="Z4" s="67"/>
      <c r="AA4" s="67"/>
      <c r="AB4" s="7"/>
      <c r="AC4" s="7"/>
      <c r="AE4" s="6"/>
      <c r="AF4" s="6"/>
      <c r="AG4" s="6"/>
      <c r="AH4" s="6"/>
    </row>
    <row r="5" spans="1:34" s="8" customFormat="1" ht="30" customHeight="1">
      <c r="A5" s="7"/>
      <c r="B5" s="79"/>
      <c r="C5" s="79"/>
      <c r="D5" s="79"/>
      <c r="E5" s="79"/>
      <c r="F5" s="67"/>
      <c r="G5" s="67"/>
      <c r="H5" s="67"/>
      <c r="I5" s="67"/>
      <c r="J5" s="67"/>
      <c r="K5" s="67"/>
      <c r="L5" s="67"/>
      <c r="M5" s="67"/>
      <c r="N5" s="67"/>
      <c r="O5" s="67"/>
      <c r="P5" s="67"/>
      <c r="Q5" s="67"/>
      <c r="R5" s="67"/>
      <c r="S5" s="67"/>
      <c r="T5" s="67"/>
      <c r="U5" s="67"/>
      <c r="V5" s="50"/>
      <c r="W5" s="50"/>
      <c r="X5" s="50"/>
      <c r="Y5" s="50"/>
      <c r="Z5" s="67"/>
      <c r="AA5" s="67"/>
      <c r="AB5" s="7"/>
      <c r="AC5" s="7"/>
      <c r="AE5" s="6"/>
      <c r="AF5" s="6"/>
      <c r="AG5" s="6"/>
      <c r="AH5" s="6"/>
    </row>
    <row r="6" spans="1:34" s="210" customFormat="1" ht="30" customHeight="1">
      <c r="B6" s="211" t="s">
        <v>135</v>
      </c>
      <c r="C6" s="211" t="s">
        <v>104</v>
      </c>
      <c r="D6" s="211" t="s">
        <v>136</v>
      </c>
      <c r="E6" s="212" t="s">
        <v>137</v>
      </c>
      <c r="G6" s="211" t="s">
        <v>135</v>
      </c>
      <c r="H6" s="211" t="s">
        <v>104</v>
      </c>
      <c r="I6" s="211" t="s">
        <v>136</v>
      </c>
      <c r="J6" s="212" t="s">
        <v>137</v>
      </c>
      <c r="L6" s="213"/>
      <c r="M6" s="213"/>
      <c r="N6" s="213"/>
      <c r="O6" s="213"/>
      <c r="Z6" s="214"/>
      <c r="AA6" s="214"/>
    </row>
    <row r="7" spans="1:34" s="215" customFormat="1" ht="30" customHeight="1">
      <c r="B7" s="216" t="str">
        <f>VLOOKUP($B8,DATEX!$B$13:$I$28,2,FALSE)</f>
        <v>MECDEXTROSE</v>
      </c>
      <c r="C7" s="217" t="str">
        <f>VLOOKUP($B8,DATEX!$B$13:$I$28,3,FALSE)</f>
        <v>Various</v>
      </c>
      <c r="D7" s="217" t="str">
        <f>VLOOKUP($B8,DATEX!$B$13:$I$28,4,FALSE)</f>
        <v>Dextrose</v>
      </c>
      <c r="E7" s="218">
        <f>VLOOKUP($B8,DATEX!$B$13:$I$28,8,FALSE)</f>
        <v>8451.9359999999997</v>
      </c>
      <c r="F7" s="210"/>
      <c r="G7" s="219" t="str">
        <f>VLOOKUP($G8,DATEX!$B$13:$I$28,2,FALSE)</f>
        <v>G-337</v>
      </c>
      <c r="H7" s="220" t="str">
        <f>VLOOKUP($G8,DATEX!$B$13:$I$28,3,FALSE)</f>
        <v>AFF</v>
      </c>
      <c r="I7" s="220" t="str">
        <f>VLOOKUP($G8,DATEX!$B$13:$I$28,4,FALSE)</f>
        <v>Panax Ginseng Extract G-337</v>
      </c>
      <c r="J7" s="221">
        <f>VLOOKUP($G8,DATEX!$B$13:$I$28,8,FALSE)</f>
        <v>338.64</v>
      </c>
      <c r="L7" s="222"/>
      <c r="M7" s="222"/>
      <c r="N7" s="222"/>
      <c r="O7" s="222"/>
      <c r="Z7" s="223"/>
      <c r="AA7" s="223"/>
    </row>
    <row r="8" spans="1:34" s="43" customFormat="1" ht="11.1" customHeight="1">
      <c r="B8" s="224">
        <v>7</v>
      </c>
      <c r="C8" s="210"/>
      <c r="D8" s="210"/>
      <c r="E8" s="210"/>
      <c r="F8" s="210"/>
      <c r="G8" s="224">
        <v>10</v>
      </c>
      <c r="H8" s="210"/>
      <c r="I8" s="210"/>
      <c r="J8" s="210"/>
      <c r="K8" s="8"/>
      <c r="L8" s="2"/>
      <c r="M8" s="2"/>
      <c r="N8" s="2"/>
      <c r="O8" s="2"/>
      <c r="P8" s="8"/>
      <c r="Q8" s="8"/>
      <c r="R8" s="8"/>
      <c r="S8" s="8"/>
      <c r="T8" s="8"/>
      <c r="U8" s="8"/>
      <c r="V8" s="8"/>
    </row>
    <row r="9" spans="1:34" s="43" customFormat="1" ht="30" customHeight="1">
      <c r="B9" s="298" t="s">
        <v>138</v>
      </c>
      <c r="C9" s="298"/>
      <c r="D9" s="212" t="s">
        <v>139</v>
      </c>
      <c r="E9" s="212" t="s">
        <v>140</v>
      </c>
      <c r="F9" s="210"/>
      <c r="G9" s="298" t="s">
        <v>138</v>
      </c>
      <c r="H9" s="298"/>
      <c r="I9" s="212" t="s">
        <v>139</v>
      </c>
      <c r="J9" s="212" t="s">
        <v>140</v>
      </c>
      <c r="K9" s="8"/>
      <c r="L9" s="2"/>
      <c r="M9" s="2"/>
      <c r="N9" s="2"/>
      <c r="O9" s="2"/>
      <c r="P9" s="8"/>
      <c r="Q9" s="8"/>
      <c r="R9" s="8"/>
      <c r="S9" s="8"/>
      <c r="T9" s="8"/>
      <c r="U9" s="8"/>
      <c r="V9" s="8"/>
    </row>
    <row r="10" spans="1:34" s="6" customFormat="1" ht="44.1" customHeight="1">
      <c r="B10" s="225" t="s">
        <v>141</v>
      </c>
      <c r="C10" s="226"/>
      <c r="D10" s="226"/>
      <c r="E10" s="227"/>
      <c r="F10" s="210"/>
      <c r="G10" s="225" t="s">
        <v>141</v>
      </c>
      <c r="H10" s="226"/>
      <c r="I10" s="226"/>
      <c r="J10" s="228"/>
      <c r="L10" s="2"/>
      <c r="M10" s="2"/>
      <c r="N10" s="2"/>
      <c r="O10" s="2"/>
      <c r="P10" s="8"/>
      <c r="Q10" s="8"/>
      <c r="R10" s="8"/>
      <c r="S10" s="8"/>
      <c r="T10" s="8"/>
      <c r="U10" s="8"/>
      <c r="V10" s="8"/>
      <c r="Z10" s="10"/>
      <c r="AA10" s="10"/>
    </row>
    <row r="11" spans="1:34" s="6" customFormat="1" ht="44.1" customHeight="1">
      <c r="B11" s="229" t="s">
        <v>142</v>
      </c>
      <c r="C11" s="230"/>
      <c r="D11" s="230"/>
      <c r="E11" s="231"/>
      <c r="F11" s="210"/>
      <c r="G11" s="229" t="s">
        <v>142</v>
      </c>
      <c r="H11" s="230"/>
      <c r="I11" s="230"/>
      <c r="J11" s="232"/>
      <c r="L11" s="2"/>
      <c r="M11" s="2"/>
      <c r="N11" s="2"/>
      <c r="O11" s="2"/>
      <c r="P11" s="8"/>
      <c r="Q11" s="8"/>
      <c r="R11" s="8"/>
      <c r="S11" s="8"/>
      <c r="T11" s="8"/>
      <c r="U11" s="8"/>
      <c r="V11" s="8"/>
      <c r="Z11" s="10"/>
      <c r="AA11" s="10"/>
    </row>
    <row r="12" spans="1:34" s="6" customFormat="1" ht="44.1" customHeight="1">
      <c r="B12" s="229" t="s">
        <v>143</v>
      </c>
      <c r="C12" s="230"/>
      <c r="D12" s="230"/>
      <c r="E12" s="231"/>
      <c r="F12" s="210"/>
      <c r="G12" s="229" t="s">
        <v>143</v>
      </c>
      <c r="H12" s="230"/>
      <c r="I12" s="230"/>
      <c r="J12" s="232"/>
      <c r="L12" s="2"/>
      <c r="M12" s="2"/>
      <c r="N12" s="2"/>
      <c r="O12" s="2"/>
      <c r="P12" s="8"/>
      <c r="Q12" s="8"/>
      <c r="R12" s="8"/>
      <c r="S12" s="8"/>
      <c r="T12" s="8"/>
      <c r="U12" s="8"/>
      <c r="V12" s="8"/>
      <c r="Z12" s="10"/>
      <c r="AA12" s="10"/>
    </row>
    <row r="13" spans="1:34" s="6" customFormat="1" ht="44.1" customHeight="1">
      <c r="B13" s="229" t="s">
        <v>144</v>
      </c>
      <c r="C13" s="230"/>
      <c r="D13" s="230"/>
      <c r="E13" s="231"/>
      <c r="F13" s="210"/>
      <c r="G13" s="229" t="s">
        <v>144</v>
      </c>
      <c r="H13" s="230"/>
      <c r="I13" s="230"/>
      <c r="J13" s="232"/>
      <c r="L13" s="2"/>
      <c r="M13" s="2"/>
      <c r="N13" s="2"/>
      <c r="O13" s="2"/>
      <c r="P13" s="8"/>
      <c r="Q13" s="8"/>
      <c r="R13" s="8"/>
      <c r="S13" s="8"/>
      <c r="T13" s="8"/>
      <c r="U13" s="8"/>
      <c r="V13" s="8"/>
      <c r="Z13" s="10"/>
      <c r="AA13" s="10"/>
    </row>
    <row r="14" spans="1:34" s="6" customFormat="1" ht="44.1" customHeight="1">
      <c r="B14" s="229" t="s">
        <v>145</v>
      </c>
      <c r="C14" s="230"/>
      <c r="D14" s="230"/>
      <c r="E14" s="231"/>
      <c r="F14" s="210"/>
      <c r="G14" s="229" t="s">
        <v>145</v>
      </c>
      <c r="H14" s="230"/>
      <c r="I14" s="230"/>
      <c r="J14" s="232"/>
      <c r="L14" s="2"/>
      <c r="M14" s="2"/>
      <c r="N14" s="2"/>
      <c r="O14" s="2"/>
      <c r="P14" s="8"/>
      <c r="Q14" s="8"/>
      <c r="R14" s="8"/>
      <c r="S14" s="8"/>
      <c r="T14" s="8"/>
      <c r="U14" s="8"/>
      <c r="V14" s="8"/>
    </row>
    <row r="15" spans="1:34" s="43" customFormat="1" ht="44.1" customHeight="1">
      <c r="B15" s="233" t="s">
        <v>146</v>
      </c>
      <c r="C15" s="234"/>
      <c r="D15" s="234"/>
      <c r="E15" s="235"/>
      <c r="F15" s="210"/>
      <c r="G15" s="233" t="s">
        <v>146</v>
      </c>
      <c r="H15" s="234"/>
      <c r="I15" s="234"/>
      <c r="J15" s="236"/>
      <c r="L15" s="2"/>
      <c r="M15" s="2"/>
      <c r="N15" s="2"/>
      <c r="O15" s="2"/>
      <c r="P15" s="8"/>
      <c r="Q15" s="8"/>
      <c r="R15" s="8"/>
      <c r="S15" s="8"/>
      <c r="T15" s="8"/>
      <c r="U15" s="8"/>
      <c r="V15" s="8"/>
    </row>
    <row r="16" spans="1:34" s="210" customFormat="1" ht="44.1" customHeight="1">
      <c r="B16" s="237" t="s">
        <v>147</v>
      </c>
      <c r="D16" s="238" t="s">
        <v>148</v>
      </c>
      <c r="E16" s="239"/>
      <c r="G16" s="237" t="s">
        <v>147</v>
      </c>
      <c r="I16" s="238" t="s">
        <v>148</v>
      </c>
      <c r="J16" s="240"/>
      <c r="L16" s="213"/>
      <c r="M16" s="213"/>
      <c r="N16" s="213"/>
      <c r="O16" s="213"/>
    </row>
    <row r="17" spans="2:22" s="43" customFormat="1" ht="18.95" customHeight="1">
      <c r="B17" s="210"/>
      <c r="C17" s="210"/>
      <c r="D17" s="210"/>
      <c r="E17" s="210"/>
      <c r="F17" s="210"/>
      <c r="G17" s="210"/>
      <c r="H17" s="210"/>
      <c r="I17" s="210"/>
      <c r="J17" s="210"/>
      <c r="K17" s="8"/>
      <c r="L17" s="2"/>
      <c r="M17" s="2"/>
      <c r="N17" s="2"/>
      <c r="O17" s="2"/>
      <c r="P17" s="8"/>
      <c r="Q17" s="8"/>
      <c r="R17" s="8"/>
      <c r="S17" s="8"/>
      <c r="T17" s="8"/>
      <c r="U17" s="8"/>
      <c r="V17" s="8"/>
    </row>
    <row r="18" spans="2:22" s="210" customFormat="1" ht="30" customHeight="1">
      <c r="B18" s="211" t="s">
        <v>135</v>
      </c>
      <c r="C18" s="211" t="s">
        <v>104</v>
      </c>
      <c r="D18" s="211" t="s">
        <v>136</v>
      </c>
      <c r="E18" s="212" t="s">
        <v>137</v>
      </c>
      <c r="G18" s="211" t="s">
        <v>135</v>
      </c>
      <c r="H18" s="211" t="s">
        <v>104</v>
      </c>
      <c r="I18" s="211" t="s">
        <v>136</v>
      </c>
      <c r="J18" s="212" t="s">
        <v>137</v>
      </c>
      <c r="L18" s="213"/>
      <c r="M18" s="213"/>
      <c r="N18" s="213"/>
      <c r="O18" s="213"/>
    </row>
    <row r="19" spans="2:22" s="215" customFormat="1" ht="30" customHeight="1">
      <c r="B19" s="241" t="str">
        <f>VLOOKUP($B20,DATEX!$B$13:$I$28,2,FALSE)</f>
        <v>MECCITRIC</v>
      </c>
      <c r="C19" s="220" t="str">
        <f>VLOOKUP($B20,DATEX!$B$13:$I$28,3,FALSE)</f>
        <v>NutraChem</v>
      </c>
      <c r="D19" s="220" t="str">
        <f>VLOOKUP($B20,DATEX!$B$13:$I$28,4,FALSE)</f>
        <v>Anhydrous Citric Acid</v>
      </c>
      <c r="E19" s="221">
        <f>VLOOKUP($B20,DATEX!$B$13:$I$28,8,FALSE)</f>
        <v>2044.5119999999999</v>
      </c>
      <c r="F19" s="210"/>
      <c r="G19" s="242" t="str">
        <f>VLOOKUP($G20,DATEX!$B$13:$I$28,2,FALSE)</f>
        <v>B-288</v>
      </c>
      <c r="H19" s="217" t="str">
        <f>VLOOKUP($G20,DATEX!$B$13:$I$28,3,FALSE)</f>
        <v>AFF</v>
      </c>
      <c r="I19" s="217" t="str">
        <f>VLOOKUP($G20,DATEX!$B$13:$I$28,4,FALSE)</f>
        <v>Monster Energy Flavor B-288</v>
      </c>
      <c r="J19" s="218">
        <f>VLOOKUP($G20,DATEX!$B$13:$I$28,8,FALSE)</f>
        <v>1694.3999999999999</v>
      </c>
      <c r="L19" s="222"/>
      <c r="M19" s="222"/>
      <c r="N19" s="222"/>
      <c r="O19" s="222"/>
    </row>
    <row r="20" spans="2:22" s="43" customFormat="1" ht="11.1" customHeight="1">
      <c r="B20" s="224">
        <v>8</v>
      </c>
      <c r="C20" s="210"/>
      <c r="D20" s="210"/>
      <c r="E20" s="210"/>
      <c r="F20" s="210"/>
      <c r="G20" s="224">
        <v>11</v>
      </c>
      <c r="H20" s="210"/>
      <c r="I20" s="210"/>
      <c r="J20" s="210"/>
      <c r="K20" s="8"/>
      <c r="L20" s="2"/>
      <c r="M20" s="2"/>
      <c r="N20" s="2"/>
      <c r="O20" s="2"/>
      <c r="P20" s="8"/>
      <c r="Q20" s="8"/>
      <c r="R20" s="8"/>
      <c r="S20" s="8"/>
      <c r="T20" s="8"/>
      <c r="U20" s="8"/>
      <c r="V20" s="8"/>
    </row>
    <row r="21" spans="2:22" s="43" customFormat="1" ht="30" customHeight="1">
      <c r="B21" s="298" t="s">
        <v>138</v>
      </c>
      <c r="C21" s="298"/>
      <c r="D21" s="212" t="s">
        <v>139</v>
      </c>
      <c r="E21" s="212" t="s">
        <v>140</v>
      </c>
      <c r="F21" s="210"/>
      <c r="G21" s="298" t="s">
        <v>138</v>
      </c>
      <c r="H21" s="298"/>
      <c r="I21" s="212" t="s">
        <v>139</v>
      </c>
      <c r="J21" s="212" t="s">
        <v>140</v>
      </c>
      <c r="K21" s="8"/>
      <c r="L21" s="2"/>
      <c r="M21" s="2"/>
      <c r="N21" s="2"/>
      <c r="O21" s="2"/>
      <c r="P21" s="8"/>
      <c r="Q21" s="8"/>
      <c r="R21" s="8"/>
      <c r="S21" s="8"/>
      <c r="T21" s="8"/>
      <c r="U21" s="8"/>
      <c r="V21" s="8"/>
    </row>
    <row r="22" spans="2:22" s="43" customFormat="1" ht="44.1" customHeight="1">
      <c r="B22" s="225" t="s">
        <v>141</v>
      </c>
      <c r="C22" s="226"/>
      <c r="D22" s="226"/>
      <c r="E22" s="228"/>
      <c r="F22" s="210"/>
      <c r="G22" s="225" t="s">
        <v>141</v>
      </c>
      <c r="H22" s="226"/>
      <c r="I22" s="226"/>
      <c r="J22" s="227"/>
      <c r="K22" s="8"/>
      <c r="L22" s="2"/>
      <c r="M22" s="2"/>
      <c r="N22" s="2"/>
      <c r="O22" s="2"/>
      <c r="P22" s="8"/>
      <c r="Q22" s="8"/>
      <c r="R22" s="8"/>
      <c r="S22" s="8"/>
      <c r="T22" s="8"/>
      <c r="U22" s="8"/>
      <c r="V22" s="8"/>
    </row>
    <row r="23" spans="2:22" s="43" customFormat="1" ht="44.1" customHeight="1">
      <c r="B23" s="229" t="s">
        <v>142</v>
      </c>
      <c r="C23" s="230"/>
      <c r="D23" s="230"/>
      <c r="E23" s="232"/>
      <c r="F23" s="210"/>
      <c r="G23" s="229" t="s">
        <v>142</v>
      </c>
      <c r="H23" s="230"/>
      <c r="I23" s="230"/>
      <c r="J23" s="231"/>
      <c r="K23" s="8"/>
      <c r="L23" s="2"/>
      <c r="M23" s="2"/>
      <c r="N23" s="2"/>
      <c r="O23" s="2"/>
      <c r="P23" s="8"/>
      <c r="Q23" s="8"/>
      <c r="R23" s="8"/>
      <c r="S23" s="8"/>
      <c r="T23" s="8"/>
      <c r="U23" s="8"/>
      <c r="V23" s="8"/>
    </row>
    <row r="24" spans="2:22" s="43" customFormat="1" ht="44.1" customHeight="1">
      <c r="B24" s="229" t="s">
        <v>143</v>
      </c>
      <c r="C24" s="230"/>
      <c r="D24" s="230"/>
      <c r="E24" s="232"/>
      <c r="F24" s="210"/>
      <c r="G24" s="229" t="s">
        <v>143</v>
      </c>
      <c r="H24" s="230"/>
      <c r="I24" s="230"/>
      <c r="J24" s="231"/>
      <c r="K24" s="8"/>
      <c r="L24" s="2"/>
      <c r="M24" s="2"/>
      <c r="N24" s="2"/>
      <c r="O24" s="2"/>
      <c r="P24" s="8"/>
      <c r="Q24" s="8"/>
      <c r="R24" s="8"/>
      <c r="S24" s="8"/>
      <c r="T24" s="8"/>
      <c r="U24" s="8"/>
      <c r="V24" s="8"/>
    </row>
    <row r="25" spans="2:22" s="43" customFormat="1" ht="44.1" customHeight="1">
      <c r="B25" s="229" t="s">
        <v>144</v>
      </c>
      <c r="C25" s="230"/>
      <c r="D25" s="230"/>
      <c r="E25" s="232"/>
      <c r="F25" s="210"/>
      <c r="G25" s="229" t="s">
        <v>144</v>
      </c>
      <c r="H25" s="230"/>
      <c r="I25" s="230"/>
      <c r="J25" s="231"/>
      <c r="K25" s="8"/>
      <c r="L25" s="2"/>
      <c r="M25" s="2"/>
      <c r="N25" s="2"/>
      <c r="O25" s="2"/>
      <c r="P25" s="8"/>
      <c r="Q25" s="8"/>
      <c r="R25" s="8"/>
      <c r="S25" s="8"/>
      <c r="T25" s="8"/>
      <c r="U25" s="8"/>
      <c r="V25" s="8"/>
    </row>
    <row r="26" spans="2:22" s="43" customFormat="1" ht="44.1" customHeight="1">
      <c r="B26" s="229" t="s">
        <v>145</v>
      </c>
      <c r="C26" s="230"/>
      <c r="D26" s="230"/>
      <c r="E26" s="232"/>
      <c r="F26" s="210"/>
      <c r="G26" s="229" t="s">
        <v>145</v>
      </c>
      <c r="H26" s="230"/>
      <c r="I26" s="230"/>
      <c r="J26" s="231"/>
      <c r="K26" s="8"/>
      <c r="L26" s="2"/>
      <c r="M26" s="2"/>
      <c r="N26" s="2"/>
      <c r="O26" s="2"/>
      <c r="P26" s="8"/>
      <c r="Q26" s="8"/>
      <c r="R26" s="8"/>
      <c r="S26" s="8"/>
      <c r="T26" s="8"/>
      <c r="U26" s="8"/>
      <c r="V26" s="8"/>
    </row>
    <row r="27" spans="2:22" s="43" customFormat="1" ht="44.1" customHeight="1">
      <c r="B27" s="233" t="s">
        <v>146</v>
      </c>
      <c r="C27" s="234"/>
      <c r="D27" s="234"/>
      <c r="E27" s="236"/>
      <c r="F27" s="210"/>
      <c r="G27" s="233" t="s">
        <v>146</v>
      </c>
      <c r="H27" s="234"/>
      <c r="I27" s="234"/>
      <c r="J27" s="235"/>
      <c r="K27" s="8"/>
      <c r="L27" s="2"/>
      <c r="M27" s="2"/>
      <c r="N27" s="2"/>
      <c r="O27" s="2"/>
      <c r="P27" s="8"/>
      <c r="Q27" s="8"/>
      <c r="R27" s="8"/>
      <c r="S27" s="8"/>
      <c r="T27" s="8"/>
      <c r="U27" s="8"/>
      <c r="V27" s="8"/>
    </row>
    <row r="28" spans="2:22" s="210" customFormat="1" ht="44.1" customHeight="1">
      <c r="B28" s="237" t="s">
        <v>147</v>
      </c>
      <c r="D28" s="238" t="s">
        <v>148</v>
      </c>
      <c r="E28" s="240"/>
      <c r="G28" s="237" t="s">
        <v>147</v>
      </c>
      <c r="I28" s="238" t="s">
        <v>148</v>
      </c>
      <c r="J28" s="239"/>
      <c r="L28" s="213"/>
      <c r="M28" s="213"/>
      <c r="N28" s="213"/>
      <c r="O28" s="213"/>
    </row>
    <row r="29" spans="2:22" s="43" customFormat="1" ht="18.95" customHeight="1">
      <c r="B29" s="210"/>
      <c r="C29" s="210"/>
      <c r="D29" s="210"/>
      <c r="E29" s="210"/>
      <c r="F29" s="210"/>
      <c r="G29" s="210"/>
      <c r="H29" s="210"/>
      <c r="I29" s="210"/>
      <c r="J29" s="210"/>
      <c r="K29" s="8"/>
      <c r="L29" s="2"/>
      <c r="M29" s="2"/>
      <c r="N29" s="2"/>
      <c r="O29" s="2"/>
      <c r="P29" s="8"/>
      <c r="Q29" s="8"/>
      <c r="R29" s="8"/>
      <c r="S29" s="8"/>
      <c r="T29" s="8"/>
      <c r="U29" s="8"/>
      <c r="V29" s="8"/>
    </row>
    <row r="30" spans="2:22" s="210" customFormat="1" ht="30" customHeight="1">
      <c r="B30" s="211" t="s">
        <v>135</v>
      </c>
      <c r="C30" s="211" t="s">
        <v>104</v>
      </c>
      <c r="D30" s="211" t="s">
        <v>136</v>
      </c>
      <c r="E30" s="212" t="s">
        <v>137</v>
      </c>
      <c r="G30" s="211" t="s">
        <v>135</v>
      </c>
      <c r="H30" s="211" t="s">
        <v>104</v>
      </c>
      <c r="I30" s="211" t="s">
        <v>136</v>
      </c>
      <c r="J30" s="212" t="s">
        <v>137</v>
      </c>
      <c r="K30" s="213"/>
      <c r="L30" s="213"/>
      <c r="M30" s="213"/>
      <c r="N30" s="213"/>
      <c r="O30" s="213"/>
    </row>
    <row r="31" spans="2:22" s="215" customFormat="1" ht="30" customHeight="1">
      <c r="B31" s="216" t="str">
        <f>VLOOKUP($B32,DATEX!$B$13:$I$28,2,FALSE)</f>
        <v>1300101717900</v>
      </c>
      <c r="C31" s="217" t="str">
        <f>VLOOKUP($B32,DATEX!$B$13:$I$28,3,FALSE)</f>
        <v>Tate &amp; Lyle</v>
      </c>
      <c r="D31" s="217" t="str">
        <f>VLOOKUP($B32,DATEX!$B$13:$I$28,4,FALSE)</f>
        <v>Sucralose (25% Solution)</v>
      </c>
      <c r="E31" s="218">
        <f>VLOOKUP($B32,DATEX!$B$13:$I$28,8,FALSE)</f>
        <v>67.2</v>
      </c>
      <c r="F31" s="210"/>
      <c r="G31" s="241" t="str">
        <f>VLOOKUP($G32,DATEX!$B$13:$I$28,2,FALSE)</f>
        <v>020845</v>
      </c>
      <c r="H31" s="220" t="str">
        <f>VLOOKUP($G32,DATEX!$B$13:$I$28,3,FALSE)</f>
        <v>AFF</v>
      </c>
      <c r="I31" s="220" t="str">
        <f>VLOOKUP($G32,DATEX!$B$13:$I$28,4,FALSE)</f>
        <v>Ruby Red PE 020845</v>
      </c>
      <c r="J31" s="221">
        <f>VLOOKUP($G32,DATEX!$B$13:$I$28,8,FALSE)</f>
        <v>29.395200000000003</v>
      </c>
      <c r="K31" s="222"/>
      <c r="L31" s="222"/>
      <c r="M31" s="222"/>
      <c r="N31" s="222"/>
      <c r="O31" s="222"/>
    </row>
    <row r="32" spans="2:22" s="43" customFormat="1" ht="11.1" customHeight="1">
      <c r="B32" s="224">
        <v>9</v>
      </c>
      <c r="C32" s="210"/>
      <c r="D32" s="210"/>
      <c r="E32" s="210"/>
      <c r="F32" s="210"/>
      <c r="G32" s="224">
        <v>12</v>
      </c>
      <c r="H32" s="210"/>
      <c r="I32" s="210"/>
      <c r="J32" s="210"/>
      <c r="K32" s="2"/>
      <c r="L32" s="2"/>
      <c r="M32" s="2"/>
      <c r="N32" s="2"/>
      <c r="O32" s="2"/>
      <c r="P32" s="8"/>
      <c r="Q32" s="8"/>
      <c r="R32" s="8"/>
      <c r="S32" s="8"/>
      <c r="T32" s="8"/>
      <c r="U32" s="8"/>
      <c r="V32" s="8"/>
    </row>
    <row r="33" spans="2:22" s="43" customFormat="1" ht="30" customHeight="1">
      <c r="B33" s="298" t="s">
        <v>138</v>
      </c>
      <c r="C33" s="298"/>
      <c r="D33" s="212" t="s">
        <v>139</v>
      </c>
      <c r="E33" s="212" t="s">
        <v>140</v>
      </c>
      <c r="F33" s="210"/>
      <c r="G33" s="298" t="s">
        <v>138</v>
      </c>
      <c r="H33" s="298"/>
      <c r="I33" s="212" t="s">
        <v>139</v>
      </c>
      <c r="J33" s="212" t="s">
        <v>140</v>
      </c>
      <c r="K33" s="2"/>
      <c r="L33" s="2"/>
      <c r="M33" s="2"/>
      <c r="N33" s="2"/>
      <c r="O33" s="2"/>
      <c r="P33" s="8"/>
      <c r="Q33" s="8"/>
      <c r="R33" s="8"/>
      <c r="S33" s="8"/>
      <c r="T33" s="8"/>
      <c r="U33" s="8"/>
      <c r="V33" s="8"/>
    </row>
    <row r="34" spans="2:22" s="43" customFormat="1" ht="44.1" customHeight="1">
      <c r="B34" s="225" t="s">
        <v>141</v>
      </c>
      <c r="C34" s="226"/>
      <c r="D34" s="226"/>
      <c r="E34" s="227"/>
      <c r="F34" s="210"/>
      <c r="G34" s="225" t="s">
        <v>141</v>
      </c>
      <c r="H34" s="226"/>
      <c r="I34" s="226"/>
      <c r="J34" s="228"/>
      <c r="K34" s="2"/>
      <c r="L34" s="2"/>
      <c r="M34" s="2"/>
      <c r="N34" s="2"/>
      <c r="O34" s="2"/>
      <c r="P34" s="8"/>
      <c r="Q34" s="8"/>
      <c r="R34" s="8"/>
      <c r="S34" s="8"/>
      <c r="T34" s="8"/>
      <c r="U34" s="8"/>
      <c r="V34" s="8"/>
    </row>
    <row r="35" spans="2:22" s="43" customFormat="1" ht="44.1" customHeight="1">
      <c r="B35" s="229" t="s">
        <v>142</v>
      </c>
      <c r="C35" s="230"/>
      <c r="D35" s="230"/>
      <c r="E35" s="231"/>
      <c r="F35" s="210"/>
      <c r="G35" s="229" t="s">
        <v>142</v>
      </c>
      <c r="H35" s="230"/>
      <c r="I35" s="230"/>
      <c r="J35" s="232"/>
      <c r="K35" s="2"/>
      <c r="L35" s="2"/>
      <c r="M35" s="2"/>
      <c r="N35" s="2"/>
      <c r="O35" s="2"/>
      <c r="P35" s="8"/>
      <c r="Q35" s="8"/>
      <c r="R35" s="8"/>
      <c r="S35" s="8"/>
      <c r="T35" s="8"/>
      <c r="U35" s="8"/>
      <c r="V35" s="8"/>
    </row>
    <row r="36" spans="2:22" s="43" customFormat="1" ht="44.1" customHeight="1">
      <c r="B36" s="229" t="s">
        <v>143</v>
      </c>
      <c r="C36" s="230"/>
      <c r="D36" s="230"/>
      <c r="E36" s="231"/>
      <c r="F36" s="210"/>
      <c r="G36" s="229" t="s">
        <v>143</v>
      </c>
      <c r="H36" s="230"/>
      <c r="I36" s="230"/>
      <c r="J36" s="232"/>
      <c r="K36" s="2"/>
      <c r="L36" s="2"/>
      <c r="M36" s="2"/>
      <c r="N36" s="2"/>
      <c r="O36" s="2"/>
      <c r="P36" s="8"/>
      <c r="Q36" s="8"/>
      <c r="R36" s="8"/>
      <c r="S36" s="8"/>
      <c r="T36" s="8"/>
      <c r="U36" s="8"/>
      <c r="V36" s="8"/>
    </row>
    <row r="37" spans="2:22" s="43" customFormat="1" ht="44.1" customHeight="1">
      <c r="B37" s="229" t="s">
        <v>144</v>
      </c>
      <c r="C37" s="230"/>
      <c r="D37" s="230"/>
      <c r="E37" s="231"/>
      <c r="F37" s="210"/>
      <c r="G37" s="229" t="s">
        <v>144</v>
      </c>
      <c r="H37" s="230"/>
      <c r="I37" s="230"/>
      <c r="J37" s="232"/>
      <c r="K37" s="2"/>
      <c r="L37" s="2"/>
      <c r="M37" s="2"/>
      <c r="N37" s="2"/>
      <c r="O37" s="2"/>
      <c r="P37" s="8"/>
      <c r="Q37" s="8"/>
      <c r="R37" s="8"/>
      <c r="S37" s="8"/>
      <c r="T37" s="8"/>
      <c r="U37" s="8"/>
      <c r="V37" s="8"/>
    </row>
    <row r="38" spans="2:22" s="43" customFormat="1" ht="44.1" customHeight="1">
      <c r="B38" s="229" t="s">
        <v>145</v>
      </c>
      <c r="C38" s="230"/>
      <c r="D38" s="230"/>
      <c r="E38" s="231"/>
      <c r="F38" s="210"/>
      <c r="G38" s="229" t="s">
        <v>145</v>
      </c>
      <c r="H38" s="230"/>
      <c r="I38" s="230"/>
      <c r="J38" s="232"/>
      <c r="K38" s="2"/>
      <c r="L38" s="2"/>
      <c r="M38" s="2"/>
      <c r="N38" s="2"/>
      <c r="O38" s="2"/>
      <c r="P38" s="8"/>
      <c r="Q38" s="8"/>
      <c r="R38" s="8"/>
      <c r="S38" s="8"/>
      <c r="T38" s="8"/>
      <c r="U38" s="8"/>
      <c r="V38" s="8"/>
    </row>
    <row r="39" spans="2:22" s="43" customFormat="1" ht="44.1" customHeight="1">
      <c r="B39" s="233" t="s">
        <v>146</v>
      </c>
      <c r="C39" s="234"/>
      <c r="D39" s="234"/>
      <c r="E39" s="235"/>
      <c r="F39" s="210"/>
      <c r="G39" s="233" t="s">
        <v>146</v>
      </c>
      <c r="H39" s="234"/>
      <c r="I39" s="234"/>
      <c r="J39" s="236"/>
      <c r="K39" s="2"/>
      <c r="L39" s="2"/>
      <c r="M39" s="2"/>
      <c r="N39" s="2"/>
      <c r="O39" s="2"/>
      <c r="P39" s="8"/>
      <c r="Q39" s="8"/>
      <c r="R39" s="8"/>
      <c r="S39" s="8"/>
      <c r="T39" s="8"/>
      <c r="U39" s="8"/>
      <c r="V39" s="8"/>
    </row>
    <row r="40" spans="2:22" s="210" customFormat="1" ht="44.1" customHeight="1">
      <c r="B40" s="237" t="s">
        <v>147</v>
      </c>
      <c r="D40" s="238" t="s">
        <v>148</v>
      </c>
      <c r="E40" s="239"/>
      <c r="G40" s="237" t="s">
        <v>147</v>
      </c>
      <c r="I40" s="238" t="s">
        <v>148</v>
      </c>
      <c r="J40" s="240"/>
      <c r="K40" s="213"/>
      <c r="L40" s="213"/>
      <c r="M40" s="213"/>
      <c r="N40" s="213"/>
      <c r="O40" s="213"/>
    </row>
    <row r="41" spans="2:22" ht="78.95" customHeight="1">
      <c r="B41" s="243" t="s">
        <v>76</v>
      </c>
      <c r="C41" s="244"/>
      <c r="D41" s="243" t="s">
        <v>149</v>
      </c>
      <c r="E41" s="243"/>
      <c r="F41" s="245"/>
      <c r="G41" s="243" t="s">
        <v>81</v>
      </c>
      <c r="H41" s="244"/>
      <c r="I41" s="243" t="s">
        <v>149</v>
      </c>
      <c r="J41" s="243"/>
      <c r="K41" s="2"/>
      <c r="N41" s="2"/>
      <c r="O41" s="2"/>
    </row>
    <row r="42" spans="2:22" ht="25.5">
      <c r="B42" s="213"/>
      <c r="C42" s="213"/>
      <c r="D42" s="213"/>
      <c r="E42" s="245"/>
      <c r="F42" s="245"/>
      <c r="G42" s="213"/>
      <c r="H42" s="213"/>
      <c r="I42" s="213"/>
      <c r="J42" s="213"/>
    </row>
    <row r="43" spans="2:22">
      <c r="I43" s="2"/>
      <c r="J43" s="2"/>
    </row>
  </sheetData>
  <mergeCells count="9">
    <mergeCell ref="B33:C33"/>
    <mergeCell ref="G33:H33"/>
    <mergeCell ref="B2:D3"/>
    <mergeCell ref="E2:H2"/>
    <mergeCell ref="E3:H3"/>
    <mergeCell ref="B9:C9"/>
    <mergeCell ref="G9:H9"/>
    <mergeCell ref="B21:C21"/>
    <mergeCell ref="G21:H21"/>
  </mergeCells>
  <printOptions horizontalCentered="1"/>
  <pageMargins left="0.25" right="0.25" top="0.75" bottom="0.75" header="0.3" footer="0.3"/>
  <pageSetup scale="47" orientation="landscape" horizontalDpi="0" verticalDpi="0"/>
  <headerFooter>
    <oddFooter>&amp;L&amp;"-,Bold" Confidential</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896D6-3903-F146-93FB-36E98AA7CD1A}">
  <sheetPr>
    <tabColor rgb="FFFF0000"/>
    <pageSetUpPr fitToPage="1"/>
  </sheetPr>
  <dimension ref="B2:L32"/>
  <sheetViews>
    <sheetView zoomScaleNormal="100" workbookViewId="0">
      <selection activeCell="I13" sqref="I13:I24"/>
    </sheetView>
  </sheetViews>
  <sheetFormatPr defaultColWidth="11" defaultRowHeight="15.75"/>
  <cols>
    <col min="1" max="1" width="3.625" customWidth="1"/>
    <col min="2" max="2" width="25.625" bestFit="1" customWidth="1"/>
    <col min="3" max="4" width="17.125" customWidth="1"/>
    <col min="5" max="5" width="46.875" customWidth="1"/>
    <col min="6" max="6" width="11.125" customWidth="1"/>
    <col min="15" max="15" width="11.625" bestFit="1" customWidth="1"/>
  </cols>
  <sheetData>
    <row r="2" spans="2:9">
      <c r="B2" t="s">
        <v>150</v>
      </c>
      <c r="C2" s="148" t="s">
        <v>151</v>
      </c>
    </row>
    <row r="3" spans="2:9">
      <c r="B3" t="s">
        <v>136</v>
      </c>
      <c r="C3" s="148" t="s">
        <v>152</v>
      </c>
      <c r="D3" s="248"/>
      <c r="E3" s="248"/>
      <c r="F3" s="248"/>
      <c r="G3" s="248"/>
    </row>
    <row r="4" spans="2:9">
      <c r="B4" t="s">
        <v>25</v>
      </c>
      <c r="C4" s="148" t="s">
        <v>153</v>
      </c>
      <c r="D4" s="248"/>
      <c r="E4" s="248"/>
      <c r="F4" s="248"/>
      <c r="G4" s="248"/>
    </row>
    <row r="5" spans="2:9">
      <c r="B5" t="s">
        <v>154</v>
      </c>
      <c r="C5" s="149">
        <v>45154</v>
      </c>
      <c r="D5" s="248"/>
      <c r="E5" s="249"/>
      <c r="F5" s="249"/>
      <c r="G5" s="248"/>
    </row>
    <row r="6" spans="2:9">
      <c r="B6" t="s">
        <v>155</v>
      </c>
      <c r="C6" s="149">
        <v>45154</v>
      </c>
      <c r="D6" s="248"/>
      <c r="E6" s="249"/>
      <c r="F6" s="249"/>
      <c r="G6" s="248"/>
    </row>
    <row r="7" spans="2:9">
      <c r="B7" t="s">
        <v>156</v>
      </c>
      <c r="C7" s="150">
        <v>250</v>
      </c>
      <c r="D7" s="248"/>
      <c r="E7" s="250"/>
      <c r="F7" s="250"/>
      <c r="G7" s="248"/>
    </row>
    <row r="8" spans="2:9">
      <c r="B8" t="s">
        <v>157</v>
      </c>
      <c r="C8" s="150">
        <v>3</v>
      </c>
      <c r="D8" s="248"/>
      <c r="E8" s="250"/>
      <c r="F8" s="250"/>
      <c r="G8" s="248"/>
    </row>
    <row r="9" spans="2:9">
      <c r="B9" t="s">
        <v>158</v>
      </c>
      <c r="C9" s="131">
        <f>C7*(1+C8)</f>
        <v>1000</v>
      </c>
      <c r="D9" s="248"/>
      <c r="E9" s="250"/>
      <c r="F9" s="250"/>
      <c r="G9" s="248"/>
      <c r="I9">
        <f>'MASTER - Batch Instructions'!J80</f>
        <v>12000</v>
      </c>
    </row>
    <row r="10" spans="2:9">
      <c r="D10" s="248"/>
      <c r="E10" s="248"/>
      <c r="F10" s="248"/>
      <c r="G10" s="248"/>
      <c r="H10" s="69" t="s">
        <v>159</v>
      </c>
      <c r="I10" s="169" t="s">
        <v>160</v>
      </c>
    </row>
    <row r="11" spans="2:9">
      <c r="B11" s="137" t="s">
        <v>161</v>
      </c>
      <c r="C11" s="137" t="s">
        <v>135</v>
      </c>
      <c r="D11" s="251" t="s">
        <v>104</v>
      </c>
      <c r="E11" s="251" t="s">
        <v>162</v>
      </c>
      <c r="F11" s="251" t="s">
        <v>105</v>
      </c>
      <c r="G11" s="251" t="s">
        <v>163</v>
      </c>
      <c r="H11" s="69" t="s">
        <v>164</v>
      </c>
      <c r="I11" s="169" t="s">
        <v>165</v>
      </c>
    </row>
    <row r="12" spans="2:9">
      <c r="D12" s="248"/>
      <c r="E12" s="248" t="s">
        <v>166</v>
      </c>
      <c r="F12" s="248"/>
      <c r="G12" s="142">
        <f>8.33*116.2348</f>
        <v>968.23588400000006</v>
      </c>
      <c r="H12" s="132">
        <f t="shared" ref="H12:H23" si="0">G12/$C$7</f>
        <v>3.8729435360000002</v>
      </c>
      <c r="I12" s="170"/>
    </row>
    <row r="13" spans="2:9">
      <c r="B13" s="142">
        <v>1</v>
      </c>
      <c r="C13" s="142" t="s">
        <v>167</v>
      </c>
      <c r="D13" s="248" t="s">
        <v>168</v>
      </c>
      <c r="E13" s="248" t="str">
        <f>"Liquid Sucrose 66.5° Brix ("&amp;TEXT(I13/11.053,"0,0.0")&amp;" gal.)"</f>
        <v>Liquid Sucrose 66.5° Brix (5,085.8 gal.)</v>
      </c>
      <c r="F13" s="248" t="s">
        <v>119</v>
      </c>
      <c r="G13" s="272">
        <f>11.053*105.9548</f>
        <v>1171.1184044000001</v>
      </c>
      <c r="H13" s="68">
        <f t="shared" si="0"/>
        <v>4.6844736176000001</v>
      </c>
      <c r="I13" s="170">
        <f t="shared" ref="I13:I23" si="1">H13*I$9</f>
        <v>56213.6834112</v>
      </c>
    </row>
    <row r="14" spans="2:9">
      <c r="B14" s="142">
        <v>2</v>
      </c>
      <c r="C14" s="142" t="s">
        <v>169</v>
      </c>
      <c r="D14" s="248" t="s">
        <v>170</v>
      </c>
      <c r="E14" s="248" t="s">
        <v>171</v>
      </c>
      <c r="F14" s="248" t="s">
        <v>172</v>
      </c>
      <c r="G14" s="272">
        <v>27.547000000000001</v>
      </c>
      <c r="H14" s="68">
        <f t="shared" si="0"/>
        <v>0.11018800000000001</v>
      </c>
      <c r="I14" s="170">
        <f t="shared" si="1"/>
        <v>1322.2560000000001</v>
      </c>
    </row>
    <row r="15" spans="2:9">
      <c r="B15" s="142">
        <v>3</v>
      </c>
      <c r="C15" s="142" t="s">
        <v>173</v>
      </c>
      <c r="D15" s="248" t="s">
        <v>174</v>
      </c>
      <c r="E15" s="248" t="s">
        <v>47</v>
      </c>
      <c r="F15" s="248" t="s">
        <v>172</v>
      </c>
      <c r="G15" s="273">
        <v>2.165</v>
      </c>
      <c r="H15" s="68">
        <f t="shared" si="0"/>
        <v>8.6599999999999993E-3</v>
      </c>
      <c r="I15" s="170">
        <f t="shared" si="1"/>
        <v>103.91999999999999</v>
      </c>
    </row>
    <row r="16" spans="2:9">
      <c r="B16" s="142">
        <v>4</v>
      </c>
      <c r="C16" s="142" t="s">
        <v>175</v>
      </c>
      <c r="D16" s="248" t="s">
        <v>176</v>
      </c>
      <c r="E16" s="248" t="s">
        <v>43</v>
      </c>
      <c r="F16" s="248" t="s">
        <v>172</v>
      </c>
      <c r="G16" s="273">
        <v>1.266</v>
      </c>
      <c r="H16" s="68">
        <f t="shared" si="0"/>
        <v>5.0639999999999999E-3</v>
      </c>
      <c r="I16" s="170">
        <f t="shared" si="1"/>
        <v>60.768000000000001</v>
      </c>
    </row>
    <row r="17" spans="2:12">
      <c r="B17" s="142">
        <v>5</v>
      </c>
      <c r="C17" s="142" t="s">
        <v>177</v>
      </c>
      <c r="D17" s="248" t="s">
        <v>178</v>
      </c>
      <c r="E17" s="248" t="s">
        <v>179</v>
      </c>
      <c r="F17" s="248" t="s">
        <v>172</v>
      </c>
      <c r="G17" s="273">
        <v>2.89</v>
      </c>
      <c r="H17" s="68">
        <f t="shared" si="0"/>
        <v>1.1560000000000001E-2</v>
      </c>
      <c r="I17" s="170">
        <f t="shared" si="1"/>
        <v>138.72</v>
      </c>
    </row>
    <row r="18" spans="2:12">
      <c r="B18" s="142">
        <v>6</v>
      </c>
      <c r="C18" s="194" t="s">
        <v>180</v>
      </c>
      <c r="D18" s="248" t="s">
        <v>181</v>
      </c>
      <c r="E18" s="248" t="s">
        <v>182</v>
      </c>
      <c r="F18" s="248" t="s">
        <v>172</v>
      </c>
      <c r="G18" s="273">
        <v>41.137999999999998</v>
      </c>
      <c r="H18" s="68">
        <f t="shared" si="0"/>
        <v>0.164552</v>
      </c>
      <c r="I18" s="170">
        <f t="shared" si="1"/>
        <v>1974.624</v>
      </c>
    </row>
    <row r="19" spans="2:12">
      <c r="B19" s="142">
        <v>7</v>
      </c>
      <c r="C19" s="142" t="s">
        <v>195</v>
      </c>
      <c r="D19" s="248" t="s">
        <v>196</v>
      </c>
      <c r="E19" s="248" t="s">
        <v>197</v>
      </c>
      <c r="F19" s="248" t="s">
        <v>172</v>
      </c>
      <c r="G19" s="273">
        <v>176.08199999999999</v>
      </c>
      <c r="H19" s="68">
        <f t="shared" si="0"/>
        <v>0.70432799999999995</v>
      </c>
      <c r="I19" s="170">
        <f t="shared" si="1"/>
        <v>8451.9359999999997</v>
      </c>
    </row>
    <row r="20" spans="2:12">
      <c r="B20" s="142">
        <v>8</v>
      </c>
      <c r="C20" s="142" t="s">
        <v>183</v>
      </c>
      <c r="D20" s="248" t="s">
        <v>178</v>
      </c>
      <c r="E20" s="248" t="s">
        <v>184</v>
      </c>
      <c r="F20" s="248" t="s">
        <v>172</v>
      </c>
      <c r="G20" s="273">
        <v>42.594000000000001</v>
      </c>
      <c r="H20" s="68">
        <f t="shared" si="0"/>
        <v>0.170376</v>
      </c>
      <c r="I20" s="170">
        <f t="shared" si="1"/>
        <v>2044.5119999999999</v>
      </c>
    </row>
    <row r="21" spans="2:12">
      <c r="B21" s="142">
        <v>9</v>
      </c>
      <c r="C21" s="194" t="s">
        <v>185</v>
      </c>
      <c r="D21" s="248" t="s">
        <v>186</v>
      </c>
      <c r="E21" s="248" t="s">
        <v>187</v>
      </c>
      <c r="F21" s="248" t="s">
        <v>119</v>
      </c>
      <c r="G21" s="273">
        <v>1.4</v>
      </c>
      <c r="H21" s="68">
        <f t="shared" si="0"/>
        <v>5.5999999999999999E-3</v>
      </c>
      <c r="I21" s="170">
        <f t="shared" si="1"/>
        <v>67.2</v>
      </c>
    </row>
    <row r="22" spans="2:12">
      <c r="B22" s="142">
        <v>10</v>
      </c>
      <c r="C22" s="142" t="s">
        <v>188</v>
      </c>
      <c r="D22" s="248" t="s">
        <v>189</v>
      </c>
      <c r="E22" s="248" t="s">
        <v>190</v>
      </c>
      <c r="F22" s="248" t="s">
        <v>119</v>
      </c>
      <c r="G22" s="273">
        <v>7.0549999999999997</v>
      </c>
      <c r="H22" s="68">
        <f t="shared" si="0"/>
        <v>2.8219999999999999E-2</v>
      </c>
      <c r="I22" s="170">
        <f t="shared" si="1"/>
        <v>338.64</v>
      </c>
    </row>
    <row r="23" spans="2:12">
      <c r="B23" s="142">
        <v>11</v>
      </c>
      <c r="C23" s="142" t="s">
        <v>191</v>
      </c>
      <c r="D23" s="248" t="s">
        <v>189</v>
      </c>
      <c r="E23" s="248" t="s">
        <v>192</v>
      </c>
      <c r="F23" s="248" t="s">
        <v>119</v>
      </c>
      <c r="G23" s="273">
        <v>35.299999999999997</v>
      </c>
      <c r="H23" s="68">
        <f t="shared" si="0"/>
        <v>0.14119999999999999</v>
      </c>
      <c r="I23" s="170">
        <f t="shared" si="1"/>
        <v>1694.3999999999999</v>
      </c>
    </row>
    <row r="24" spans="2:12">
      <c r="B24" s="142">
        <v>12</v>
      </c>
      <c r="C24" s="194" t="s">
        <v>193</v>
      </c>
      <c r="D24" s="248" t="s">
        <v>189</v>
      </c>
      <c r="E24" s="248" t="s">
        <v>194</v>
      </c>
      <c r="F24" s="248" t="s">
        <v>172</v>
      </c>
      <c r="G24" s="273">
        <v>0.61240000000000006</v>
      </c>
      <c r="H24" s="68">
        <f t="shared" ref="H24" si="2">G24/$C$7</f>
        <v>2.4496000000000001E-3</v>
      </c>
      <c r="I24" s="170">
        <f t="shared" ref="I24" si="3">H24*I$9</f>
        <v>29.395200000000003</v>
      </c>
      <c r="K24" s="247"/>
      <c r="L24" s="247"/>
    </row>
    <row r="25" spans="2:12">
      <c r="D25" s="248"/>
      <c r="E25" s="248"/>
      <c r="F25" s="248"/>
      <c r="G25" s="248"/>
      <c r="L25" s="247"/>
    </row>
    <row r="26" spans="2:12">
      <c r="D26" s="248"/>
      <c r="E26" s="248"/>
      <c r="F26" s="248"/>
      <c r="G26" s="248"/>
    </row>
    <row r="27" spans="2:12">
      <c r="D27" s="248"/>
      <c r="E27" s="248"/>
      <c r="F27" s="248"/>
      <c r="G27" s="248"/>
    </row>
    <row r="28" spans="2:12">
      <c r="D28" s="248"/>
      <c r="E28" s="248"/>
      <c r="F28" s="248"/>
      <c r="G28" s="248"/>
    </row>
    <row r="29" spans="2:12">
      <c r="D29" s="248"/>
      <c r="E29" s="248"/>
      <c r="F29" s="248"/>
      <c r="G29" s="248"/>
    </row>
    <row r="30" spans="2:12">
      <c r="D30" s="248"/>
      <c r="E30" s="248"/>
      <c r="F30" s="248"/>
      <c r="G30" s="248"/>
    </row>
    <row r="31" spans="2:12">
      <c r="D31" s="248"/>
      <c r="E31" s="248"/>
      <c r="F31" s="248"/>
      <c r="G31" s="248"/>
    </row>
    <row r="32" spans="2:12">
      <c r="D32" s="248"/>
      <c r="E32" s="248"/>
      <c r="F32" s="248"/>
      <c r="G32" s="248"/>
    </row>
  </sheetData>
  <pageMargins left="0.7" right="0.7" top="0.75" bottom="0.75" header="0.3" footer="0.3"/>
  <pageSetup scale="74" orientation="landscape"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dlc_DocId xmlns="e01c046c-f62f-41c3-b3da-cbe685d070a5">SUDAK27CZTE4-357741538-22873</_dlc_DocId>
    <_dlc_DocIdUrl xmlns="e01c046c-f62f-41c3-b3da-cbe685d070a5">
      <Url>https://drinkpak.sharepoint.com/sites/Batching-Private/_layouts/15/DocIdRedir.aspx?ID=SUDAK27CZTE4-357741538-22873</Url>
      <Description>SUDAK27CZTE4-357741538-22873</Description>
    </_dlc_DocIdUrl>
    <TaxCatchAll xmlns="e01c046c-f62f-41c3-b3da-cbe685d070a5" xsi:nil="true"/>
    <lcf76f155ced4ddcb4097134ff3c332f xmlns="c4f48ab2-e73b-4e7d-8ba4-0c8120abde31">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045FB2B0E287428881CD3EDD69B41A" ma:contentTypeVersion="13" ma:contentTypeDescription="Create a new document." ma:contentTypeScope="" ma:versionID="226c8ba0c4be0bcc6e38652ff6dfb5ec">
  <xsd:schema xmlns:xsd="http://www.w3.org/2001/XMLSchema" xmlns:xs="http://www.w3.org/2001/XMLSchema" xmlns:p="http://schemas.microsoft.com/office/2006/metadata/properties" xmlns:ns2="e01c046c-f62f-41c3-b3da-cbe685d070a5" xmlns:ns3="c4f48ab2-e73b-4e7d-8ba4-0c8120abde31" targetNamespace="http://schemas.microsoft.com/office/2006/metadata/properties" ma:root="true" ma:fieldsID="5f43b1c3cc8fa7110dd31adbc5432429" ns2:_="" ns3:_="">
    <xsd:import namespace="e01c046c-f62f-41c3-b3da-cbe685d070a5"/>
    <xsd:import namespace="c4f48ab2-e73b-4e7d-8ba4-0c8120abde3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2:TaxCatchAll" minOccurs="0"/>
                <xsd:element ref="ns3:MediaServiceDateTaken" minOccurs="0"/>
                <xsd:element ref="ns3:MediaServiceOCR" minOccurs="0"/>
                <xsd:element ref="ns3:MediaServiceGenerationTime" minOccurs="0"/>
                <xsd:element ref="ns3:MediaServiceEventHashCode"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01c046c-f62f-41c3-b3da-cbe685d070a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dexed="true"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17" nillable="true" ma:displayName="Taxonomy Catch All Column" ma:hidden="true" ma:list="{5981094c-fafc-4c4d-95e8-feded2ebbd3d}" ma:internalName="TaxCatchAll" ma:showField="CatchAllData" ma:web="e01c046c-f62f-41c3-b3da-cbe685d070a5">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f48ab2-e73b-4e7d-8ba4-0c8120abde3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0a9f60bb-bf83-4f51-94ec-ae78820f11ff" ma:termSetId="09814cd3-568e-fe90-9814-8d621ff8fb84" ma:anchorId="fba54fb3-c3e1-fe81-a776-ca4b69148c4d" ma:open="true" ma:isKeyword="false">
      <xsd:complexType>
        <xsd:sequence>
          <xsd:element ref="pc:Terms" minOccurs="0" maxOccurs="1"/>
        </xsd:sequence>
      </xsd:complex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36AA1FCA-AD85-4A83-A8A4-7202B71897D7}">
  <ds:schemaRefs>
    <ds:schemaRef ds:uri="http://schemas.microsoft.com/sharepoint/v3/contenttype/forms"/>
  </ds:schemaRefs>
</ds:datastoreItem>
</file>

<file path=customXml/itemProps2.xml><?xml version="1.0" encoding="utf-8"?>
<ds:datastoreItem xmlns:ds="http://schemas.openxmlformats.org/officeDocument/2006/customXml" ds:itemID="{19AE8558-278B-47EB-B837-54B402A8BD73}">
  <ds:schemaRefs>
    <ds:schemaRef ds:uri="http://schemas.microsoft.com/office/2006/metadata/properties"/>
    <ds:schemaRef ds:uri="http://schemas.microsoft.com/office/infopath/2007/PartnerControls"/>
    <ds:schemaRef ds:uri="e01c046c-f62f-41c3-b3da-cbe685d070a5"/>
    <ds:schemaRef ds:uri="c4f48ab2-e73b-4e7d-8ba4-0c8120abde31"/>
  </ds:schemaRefs>
</ds:datastoreItem>
</file>

<file path=customXml/itemProps3.xml><?xml version="1.0" encoding="utf-8"?>
<ds:datastoreItem xmlns:ds="http://schemas.openxmlformats.org/officeDocument/2006/customXml" ds:itemID="{2EDBE554-11BC-4882-96A2-AC467C58E4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01c046c-f62f-41c3-b3da-cbe685d070a5"/>
    <ds:schemaRef ds:uri="c4f48ab2-e73b-4e7d-8ba4-0c8120abde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AAB47D4-B8A7-480E-9B5A-9DB551402E6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MASTER - Batch Overview</vt:lpstr>
      <vt:lpstr>MASTER - Batch Instructions</vt:lpstr>
      <vt:lpstr>MASTER - Lot Tracking (1)</vt:lpstr>
      <vt:lpstr>MASTER - Lot Tracking (2)</vt:lpstr>
      <vt:lpstr>DATEX</vt:lpstr>
      <vt:lpstr>'MASTER - Batch Instructions'!Print_Area</vt:lpstr>
      <vt:lpstr>'MASTER - Batch Overview'!Print_Area</vt:lpstr>
      <vt:lpstr>'MASTER - Lot Tracking (1)'!Print_Area</vt:lpstr>
      <vt:lpstr>'MASTER - Lot Tracking (2)'!Print_Area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Gow, Kelsey</dc:creator>
  <cp:keywords/>
  <dc:description/>
  <cp:lastModifiedBy>Vicki Newnam</cp:lastModifiedBy>
  <cp:revision/>
  <dcterms:created xsi:type="dcterms:W3CDTF">2021-07-22T12:35:27Z</dcterms:created>
  <dcterms:modified xsi:type="dcterms:W3CDTF">2024-09-23T23:44:47Z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b1d8bd7-7e7b-4949-9680-d82491da45c6_Enabled">
    <vt:lpwstr>true</vt:lpwstr>
  </property>
  <property fmtid="{D5CDD505-2E9C-101B-9397-08002B2CF9AE}" pid="3" name="MSIP_Label_8b1d8bd7-7e7b-4949-9680-d82491da45c6_SetDate">
    <vt:lpwstr>2021-07-22T12:36:10Z</vt:lpwstr>
  </property>
  <property fmtid="{D5CDD505-2E9C-101B-9397-08002B2CF9AE}" pid="4" name="MSIP_Label_8b1d8bd7-7e7b-4949-9680-d82491da45c6_Method">
    <vt:lpwstr>Privileged</vt:lpwstr>
  </property>
  <property fmtid="{D5CDD505-2E9C-101B-9397-08002B2CF9AE}" pid="5" name="MSIP_Label_8b1d8bd7-7e7b-4949-9680-d82491da45c6_Name">
    <vt:lpwstr>Any Recipient_0</vt:lpwstr>
  </property>
  <property fmtid="{D5CDD505-2E9C-101B-9397-08002B2CF9AE}" pid="6" name="MSIP_Label_8b1d8bd7-7e7b-4949-9680-d82491da45c6_SiteId">
    <vt:lpwstr>88ed286b-88d8-4faf-918f-883d693321ae</vt:lpwstr>
  </property>
  <property fmtid="{D5CDD505-2E9C-101B-9397-08002B2CF9AE}" pid="7" name="MSIP_Label_8b1d8bd7-7e7b-4949-9680-d82491da45c6_ActionId">
    <vt:lpwstr>0826e688-0c37-4980-bec7-859357ae7481</vt:lpwstr>
  </property>
  <property fmtid="{D5CDD505-2E9C-101B-9397-08002B2CF9AE}" pid="8" name="MSIP_Label_8b1d8bd7-7e7b-4949-9680-d82491da45c6_ContentBits">
    <vt:lpwstr>2</vt:lpwstr>
  </property>
  <property fmtid="{D5CDD505-2E9C-101B-9397-08002B2CF9AE}" pid="9" name="ContentTypeId">
    <vt:lpwstr>0x01010053045FB2B0E287428881CD3EDD69B41A</vt:lpwstr>
  </property>
  <property fmtid="{D5CDD505-2E9C-101B-9397-08002B2CF9AE}" pid="10" name="_dlc_DocIdItemGuid">
    <vt:lpwstr>284bfffb-965e-43ae-87fd-f0bf5ef84db8</vt:lpwstr>
  </property>
  <property fmtid="{D5CDD505-2E9C-101B-9397-08002B2CF9AE}" pid="11" name="MediaServiceImageTags">
    <vt:lpwstr/>
  </property>
</Properties>
</file>