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inkpak.sharepoint.com/sites/Batching-Private/Documents/Templates and Recipes/Monster/Batch Cards/"/>
    </mc:Choice>
  </mc:AlternateContent>
  <xr:revisionPtr revIDLastSave="25" documentId="13_ncr:1_{4C9BD653-5721-4305-AFE5-F82EB72FB7AD}" xr6:coauthVersionLast="47" xr6:coauthVersionMax="47" xr10:uidLastSave="{F1131C8D-FA11-42B9-BBB1-715EA53532CB}"/>
  <bookViews>
    <workbookView xWindow="-120" yWindow="-120" windowWidth="57840" windowHeight="23520" xr2:uid="{752ACB90-A7F3-4687-B40A-B6A5861BC468}"/>
  </bookViews>
  <sheets>
    <sheet name="MASTER - Batch Overview" sheetId="3" r:id="rId1"/>
    <sheet name="MASTER - Batch Instructions" sheetId="6" r:id="rId2"/>
    <sheet name="MASTER - Lot Tracking (1)" sheetId="13" r:id="rId3"/>
    <sheet name="MASTER - Lot Tracking (2)" sheetId="19" r:id="rId4"/>
    <sheet name="DATEX" sheetId="9" r:id="rId5"/>
  </sheets>
  <definedNames>
    <definedName name="_xlnm.Print_Area" localSheetId="1">'MASTER - Batch Instructions'!$B$2:$W$76</definedName>
    <definedName name="_xlnm.Print_Area" localSheetId="0">'MASTER - Batch Overview'!$B$2:$N$39</definedName>
    <definedName name="_xlnm.Print_Area" localSheetId="2">'MASTER - Lot Tracking (1)'!$B$2:$L$41</definedName>
    <definedName name="_xlnm.Print_Area" localSheetId="3">'MASTER - Lot Tracking (2)'!$B$2:$L$41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E31" i="19"/>
  <c r="D31" i="19"/>
  <c r="C31" i="19"/>
  <c r="E19" i="19"/>
  <c r="D19" i="19"/>
  <c r="C19" i="19"/>
  <c r="K7" i="19"/>
  <c r="J7" i="19"/>
  <c r="I7" i="19"/>
  <c r="E7" i="19"/>
  <c r="D7" i="19"/>
  <c r="C7" i="19"/>
  <c r="E2" i="19"/>
  <c r="G10" i="3"/>
  <c r="G21" i="3"/>
  <c r="G20" i="3"/>
  <c r="G18" i="3"/>
  <c r="Q37" i="6"/>
  <c r="P37" i="6"/>
  <c r="M37" i="6"/>
  <c r="L37" i="6"/>
  <c r="K37" i="6"/>
  <c r="I37" i="6"/>
  <c r="H37" i="6"/>
  <c r="G37" i="6"/>
  <c r="F37" i="6"/>
  <c r="E37" i="6"/>
  <c r="I36" i="6"/>
  <c r="Q35" i="6"/>
  <c r="P35" i="6"/>
  <c r="M35" i="6"/>
  <c r="L35" i="6"/>
  <c r="K35" i="6"/>
  <c r="I35" i="6"/>
  <c r="H35" i="6"/>
  <c r="G35" i="6"/>
  <c r="F35" i="6"/>
  <c r="E35" i="6"/>
  <c r="I34" i="6"/>
  <c r="Q33" i="6"/>
  <c r="P33" i="6"/>
  <c r="M33" i="6"/>
  <c r="L33" i="6"/>
  <c r="K33" i="6"/>
  <c r="I33" i="6"/>
  <c r="H33" i="6"/>
  <c r="G33" i="6"/>
  <c r="F33" i="6"/>
  <c r="E33" i="6"/>
  <c r="I32" i="6"/>
  <c r="Q31" i="6"/>
  <c r="P31" i="6"/>
  <c r="M31" i="6"/>
  <c r="L31" i="6"/>
  <c r="K31" i="6"/>
  <c r="I31" i="6"/>
  <c r="H31" i="6"/>
  <c r="G31" i="6"/>
  <c r="F31" i="6"/>
  <c r="E31" i="6"/>
  <c r="I30" i="6"/>
  <c r="Q29" i="6"/>
  <c r="P29" i="6"/>
  <c r="M29" i="6"/>
  <c r="L29" i="6"/>
  <c r="K29" i="6"/>
  <c r="I29" i="6"/>
  <c r="H29" i="6"/>
  <c r="G29" i="6"/>
  <c r="F29" i="6"/>
  <c r="E29" i="6"/>
  <c r="I28" i="6"/>
  <c r="M62" i="6"/>
  <c r="L62" i="6"/>
  <c r="K62" i="6"/>
  <c r="I62" i="6"/>
  <c r="H62" i="6"/>
  <c r="G62" i="6"/>
  <c r="F62" i="6"/>
  <c r="E62" i="6"/>
  <c r="Q49" i="6"/>
  <c r="P49" i="6"/>
  <c r="I48" i="6" s="1"/>
  <c r="M49" i="6"/>
  <c r="L49" i="6"/>
  <c r="K49" i="6"/>
  <c r="I49" i="6"/>
  <c r="H49" i="6"/>
  <c r="G49" i="6"/>
  <c r="F49" i="6"/>
  <c r="E49" i="6"/>
  <c r="Q47" i="6"/>
  <c r="P47" i="6"/>
  <c r="I46" i="6" s="1"/>
  <c r="M47" i="6"/>
  <c r="L47" i="6"/>
  <c r="K47" i="6"/>
  <c r="I47" i="6"/>
  <c r="H47" i="6"/>
  <c r="G47" i="6"/>
  <c r="F47" i="6"/>
  <c r="E47" i="6"/>
  <c r="Q45" i="6"/>
  <c r="P45" i="6"/>
  <c r="I44" i="6" s="1"/>
  <c r="M45" i="6"/>
  <c r="I45" i="6"/>
  <c r="P39" i="6"/>
  <c r="M41" i="6"/>
  <c r="L41" i="6"/>
  <c r="K41" i="6"/>
  <c r="I41" i="6"/>
  <c r="H41" i="6"/>
  <c r="G41" i="6"/>
  <c r="F41" i="6"/>
  <c r="E41" i="6"/>
  <c r="M42" i="6"/>
  <c r="L42" i="6"/>
  <c r="K42" i="6"/>
  <c r="I42" i="6"/>
  <c r="H42" i="6"/>
  <c r="G42" i="6"/>
  <c r="F42" i="6"/>
  <c r="E42" i="6"/>
  <c r="M43" i="6"/>
  <c r="L43" i="6"/>
  <c r="K43" i="6"/>
  <c r="I43" i="6"/>
  <c r="H43" i="6"/>
  <c r="G43" i="6"/>
  <c r="F43" i="6"/>
  <c r="E43" i="6"/>
  <c r="M40" i="6"/>
  <c r="L40" i="6"/>
  <c r="K40" i="6"/>
  <c r="I40" i="6"/>
  <c r="H40" i="6"/>
  <c r="G40" i="6"/>
  <c r="F40" i="6"/>
  <c r="E40" i="6"/>
  <c r="I38" i="6"/>
  <c r="I26" i="6"/>
  <c r="Q39" i="6"/>
  <c r="M39" i="6"/>
  <c r="L39" i="6"/>
  <c r="K39" i="6"/>
  <c r="I39" i="6"/>
  <c r="H39" i="6"/>
  <c r="G39" i="6"/>
  <c r="F39" i="6"/>
  <c r="E39" i="6"/>
  <c r="Q27" i="6"/>
  <c r="P27" i="6"/>
  <c r="M27" i="6"/>
  <c r="L27" i="6"/>
  <c r="K27" i="6"/>
  <c r="I27" i="6"/>
  <c r="H27" i="6"/>
  <c r="G27" i="6"/>
  <c r="F27" i="6"/>
  <c r="E27" i="6"/>
  <c r="Q21" i="6"/>
  <c r="P21" i="6"/>
  <c r="I20" i="6" s="1"/>
  <c r="M21" i="6"/>
  <c r="L21" i="6"/>
  <c r="K21" i="6"/>
  <c r="I21" i="6"/>
  <c r="H21" i="6"/>
  <c r="G21" i="6"/>
  <c r="F21" i="6"/>
  <c r="E21" i="6"/>
  <c r="I16" i="6"/>
  <c r="J37" i="6" l="1"/>
  <c r="J33" i="6"/>
  <c r="J31" i="6"/>
  <c r="J35" i="6"/>
  <c r="J29" i="6"/>
  <c r="J49" i="6"/>
  <c r="J47" i="6"/>
  <c r="J42" i="6"/>
  <c r="J27" i="6"/>
  <c r="J21" i="6"/>
  <c r="I14" i="9" l="1"/>
  <c r="I13" i="9"/>
  <c r="T42" i="9" l="1"/>
  <c r="T41" i="9"/>
  <c r="T40" i="9"/>
  <c r="T39" i="9"/>
  <c r="T38" i="9"/>
  <c r="T37" i="9"/>
  <c r="T36" i="9"/>
  <c r="T35" i="9"/>
  <c r="J42" i="9"/>
  <c r="J41" i="9"/>
  <c r="J40" i="9"/>
  <c r="I70" i="6"/>
  <c r="I65" i="6"/>
  <c r="I59" i="6"/>
  <c r="I54" i="6"/>
  <c r="O8" i="6"/>
  <c r="Q59" i="6" l="1"/>
  <c r="P59" i="6"/>
  <c r="I58" i="6" s="1"/>
  <c r="M59" i="6"/>
  <c r="Q72" i="6"/>
  <c r="P72" i="6"/>
  <c r="I71" i="6" s="1"/>
  <c r="M72" i="6"/>
  <c r="I72" i="6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13" i="9"/>
  <c r="Q70" i="6"/>
  <c r="P70" i="6"/>
  <c r="I69" i="6" s="1"/>
  <c r="M70" i="6"/>
  <c r="M68" i="6"/>
  <c r="L68" i="6"/>
  <c r="K68" i="6"/>
  <c r="I68" i="6"/>
  <c r="H68" i="6"/>
  <c r="G68" i="6"/>
  <c r="F68" i="6"/>
  <c r="E68" i="6"/>
  <c r="Q67" i="6"/>
  <c r="P67" i="6"/>
  <c r="I66" i="6" s="1"/>
  <c r="M67" i="6"/>
  <c r="L67" i="6"/>
  <c r="K67" i="6"/>
  <c r="I67" i="6"/>
  <c r="H67" i="6"/>
  <c r="G67" i="6"/>
  <c r="F67" i="6"/>
  <c r="E67" i="6"/>
  <c r="Q65" i="6"/>
  <c r="P65" i="6"/>
  <c r="I64" i="6" s="1"/>
  <c r="M65" i="6"/>
  <c r="M63" i="6"/>
  <c r="L63" i="6"/>
  <c r="K63" i="6"/>
  <c r="I63" i="6"/>
  <c r="H63" i="6"/>
  <c r="G63" i="6"/>
  <c r="F63" i="6"/>
  <c r="E63" i="6"/>
  <c r="Q61" i="6"/>
  <c r="P61" i="6"/>
  <c r="I60" i="6" s="1"/>
  <c r="M61" i="6"/>
  <c r="L61" i="6"/>
  <c r="K61" i="6"/>
  <c r="I61" i="6"/>
  <c r="H61" i="6"/>
  <c r="G61" i="6"/>
  <c r="F61" i="6"/>
  <c r="E61" i="6"/>
  <c r="Q54" i="6"/>
  <c r="P54" i="6"/>
  <c r="I53" i="6" s="1"/>
  <c r="M54" i="6"/>
  <c r="B15" i="6"/>
  <c r="M57" i="6"/>
  <c r="L57" i="6"/>
  <c r="K57" i="6"/>
  <c r="I57" i="6"/>
  <c r="H57" i="6"/>
  <c r="G57" i="6"/>
  <c r="F57" i="6"/>
  <c r="E57" i="6"/>
  <c r="Q56" i="6"/>
  <c r="P56" i="6"/>
  <c r="I55" i="6" s="1"/>
  <c r="M56" i="6"/>
  <c r="L56" i="6"/>
  <c r="K56" i="6"/>
  <c r="I56" i="6"/>
  <c r="H56" i="6"/>
  <c r="G56" i="6"/>
  <c r="F56" i="6"/>
  <c r="E56" i="6"/>
  <c r="M52" i="6"/>
  <c r="L52" i="6"/>
  <c r="K52" i="6"/>
  <c r="I52" i="6"/>
  <c r="H52" i="6"/>
  <c r="G52" i="6"/>
  <c r="F52" i="6"/>
  <c r="E52" i="6"/>
  <c r="Q51" i="6"/>
  <c r="P51" i="6"/>
  <c r="I50" i="6" s="1"/>
  <c r="M51" i="6"/>
  <c r="L51" i="6"/>
  <c r="K51" i="6"/>
  <c r="I51" i="6"/>
  <c r="H51" i="6"/>
  <c r="G51" i="6"/>
  <c r="F51" i="6"/>
  <c r="E51" i="6"/>
  <c r="T13" i="9"/>
  <c r="T14" i="9"/>
  <c r="T15" i="9"/>
  <c r="T16" i="9"/>
  <c r="J17" i="9"/>
  <c r="T17" i="9"/>
  <c r="J18" i="9"/>
  <c r="T18" i="9"/>
  <c r="T19" i="9"/>
  <c r="J20" i="9"/>
  <c r="T20" i="9"/>
  <c r="Q15" i="6"/>
  <c r="P15" i="6"/>
  <c r="I14" i="6" s="1"/>
  <c r="M15" i="6"/>
  <c r="I15" i="6"/>
  <c r="I25" i="6"/>
  <c r="Q25" i="6"/>
  <c r="P25" i="6"/>
  <c r="I24" i="6" s="1"/>
  <c r="M25" i="6"/>
  <c r="Q23" i="6"/>
  <c r="P23" i="6"/>
  <c r="I22" i="6" s="1"/>
  <c r="M23" i="6"/>
  <c r="L23" i="6"/>
  <c r="K23" i="6"/>
  <c r="I23" i="6"/>
  <c r="H23" i="6"/>
  <c r="G23" i="6"/>
  <c r="F23" i="6"/>
  <c r="E23" i="6"/>
  <c r="Q19" i="6"/>
  <c r="P19" i="6"/>
  <c r="I18" i="6" s="1"/>
  <c r="M19" i="6"/>
  <c r="L19" i="6"/>
  <c r="K19" i="6"/>
  <c r="I19" i="6"/>
  <c r="H19" i="6"/>
  <c r="G19" i="6"/>
  <c r="F19" i="6"/>
  <c r="E19" i="6"/>
  <c r="Q17" i="6"/>
  <c r="M17" i="6"/>
  <c r="L17" i="6"/>
  <c r="K17" i="6"/>
  <c r="I17" i="6"/>
  <c r="H17" i="6"/>
  <c r="G17" i="6"/>
  <c r="F17" i="6"/>
  <c r="E17" i="6"/>
  <c r="T44" i="9"/>
  <c r="T43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J67" i="6" l="1"/>
  <c r="J56" i="6"/>
  <c r="J61" i="6"/>
  <c r="B16" i="6"/>
  <c r="J15" i="9"/>
  <c r="J14" i="9"/>
  <c r="J19" i="9"/>
  <c r="J16" i="9"/>
  <c r="J13" i="9"/>
  <c r="J19" i="6"/>
  <c r="J28" i="9"/>
  <c r="J29" i="9"/>
  <c r="J30" i="9"/>
  <c r="J31" i="9"/>
  <c r="J32" i="9"/>
  <c r="J33" i="9"/>
  <c r="J34" i="9"/>
  <c r="J25" i="9"/>
  <c r="J36" i="9"/>
  <c r="J37" i="9"/>
  <c r="J26" i="9"/>
  <c r="J27" i="9"/>
  <c r="J38" i="9"/>
  <c r="J39" i="9"/>
  <c r="J35" i="9"/>
  <c r="K31" i="13"/>
  <c r="J31" i="13"/>
  <c r="I31" i="13"/>
  <c r="E31" i="13"/>
  <c r="D31" i="13"/>
  <c r="C31" i="13"/>
  <c r="K19" i="13"/>
  <c r="J19" i="13"/>
  <c r="I19" i="13"/>
  <c r="E19" i="13"/>
  <c r="D19" i="13"/>
  <c r="C19" i="13"/>
  <c r="K7" i="13"/>
  <c r="J7" i="13"/>
  <c r="I7" i="13"/>
  <c r="D7" i="13"/>
  <c r="C7" i="13"/>
  <c r="E2" i="13"/>
  <c r="B17" i="6" l="1"/>
  <c r="J24" i="9"/>
  <c r="J23" i="9"/>
  <c r="B18" i="6" l="1"/>
  <c r="B19" i="6" l="1"/>
  <c r="C9" i="9"/>
  <c r="B20" i="6" l="1"/>
  <c r="B21" i="6"/>
  <c r="J22" i="9"/>
  <c r="J21" i="9"/>
  <c r="C18" i="3" l="1"/>
  <c r="C13" i="3"/>
  <c r="C15" i="3"/>
  <c r="C14" i="3"/>
  <c r="C17" i="3" l="1"/>
  <c r="B4" i="3" l="1"/>
  <c r="N76" i="6" l="1"/>
  <c r="K2" i="6"/>
  <c r="D2" i="3"/>
  <c r="D3" i="3"/>
  <c r="E3" i="19" s="1"/>
  <c r="B22" i="6" l="1"/>
  <c r="E3" i="13"/>
  <c r="C10" i="9"/>
  <c r="B23" i="6" l="1"/>
  <c r="K40" i="9"/>
  <c r="Z40" i="9" s="1"/>
  <c r="K42" i="9"/>
  <c r="Z42" i="9" s="1"/>
  <c r="K41" i="9"/>
  <c r="Z41" i="9" s="1"/>
  <c r="K18" i="9"/>
  <c r="K17" i="9"/>
  <c r="K20" i="9"/>
  <c r="K15" i="9"/>
  <c r="K19" i="9"/>
  <c r="K14" i="9"/>
  <c r="K13" i="9"/>
  <c r="N7" i="6" s="1"/>
  <c r="K16" i="9"/>
  <c r="K31" i="9"/>
  <c r="Z31" i="9" s="1"/>
  <c r="K34" i="9"/>
  <c r="Z34" i="9" s="1"/>
  <c r="K32" i="9"/>
  <c r="Z32" i="9" s="1"/>
  <c r="K26" i="9"/>
  <c r="Z26" i="9" s="1"/>
  <c r="K25" i="9"/>
  <c r="Z25" i="9" s="1"/>
  <c r="K38" i="9"/>
  <c r="Z38" i="9" s="1"/>
  <c r="K37" i="9"/>
  <c r="Z37" i="9" s="1"/>
  <c r="K28" i="9"/>
  <c r="Z28" i="9" s="1"/>
  <c r="K30" i="9"/>
  <c r="Z30" i="9" s="1"/>
  <c r="K39" i="9"/>
  <c r="Z39" i="9" s="1"/>
  <c r="K33" i="9"/>
  <c r="Z33" i="9" s="1"/>
  <c r="K36" i="9"/>
  <c r="Z36" i="9" s="1"/>
  <c r="K27" i="9"/>
  <c r="Z27" i="9" s="1"/>
  <c r="K29" i="9"/>
  <c r="Z29" i="9" s="1"/>
  <c r="K35" i="9"/>
  <c r="Z35" i="9" s="1"/>
  <c r="K23" i="9"/>
  <c r="K24" i="9"/>
  <c r="K21" i="9"/>
  <c r="K22" i="9"/>
  <c r="K3" i="6"/>
  <c r="F19" i="19" l="1"/>
  <c r="N17" i="6"/>
  <c r="L7" i="19"/>
  <c r="F19" i="13"/>
  <c r="F7" i="19"/>
  <c r="L7" i="13"/>
  <c r="V17" i="9"/>
  <c r="L19" i="13"/>
  <c r="V18" i="9"/>
  <c r="F31" i="13"/>
  <c r="F31" i="19"/>
  <c r="B24" i="6"/>
  <c r="U22" i="9"/>
  <c r="W22" i="9" s="1"/>
  <c r="U23" i="9"/>
  <c r="W23" i="9" s="1"/>
  <c r="U21" i="9"/>
  <c r="W21" i="9" s="1"/>
  <c r="F7" i="13"/>
  <c r="G14" i="9"/>
  <c r="J17" i="6" s="1"/>
  <c r="L31" i="13"/>
  <c r="T7" i="6"/>
  <c r="U16" i="9"/>
  <c r="W16" i="9" s="1"/>
  <c r="U15" i="9"/>
  <c r="V15" i="9" s="1"/>
  <c r="U20" i="9"/>
  <c r="V20" i="9" s="1"/>
  <c r="U14" i="9"/>
  <c r="W14" i="9" s="1"/>
  <c r="U19" i="9"/>
  <c r="V19" i="9" s="1"/>
  <c r="U17" i="9"/>
  <c r="W17" i="9" s="1"/>
  <c r="N41" i="6" s="1"/>
  <c r="J41" i="6" s="1"/>
  <c r="U18" i="9"/>
  <c r="W18" i="9" s="1"/>
  <c r="E7" i="13"/>
  <c r="V23" i="9" l="1"/>
  <c r="V22" i="9"/>
  <c r="V14" i="9"/>
  <c r="V16" i="9"/>
  <c r="V21" i="9"/>
  <c r="N37" i="6"/>
  <c r="N33" i="6"/>
  <c r="N35" i="6"/>
  <c r="N29" i="6"/>
  <c r="N31" i="6"/>
  <c r="N62" i="6"/>
  <c r="J62" i="6" s="1"/>
  <c r="B25" i="6"/>
  <c r="N40" i="6"/>
  <c r="J40" i="6" s="1"/>
  <c r="W15" i="9"/>
  <c r="N42" i="6"/>
  <c r="W20" i="9"/>
  <c r="N56" i="6" s="1"/>
  <c r="W19" i="9"/>
  <c r="N57" i="6" l="1"/>
  <c r="J57" i="6" s="1"/>
  <c r="B26" i="6"/>
  <c r="N52" i="6"/>
  <c r="J52" i="6" s="1"/>
  <c r="N47" i="6"/>
  <c r="O47" i="6" s="1"/>
  <c r="N49" i="6"/>
  <c r="O49" i="6" s="1"/>
  <c r="N43" i="6"/>
  <c r="J43" i="6" s="1"/>
  <c r="N27" i="6"/>
  <c r="N39" i="6"/>
  <c r="N23" i="6"/>
  <c r="O23" i="6" s="1"/>
  <c r="N51" i="6"/>
  <c r="N21" i="6"/>
  <c r="O21" i="6" s="1"/>
  <c r="N19" i="6"/>
  <c r="O19" i="6" s="1"/>
  <c r="Y17" i="9"/>
  <c r="Z17" i="9" s="1"/>
  <c r="Y14" i="9"/>
  <c r="Z14" i="9" s="1"/>
  <c r="N61" i="6"/>
  <c r="N63" i="6"/>
  <c r="J63" i="6" s="1"/>
  <c r="N68" i="6"/>
  <c r="N67" i="6"/>
  <c r="O7" i="6"/>
  <c r="Y22" i="9" l="1"/>
  <c r="Z22" i="9" s="1"/>
  <c r="O56" i="6"/>
  <c r="O51" i="6"/>
  <c r="B27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Y24" i="9"/>
  <c r="Z24" i="9" s="1"/>
  <c r="J68" i="6"/>
  <c r="Y23" i="9"/>
  <c r="Z23" i="9" s="1"/>
  <c r="Y21" i="9"/>
  <c r="Z21" i="9" s="1"/>
  <c r="J23" i="6"/>
  <c r="J39" i="6"/>
  <c r="Y16" i="9"/>
  <c r="Z16" i="9" s="1"/>
  <c r="J51" i="6"/>
  <c r="Y15" i="9"/>
  <c r="Z15" i="9" s="1"/>
  <c r="P8" i="6"/>
  <c r="P7" i="6"/>
  <c r="Y18" i="9"/>
  <c r="Z18" i="9" s="1"/>
  <c r="T8" i="6"/>
  <c r="T9" i="6" s="1"/>
  <c r="Y19" i="9"/>
  <c r="Z19" i="9" s="1"/>
  <c r="Y20" i="9"/>
  <c r="Z20" i="9" s="1"/>
  <c r="O67" i="6"/>
  <c r="O61" i="6"/>
  <c r="N8" i="6" l="1"/>
  <c r="O9" i="6"/>
  <c r="B39" i="6" l="1"/>
  <c r="P9" i="6"/>
  <c r="N9" i="6"/>
  <c r="O10" i="6"/>
  <c r="B42" i="6" l="1"/>
  <c r="B40" i="6"/>
  <c r="N10" i="6"/>
  <c r="N75" i="6" s="1"/>
  <c r="O72" i="6"/>
  <c r="P10" i="6"/>
  <c r="B43" i="6" l="1"/>
  <c r="B41" i="6"/>
  <c r="B44" i="6" l="1"/>
  <c r="B45" i="6" l="1"/>
  <c r="B46" i="6" s="1"/>
  <c r="B47" i="6" s="1"/>
  <c r="B48" i="6" s="1"/>
  <c r="B49" i="6" l="1"/>
  <c r="B50" i="6" l="1"/>
  <c r="B51" i="6" s="1"/>
  <c r="B52" i="6" l="1"/>
  <c r="B53" i="6" l="1"/>
  <c r="B54" i="6"/>
  <c r="B55" i="6" s="1"/>
  <c r="B56" i="6" s="1"/>
  <c r="B57" i="6" s="1"/>
  <c r="B58" i="6" l="1"/>
  <c r="B59" i="6" s="1"/>
  <c r="B62" i="6" s="1"/>
  <c r="B60" i="6" l="1"/>
  <c r="B61" i="6" l="1"/>
  <c r="B63" i="6" s="1"/>
  <c r="B64" i="6"/>
  <c r="B65" i="6" l="1"/>
  <c r="B66" i="6" l="1"/>
  <c r="B67" i="6" s="1"/>
  <c r="B68" i="6"/>
  <c r="B69" i="6" l="1"/>
  <c r="B70" i="6" s="1"/>
  <c r="B71" i="6" l="1"/>
  <c r="B72" i="6" s="1"/>
  <c r="B73" i="6" s="1"/>
  <c r="B74" i="6" s="1"/>
</calcChain>
</file>

<file path=xl/sharedStrings.xml><?xml version="1.0" encoding="utf-8"?>
<sst xmlns="http://schemas.openxmlformats.org/spreadsheetml/2006/main" count="593" uniqueCount="227">
  <si>
    <t>BATCH RECORD</t>
  </si>
  <si>
    <t>LINE 12</t>
  </si>
  <si>
    <t>REQUIRED
Syrup Test 1</t>
  </si>
  <si>
    <t>IF NEEDED
Syrup Test 2</t>
  </si>
  <si>
    <t>Batch Overview</t>
  </si>
  <si>
    <t>Syrup Specification</t>
  </si>
  <si>
    <t>Target</t>
  </si>
  <si>
    <t>Range</t>
  </si>
  <si>
    <t>UOM</t>
  </si>
  <si>
    <t>Initial</t>
  </si>
  <si>
    <t>Record Creation Date</t>
  </si>
  <si>
    <t>Brix (Refractometer)</t>
  </si>
  <si>
    <t>32.30 - 32.70</t>
  </si>
  <si>
    <t>°Brix</t>
  </si>
  <si>
    <t>Batch Number</t>
  </si>
  <si>
    <t>BXX.X.XXXX</t>
  </si>
  <si>
    <t>Density</t>
  </si>
  <si>
    <t>g/ml</t>
  </si>
  <si>
    <t>Part of Campaign</t>
  </si>
  <si>
    <t>CXX.X.XXXX</t>
  </si>
  <si>
    <t>Citric Acid</t>
  </si>
  <si>
    <t>1.55 - 1.75</t>
  </si>
  <si>
    <t>% (w/w)</t>
  </si>
  <si>
    <t>Brand</t>
  </si>
  <si>
    <t>Monster Energy</t>
  </si>
  <si>
    <t>Time:</t>
  </si>
  <si>
    <t>IF NEEDED
Dilution Test 3</t>
  </si>
  <si>
    <t>Formula Description</t>
  </si>
  <si>
    <t>Formula Number</t>
  </si>
  <si>
    <t>Finished Product Specification</t>
  </si>
  <si>
    <t>REQUIRED
Dilution Test 1</t>
  </si>
  <si>
    <t>IF NEEDED
Dilution Test 2</t>
  </si>
  <si>
    <t>Formula Revision Date</t>
  </si>
  <si>
    <t>pH</t>
  </si>
  <si>
    <t>-</t>
  </si>
  <si>
    <t>3.05 - 3.45</t>
  </si>
  <si>
    <t>Throw Ratio (Parts Water)</t>
  </si>
  <si>
    <t>8.85 - 9.05</t>
  </si>
  <si>
    <t>Syrup Batch Size (gal.)</t>
  </si>
  <si>
    <t>CO2 (CarboQC)</t>
  </si>
  <si>
    <t>2.15 - 2.35</t>
  </si>
  <si>
    <t>vol.</t>
  </si>
  <si>
    <t>Finished Batch (gal.)</t>
  </si>
  <si>
    <t>Unit Size (oz.)</t>
  </si>
  <si>
    <t>0.42 - 0.48</t>
  </si>
  <si>
    <t>Units per Case</t>
  </si>
  <si>
    <t>Sorbic Acid</t>
  </si>
  <si>
    <t>mg/100ml</t>
  </si>
  <si>
    <t>Finished Cases (Theoretical)</t>
  </si>
  <si>
    <t>Caffeine</t>
  </si>
  <si>
    <t>Tunnel Program</t>
  </si>
  <si>
    <t>3201 (L11-13)</t>
  </si>
  <si>
    <t>Odor</t>
  </si>
  <si>
    <t>Conforms to standard.</t>
  </si>
  <si>
    <t>Pass   Fail</t>
  </si>
  <si>
    <t>RO Water Testing                          Result</t>
  </si>
  <si>
    <t>Appearance</t>
  </si>
  <si>
    <t>pH:</t>
  </si>
  <si>
    <t>Taste</t>
  </si>
  <si>
    <t>TDS:</t>
  </si>
  <si>
    <t>Conductivity:</t>
  </si>
  <si>
    <t>Alkalinity:</t>
  </si>
  <si>
    <t>Equipment</t>
  </si>
  <si>
    <t>Circle Equipment Number</t>
  </si>
  <si>
    <t>Rapid Mixer</t>
  </si>
  <si>
    <t>1  2  3</t>
  </si>
  <si>
    <t>Thermal Process</t>
  </si>
  <si>
    <t>PU</t>
  </si>
  <si>
    <t>Hold Time</t>
  </si>
  <si>
    <t>Hold Temp</t>
  </si>
  <si>
    <t>Notes:</t>
  </si>
  <si>
    <t>Batch Tank</t>
  </si>
  <si>
    <t>1  2  3  4  5  6  7  8  9  10  11  12</t>
  </si>
  <si>
    <t>Tunnel Pasteurization</t>
  </si>
  <si>
    <t>≥ 367.02</t>
  </si>
  <si>
    <t>≥ 10 minutes</t>
  </si>
  <si>
    <t>≥ 160° F</t>
  </si>
  <si>
    <t>Packaging Line</t>
  </si>
  <si>
    <t>11  12  13</t>
  </si>
  <si>
    <t>HTST Pasteurization</t>
  </si>
  <si>
    <t>N/A</t>
  </si>
  <si>
    <t>Batcher Signature:</t>
  </si>
  <si>
    <t>Batch Start Date:</t>
  </si>
  <si>
    <t>AM / PM</t>
  </si>
  <si>
    <t>Supervisor Signature:</t>
  </si>
  <si>
    <t>Batch End Date:</t>
  </si>
  <si>
    <t>Quality Signature:</t>
  </si>
  <si>
    <t>Quality Approval Date:</t>
  </si>
  <si>
    <t>Total Water</t>
  </si>
  <si>
    <t>Total</t>
  </si>
  <si>
    <t>% Total</t>
  </si>
  <si>
    <t>Total Ingredient</t>
  </si>
  <si>
    <t>Mass (lbs.)</t>
  </si>
  <si>
    <t>Water (gal.)</t>
  </si>
  <si>
    <t>Water</t>
  </si>
  <si>
    <t>Weight Check</t>
  </si>
  <si>
    <t>Total RO Filtered Water</t>
  </si>
  <si>
    <t>Formula</t>
  </si>
  <si>
    <t>Water to start batch</t>
  </si>
  <si>
    <t>Batch Record</t>
  </si>
  <si>
    <t>Water to dissolve ingredients, rinse, and push</t>
  </si>
  <si>
    <t>Delta</t>
  </si>
  <si>
    <t>Water to finish batch</t>
  </si>
  <si>
    <t>Ingredient</t>
  </si>
  <si>
    <t>Mixer</t>
  </si>
  <si>
    <t>Batcher</t>
  </si>
  <si>
    <t>Step</t>
  </si>
  <si>
    <t>Full</t>
  </si>
  <si>
    <t>Partial</t>
  </si>
  <si>
    <t>Pack Mass</t>
  </si>
  <si>
    <t>Pack UOM</t>
  </si>
  <si>
    <t>Pack Type</t>
  </si>
  <si>
    <t>Dilution</t>
  </si>
  <si>
    <t>Ingredient Description</t>
  </si>
  <si>
    <t>Additions</t>
  </si>
  <si>
    <t>Item Number</t>
  </si>
  <si>
    <t>Vendor</t>
  </si>
  <si>
    <t>Type</t>
  </si>
  <si>
    <t>Mass (lb.)</t>
  </si>
  <si>
    <t>to Mixer</t>
  </si>
  <si>
    <t>Temp.</t>
  </si>
  <si>
    <t>Speed %</t>
  </si>
  <si>
    <t>Added</t>
  </si>
  <si>
    <t>Temperature</t>
  </si>
  <si>
    <t>Weight Initial</t>
  </si>
  <si>
    <t>Addition Initial</t>
  </si>
  <si>
    <t xml:space="preserve">                  gal.</t>
  </si>
  <si>
    <t xml:space="preserve">                  ° F</t>
  </si>
  <si>
    <t xml:space="preserve">                  lbs.</t>
  </si>
  <si>
    <t>Mix all ingredients in the batch tank for 20 minutes at 85%.  Text syrup Brix.</t>
  </si>
  <si>
    <t>Perform final batch tests, record results, and complete paperwork.</t>
  </si>
  <si>
    <t>lbs.</t>
  </si>
  <si>
    <t>Total Syrup Weight</t>
  </si>
  <si>
    <t>Date</t>
  </si>
  <si>
    <t>Time</t>
  </si>
  <si>
    <t>gal.</t>
  </si>
  <si>
    <t>Total Syrup Volume</t>
  </si>
  <si>
    <t>Description</t>
  </si>
  <si>
    <t>Lbs. Required</t>
  </si>
  <si>
    <t>Lot Number</t>
  </si>
  <si>
    <t>Notes / Expiration Dates</t>
  </si>
  <si>
    <t>Lbs. Added</t>
  </si>
  <si>
    <t>Addition 1</t>
  </si>
  <si>
    <t>Addition 2</t>
  </si>
  <si>
    <t>Addition 3</t>
  </si>
  <si>
    <t>Addition 4</t>
  </si>
  <si>
    <t>Addition 5</t>
  </si>
  <si>
    <t>Addition 6</t>
  </si>
  <si>
    <t>Batcher:_______________    Verifier:_______________</t>
  </si>
  <si>
    <t>Total Additions (lbs.)</t>
  </si>
  <si>
    <t>Date:                                         Time:</t>
  </si>
  <si>
    <t>Flavor House</t>
  </si>
  <si>
    <t>Monster</t>
  </si>
  <si>
    <t>Khaotic</t>
  </si>
  <si>
    <t>HBC-3564</t>
  </si>
  <si>
    <t>Issue Date</t>
  </si>
  <si>
    <t>Revision Date</t>
  </si>
  <si>
    <t>Formula Syrup Gal.</t>
  </si>
  <si>
    <t>Formula Throw Ratio</t>
  </si>
  <si>
    <t>Formula Finished Gal.</t>
  </si>
  <si>
    <t>Batch Syrup Gal.</t>
  </si>
  <si>
    <t>DATEX</t>
  </si>
  <si>
    <t>Total Batch</t>
  </si>
  <si>
    <t xml:space="preserve">Lbs. in </t>
  </si>
  <si>
    <t>Addition</t>
  </si>
  <si>
    <t>Item</t>
  </si>
  <si>
    <t>Gal. / Batch</t>
  </si>
  <si>
    <t>Lb. / Gal.</t>
  </si>
  <si>
    <t>Lbs. / Batch</t>
  </si>
  <si>
    <t>Lbs / Gal.</t>
  </si>
  <si>
    <t>Usage</t>
  </si>
  <si>
    <t>Quantity</t>
  </si>
  <si>
    <t>Type Plural</t>
  </si>
  <si>
    <t>Mixer Speed</t>
  </si>
  <si>
    <t>Dilution Temp. °F</t>
  </si>
  <si>
    <t>lb. Conversion</t>
  </si>
  <si>
    <t>Full Containers</t>
  </si>
  <si>
    <t>Partial %</t>
  </si>
  <si>
    <t>Partial lb.</t>
  </si>
  <si>
    <t>Batch</t>
  </si>
  <si>
    <t>to Total</t>
  </si>
  <si>
    <t>Purified RO Treated Water</t>
  </si>
  <si>
    <t>Liquid</t>
  </si>
  <si>
    <t>Ambient</t>
  </si>
  <si>
    <t>MECLSUCROSE</t>
  </si>
  <si>
    <t>Batory Foods</t>
  </si>
  <si>
    <t>Liquid Sucrose 66.5° Brix</t>
  </si>
  <si>
    <t>lb.</t>
  </si>
  <si>
    <t>bulk</t>
  </si>
  <si>
    <t>MECDEXTROSE</t>
  </si>
  <si>
    <t>Redox</t>
  </si>
  <si>
    <t>Dextrose Monohydrate</t>
  </si>
  <si>
    <t>Dry</t>
  </si>
  <si>
    <t>kg</t>
  </si>
  <si>
    <t>supersack</t>
  </si>
  <si>
    <t>supersacks</t>
  </si>
  <si>
    <t>140° F</t>
  </si>
  <si>
    <t>070460</t>
  </si>
  <si>
    <t>AFF</t>
  </si>
  <si>
    <t>Khaos Juice Base 070460</t>
  </si>
  <si>
    <t>tote</t>
  </si>
  <si>
    <t>totes</t>
  </si>
  <si>
    <t>Ningbo Wanglong</t>
  </si>
  <si>
    <t>Potassium Sorbate</t>
  </si>
  <si>
    <t>bag</t>
  </si>
  <si>
    <t>bags</t>
  </si>
  <si>
    <t>MECCAFFEINE</t>
  </si>
  <si>
    <t>Hebei Guangxiang</t>
  </si>
  <si>
    <t>Synthetic Caffeine</t>
  </si>
  <si>
    <t>box</t>
  </si>
  <si>
    <t>boxes</t>
  </si>
  <si>
    <t>RE18934/C</t>
  </si>
  <si>
    <t>Glanbia Nutritional</t>
  </si>
  <si>
    <t>Monster Blend RE18934/C</t>
  </si>
  <si>
    <t>170° F</t>
  </si>
  <si>
    <t>MECCITRIC</t>
  </si>
  <si>
    <t>NutraChem</t>
  </si>
  <si>
    <t>Anhydrous Citric Acid</t>
  </si>
  <si>
    <t>LSU001</t>
  </si>
  <si>
    <t>Prinova</t>
  </si>
  <si>
    <t>Sucralose (25% Solution)</t>
  </si>
  <si>
    <t>pail</t>
  </si>
  <si>
    <t>pails</t>
  </si>
  <si>
    <t>C-1085</t>
  </si>
  <si>
    <t>Candy Note Flavor C-1085</t>
  </si>
  <si>
    <t>K-085</t>
  </si>
  <si>
    <t>Khaotic Flavor K-085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</si>
</sst>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.000_);_(* \(#,##0.000\);_(* &quot;-&quot;??_);_(@_)"/>
    <numFmt numFmtId="167" formatCode="_(* #,##0.0000_);_(* \(#,##0.0000\);_(* &quot;-&quot;??_);_(@_)"/>
    <numFmt numFmtId="168" formatCode="0000"/>
    <numFmt numFmtId="169" formatCode="0.0"/>
    <numFmt numFmtId="170" formatCode="0.0000"/>
    <numFmt numFmtId="171" formatCode="_(* #,##0_);_(* \(#,##0\);_(* &quot;-&quot;??_);_(@_)"/>
  </numFmts>
  <fonts count="4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2362AA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7"/>
      <name val="Arial"/>
      <family val="2"/>
    </font>
    <font>
      <sz val="12"/>
      <color rgb="FF2362AA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20"/>
      <color rgb="FF2362AA"/>
      <name val="Arial"/>
      <family val="2"/>
    </font>
    <font>
      <sz val="14"/>
      <name val="Arial"/>
      <family val="2"/>
    </font>
    <font>
      <b/>
      <sz val="18"/>
      <color rgb="FF2362AA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b/>
      <sz val="16"/>
      <color rgb="FF2362AA"/>
      <name val="Arial"/>
      <family val="2"/>
    </font>
    <font>
      <b/>
      <sz val="12"/>
      <name val="Arial"/>
      <family val="2"/>
    </font>
    <font>
      <b/>
      <sz val="36"/>
      <color rgb="FF2362AA"/>
      <name val="Arial"/>
      <family val="2"/>
    </font>
    <font>
      <b/>
      <sz val="48"/>
      <color rgb="FF2362AA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28"/>
      <color rgb="FFFF0000"/>
      <name val="Arial"/>
      <family val="2"/>
    </font>
    <font>
      <sz val="14"/>
      <color theme="0" tint="-0.34998626667073579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0" tint="-0.34998626667073579"/>
      <name val="Arial"/>
      <family val="2"/>
    </font>
    <font>
      <b/>
      <sz val="26"/>
      <color rgb="FF2362AA"/>
      <name val="Arial"/>
      <family val="2"/>
    </font>
    <font>
      <sz val="24"/>
      <name val="Arial"/>
      <family val="2"/>
    </font>
    <font>
      <b/>
      <sz val="65"/>
      <color rgb="FF2362AA"/>
      <name val="Arial"/>
      <family val="2"/>
    </font>
    <font>
      <sz val="12"/>
      <name val="Calibri"/>
      <family val="2"/>
      <scheme val="minor"/>
    </font>
    <font>
      <b/>
      <sz val="10"/>
      <color rgb="FF2362AA"/>
      <name val="Arial"/>
      <family val="2"/>
    </font>
    <font>
      <b/>
      <sz val="16"/>
      <color rgb="FFFF0000"/>
      <name val="Arial"/>
      <family val="2"/>
    </font>
    <font>
      <sz val="14"/>
      <color rgb="FFFF0000"/>
      <name val="Arial"/>
      <family val="2"/>
    </font>
    <font>
      <b/>
      <sz val="22"/>
      <name val="Arial"/>
      <family val="2"/>
    </font>
    <font>
      <b/>
      <sz val="16"/>
      <color theme="9" tint="-0.249977111117893"/>
      <name val="Arial"/>
      <family val="2"/>
    </font>
    <font>
      <sz val="16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20"/>
      <color theme="0" tint="-0.34998626667073579"/>
      <name val="Arial"/>
      <family val="2"/>
    </font>
    <font>
      <sz val="16"/>
      <color theme="0" tint="-0.499984740745262"/>
      <name val="Arial"/>
      <family val="2"/>
    </font>
    <font>
      <sz val="16"/>
      <color rgb="FF2362AA"/>
      <name val="Arial"/>
      <family val="2"/>
    </font>
    <font>
      <sz val="20"/>
      <name val="Arial"/>
      <family val="2"/>
    </font>
    <font>
      <sz val="12"/>
      <color theme="1"/>
      <name val="Calibri"/>
      <family val="2"/>
    </font>
    <font>
      <sz val="1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auto="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auto="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34998626667073579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indexed="64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14996795556505021"/>
      </right>
      <top style="thin">
        <color auto="1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auto="1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6" xfId="0" applyFont="1" applyBorder="1" applyAlignment="1">
      <alignment horizontal="left" vertical="center" indent="1"/>
    </xf>
    <xf numFmtId="0" fontId="9" fillId="0" borderId="17" xfId="0" applyFont="1" applyBorder="1" applyAlignment="1">
      <alignment horizontal="left" vertical="center" indent="1"/>
    </xf>
    <xf numFmtId="0" fontId="7" fillId="0" borderId="0" xfId="0" applyFont="1" applyAlignment="1">
      <alignment horizontal="right" vertical="center"/>
    </xf>
    <xf numFmtId="0" fontId="9" fillId="0" borderId="23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43" fontId="9" fillId="4" borderId="2" xfId="1" applyFont="1" applyFill="1" applyBorder="1" applyAlignment="1">
      <alignment horizontal="right" vertical="center"/>
    </xf>
    <xf numFmtId="0" fontId="9" fillId="0" borderId="27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164" fontId="9" fillId="4" borderId="10" xfId="1" applyNumberFormat="1" applyFont="1" applyFill="1" applyBorder="1" applyAlignment="1">
      <alignment vertical="center"/>
    </xf>
    <xf numFmtId="164" fontId="9" fillId="0" borderId="0" xfId="1" applyNumberFormat="1" applyFont="1" applyBorder="1" applyAlignment="1">
      <alignment vertical="center"/>
    </xf>
    <xf numFmtId="164" fontId="9" fillId="0" borderId="10" xfId="0" applyNumberFormat="1" applyFont="1" applyBorder="1" applyAlignment="1">
      <alignment vertical="center"/>
    </xf>
    <xf numFmtId="164" fontId="9" fillId="0" borderId="0" xfId="0" applyNumberFormat="1" applyFont="1" applyAlignment="1">
      <alignment vertical="center"/>
    </xf>
    <xf numFmtId="164" fontId="9" fillId="4" borderId="10" xfId="0" applyNumberFormat="1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 indent="1"/>
    </xf>
    <xf numFmtId="0" fontId="9" fillId="0" borderId="2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vertical="center"/>
    </xf>
    <xf numFmtId="14" fontId="9" fillId="0" borderId="8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14" fontId="9" fillId="0" borderId="10" xfId="0" applyNumberFormat="1" applyFont="1" applyBorder="1" applyAlignment="1">
      <alignment horizontal="right" vertical="center"/>
    </xf>
    <xf numFmtId="0" fontId="9" fillId="0" borderId="13" xfId="0" applyFont="1" applyBorder="1" applyAlignment="1">
      <alignment vertical="center"/>
    </xf>
    <xf numFmtId="14" fontId="9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/>
    <xf numFmtId="0" fontId="9" fillId="4" borderId="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vertical="center"/>
    </xf>
    <xf numFmtId="0" fontId="9" fillId="5" borderId="28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7" fillId="0" borderId="5" xfId="0" applyFont="1" applyBorder="1" applyAlignment="1">
      <alignment horizontal="left" vertical="center" indent="1"/>
    </xf>
    <xf numFmtId="14" fontId="9" fillId="4" borderId="8" xfId="0" applyNumberFormat="1" applyFont="1" applyFill="1" applyBorder="1" applyAlignment="1">
      <alignment horizontal="right" vertical="center" indent="1"/>
    </xf>
    <xf numFmtId="14" fontId="9" fillId="4" borderId="10" xfId="0" applyNumberFormat="1" applyFont="1" applyFill="1" applyBorder="1" applyAlignment="1">
      <alignment horizontal="right" vertical="center" indent="1"/>
    </xf>
    <xf numFmtId="0" fontId="9" fillId="4" borderId="10" xfId="0" applyFont="1" applyFill="1" applyBorder="1" applyAlignment="1">
      <alignment horizontal="right" vertical="center" indent="1"/>
    </xf>
    <xf numFmtId="0" fontId="13" fillId="0" borderId="0" xfId="0" applyFont="1"/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left" vertical="center" indent="1"/>
    </xf>
    <xf numFmtId="0" fontId="9" fillId="0" borderId="12" xfId="0" applyFont="1" applyBorder="1" applyAlignment="1">
      <alignment horizontal="left" vertical="center" indent="1"/>
    </xf>
    <xf numFmtId="0" fontId="3" fillId="0" borderId="0" xfId="0" applyFont="1" applyAlignment="1">
      <alignment horizontal="right" indent="2"/>
    </xf>
    <xf numFmtId="0" fontId="9" fillId="0" borderId="18" xfId="0" applyFont="1" applyBorder="1" applyAlignment="1">
      <alignment horizontal="left" vertical="center" indent="3"/>
    </xf>
    <xf numFmtId="14" fontId="19" fillId="0" borderId="0" xfId="0" applyNumberFormat="1" applyFont="1" applyAlignment="1">
      <alignment horizontal="left" vertical="center"/>
    </xf>
    <xf numFmtId="0" fontId="14" fillId="2" borderId="31" xfId="0" applyFont="1" applyFill="1" applyBorder="1" applyAlignment="1">
      <alignment vertical="center"/>
    </xf>
    <xf numFmtId="0" fontId="14" fillId="2" borderId="32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left" vertical="center"/>
    </xf>
    <xf numFmtId="0" fontId="14" fillId="2" borderId="35" xfId="0" applyFont="1" applyFill="1" applyBorder="1" applyAlignment="1">
      <alignment vertical="center"/>
    </xf>
    <xf numFmtId="0" fontId="14" fillId="2" borderId="36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vertical="center"/>
    </xf>
    <xf numFmtId="0" fontId="14" fillId="2" borderId="43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24" fillId="2" borderId="31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9" fillId="0" borderId="0" xfId="0" applyFont="1" applyAlignment="1">
      <alignment horizontal="left" vertical="center" indent="3"/>
    </xf>
    <xf numFmtId="0" fontId="3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10" fillId="0" borderId="20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8" fontId="9" fillId="4" borderId="12" xfId="0" applyNumberFormat="1" applyFont="1" applyFill="1" applyBorder="1" applyAlignment="1">
      <alignment horizontal="right" vertical="center" indent="1"/>
    </xf>
    <xf numFmtId="0" fontId="21" fillId="0" borderId="0" xfId="0" applyFont="1"/>
    <xf numFmtId="0" fontId="20" fillId="0" borderId="21" xfId="0" applyFont="1" applyBorder="1" applyAlignment="1">
      <alignment horizontal="left" vertical="center" indent="1"/>
    </xf>
    <xf numFmtId="0" fontId="9" fillId="0" borderId="18" xfId="0" applyFont="1" applyBorder="1" applyAlignment="1">
      <alignment vertical="center"/>
    </xf>
    <xf numFmtId="0" fontId="20" fillId="0" borderId="21" xfId="0" applyFont="1" applyBorder="1" applyAlignment="1">
      <alignment horizontal="left" vertical="center" indent="3"/>
    </xf>
    <xf numFmtId="0" fontId="20" fillId="0" borderId="18" xfId="0" applyFont="1" applyBorder="1" applyAlignment="1">
      <alignment horizontal="left" vertical="center" indent="3"/>
    </xf>
    <xf numFmtId="0" fontId="30" fillId="0" borderId="0" xfId="0" applyFont="1"/>
    <xf numFmtId="0" fontId="9" fillId="0" borderId="10" xfId="0" applyFont="1" applyBorder="1" applyAlignment="1">
      <alignment horizontal="right" vertical="center" indent="1"/>
    </xf>
    <xf numFmtId="14" fontId="9" fillId="0" borderId="10" xfId="0" applyNumberFormat="1" applyFont="1" applyBorder="1" applyAlignment="1">
      <alignment horizontal="right" vertical="center" indent="1"/>
    </xf>
    <xf numFmtId="0" fontId="3" fillId="0" borderId="4" xfId="0" applyFont="1" applyBorder="1" applyAlignment="1">
      <alignment horizontal="left"/>
    </xf>
    <xf numFmtId="0" fontId="9" fillId="0" borderId="4" xfId="0" applyFont="1" applyBorder="1" applyAlignment="1">
      <alignment vertical="center"/>
    </xf>
    <xf numFmtId="0" fontId="20" fillId="0" borderId="0" xfId="0" applyFont="1" applyAlignment="1">
      <alignment horizontal="left" vertical="center" indent="3"/>
    </xf>
    <xf numFmtId="0" fontId="0" fillId="4" borderId="0" xfId="0" applyFill="1"/>
    <xf numFmtId="43" fontId="9" fillId="0" borderId="10" xfId="1" applyFont="1" applyFill="1" applyBorder="1" applyAlignment="1">
      <alignment vertical="center"/>
    </xf>
    <xf numFmtId="164" fontId="9" fillId="0" borderId="10" xfId="1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left" vertical="center" indent="1"/>
    </xf>
    <xf numFmtId="0" fontId="12" fillId="0" borderId="15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43" fontId="16" fillId="0" borderId="0" xfId="0" applyNumberFormat="1" applyFont="1" applyAlignment="1">
      <alignment horizontal="center" vertical="center"/>
    </xf>
    <xf numFmtId="43" fontId="14" fillId="2" borderId="31" xfId="0" applyNumberFormat="1" applyFont="1" applyFill="1" applyBorder="1" applyAlignment="1">
      <alignment vertical="center"/>
    </xf>
    <xf numFmtId="43" fontId="24" fillId="2" borderId="31" xfId="0" applyNumberFormat="1" applyFont="1" applyFill="1" applyBorder="1" applyAlignment="1">
      <alignment vertical="center"/>
    </xf>
    <xf numFmtId="43" fontId="14" fillId="2" borderId="35" xfId="0" applyNumberFormat="1" applyFont="1" applyFill="1" applyBorder="1" applyAlignment="1">
      <alignment vertical="center"/>
    </xf>
    <xf numFmtId="0" fontId="9" fillId="0" borderId="10" xfId="0" applyFont="1" applyBorder="1" applyAlignment="1">
      <alignment horizontal="left" vertical="center" indent="1"/>
    </xf>
    <xf numFmtId="0" fontId="14" fillId="2" borderId="31" xfId="0" applyFont="1" applyFill="1" applyBorder="1" applyAlignment="1">
      <alignment horizontal="center" vertical="center"/>
    </xf>
    <xf numFmtId="43" fontId="9" fillId="4" borderId="48" xfId="1" applyFont="1" applyFill="1" applyBorder="1" applyAlignment="1">
      <alignment horizontal="right" vertical="center"/>
    </xf>
    <xf numFmtId="43" fontId="9" fillId="4" borderId="47" xfId="1" applyFont="1" applyFill="1" applyBorder="1" applyAlignment="1">
      <alignment horizontal="right" vertical="center"/>
    </xf>
    <xf numFmtId="169" fontId="9" fillId="4" borderId="49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horizontal="left"/>
    </xf>
    <xf numFmtId="0" fontId="30" fillId="0" borderId="0" xfId="0" quotePrefix="1" applyFont="1"/>
    <xf numFmtId="0" fontId="12" fillId="4" borderId="1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33" fillId="0" borderId="21" xfId="0" applyFont="1" applyBorder="1" applyAlignment="1">
      <alignment horizontal="left" vertical="center" indent="1"/>
    </xf>
    <xf numFmtId="0" fontId="24" fillId="0" borderId="31" xfId="0" applyFont="1" applyBorder="1" applyAlignment="1">
      <alignment vertical="center"/>
    </xf>
    <xf numFmtId="0" fontId="24" fillId="0" borderId="31" xfId="0" applyFont="1" applyBorder="1" applyAlignment="1">
      <alignment horizontal="center" vertical="center"/>
    </xf>
    <xf numFmtId="0" fontId="24" fillId="0" borderId="20" xfId="0" applyFont="1" applyBorder="1" applyAlignment="1">
      <alignment vertical="center"/>
    </xf>
    <xf numFmtId="43" fontId="24" fillId="3" borderId="22" xfId="1" applyFont="1" applyFill="1" applyBorder="1" applyAlignment="1">
      <alignment vertical="center"/>
    </xf>
    <xf numFmtId="10" fontId="24" fillId="3" borderId="6" xfId="2" applyNumberFormat="1" applyFont="1" applyFill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43" fontId="24" fillId="3" borderId="14" xfId="1" applyFont="1" applyFill="1" applyBorder="1" applyAlignment="1">
      <alignment vertical="center"/>
    </xf>
    <xf numFmtId="10" fontId="24" fillId="3" borderId="15" xfId="2" applyNumberFormat="1" applyFont="1" applyFill="1" applyBorder="1" applyAlignment="1">
      <alignment vertical="center"/>
    </xf>
    <xf numFmtId="0" fontId="27" fillId="0" borderId="0" xfId="0" applyFont="1"/>
    <xf numFmtId="0" fontId="2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38" fillId="2" borderId="5" xfId="0" applyFont="1" applyFill="1" applyBorder="1" applyAlignment="1">
      <alignment vertical="center"/>
    </xf>
    <xf numFmtId="0" fontId="38" fillId="2" borderId="19" xfId="0" applyFont="1" applyFill="1" applyBorder="1" applyAlignment="1">
      <alignment vertical="center"/>
    </xf>
    <xf numFmtId="43" fontId="38" fillId="2" borderId="7" xfId="1" applyFont="1" applyFill="1" applyBorder="1" applyAlignment="1">
      <alignment vertical="center"/>
    </xf>
    <xf numFmtId="0" fontId="38" fillId="4" borderId="5" xfId="0" applyFont="1" applyFill="1" applyBorder="1" applyAlignment="1">
      <alignment horizontal="left" vertical="center"/>
    </xf>
    <xf numFmtId="0" fontId="38" fillId="4" borderId="19" xfId="0" applyFont="1" applyFill="1" applyBorder="1" applyAlignment="1">
      <alignment vertical="center"/>
    </xf>
    <xf numFmtId="43" fontId="38" fillId="4" borderId="7" xfId="1" applyFont="1" applyFill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38" fillId="0" borderId="38" xfId="0" applyFont="1" applyBorder="1" applyAlignment="1">
      <alignment horizontal="left" vertical="center" indent="3"/>
    </xf>
    <xf numFmtId="0" fontId="37" fillId="0" borderId="39" xfId="0" applyFont="1" applyBorder="1" applyAlignment="1">
      <alignment vertical="center"/>
    </xf>
    <xf numFmtId="0" fontId="37" fillId="2" borderId="45" xfId="0" applyFont="1" applyFill="1" applyBorder="1" applyAlignment="1">
      <alignment vertical="center"/>
    </xf>
    <xf numFmtId="0" fontId="37" fillId="4" borderId="45" xfId="0" applyFont="1" applyFill="1" applyBorder="1" applyAlignment="1">
      <alignment vertical="center"/>
    </xf>
    <xf numFmtId="0" fontId="38" fillId="0" borderId="30" xfId="0" applyFont="1" applyBorder="1" applyAlignment="1">
      <alignment horizontal="left" vertical="center" indent="3"/>
    </xf>
    <xf numFmtId="0" fontId="37" fillId="0" borderId="31" xfId="0" applyFont="1" applyBorder="1" applyAlignment="1">
      <alignment vertical="center"/>
    </xf>
    <xf numFmtId="0" fontId="37" fillId="2" borderId="44" xfId="0" applyFont="1" applyFill="1" applyBorder="1" applyAlignment="1">
      <alignment vertical="center"/>
    </xf>
    <xf numFmtId="0" fontId="37" fillId="4" borderId="44" xfId="0" applyFont="1" applyFill="1" applyBorder="1" applyAlignment="1">
      <alignment vertical="center"/>
    </xf>
    <xf numFmtId="0" fontId="38" fillId="0" borderId="34" xfId="0" applyFont="1" applyBorder="1" applyAlignment="1">
      <alignment horizontal="left" vertical="center" indent="3"/>
    </xf>
    <xf numFmtId="0" fontId="37" fillId="0" borderId="35" xfId="0" applyFont="1" applyBorder="1" applyAlignment="1">
      <alignment vertical="center"/>
    </xf>
    <xf numFmtId="0" fontId="37" fillId="2" borderId="46" xfId="0" applyFont="1" applyFill="1" applyBorder="1" applyAlignment="1">
      <alignment vertical="center"/>
    </xf>
    <xf numFmtId="0" fontId="37" fillId="4" borderId="46" xfId="0" applyFont="1" applyFill="1" applyBorder="1" applyAlignment="1">
      <alignment vertical="center"/>
    </xf>
    <xf numFmtId="0" fontId="38" fillId="0" borderId="0" xfId="0" applyFont="1"/>
    <xf numFmtId="0" fontId="38" fillId="0" borderId="0" xfId="0" applyFont="1" applyAlignment="1">
      <alignment horizontal="right" vertical="center"/>
    </xf>
    <xf numFmtId="0" fontId="39" fillId="2" borderId="29" xfId="0" applyFont="1" applyFill="1" applyBorder="1" applyAlignment="1">
      <alignment vertical="center"/>
    </xf>
    <xf numFmtId="0" fontId="39" fillId="4" borderId="29" xfId="0" applyFont="1" applyFill="1" applyBorder="1" applyAlignment="1">
      <alignment vertical="center"/>
    </xf>
    <xf numFmtId="0" fontId="38" fillId="4" borderId="5" xfId="0" applyFont="1" applyFill="1" applyBorder="1" applyAlignment="1">
      <alignment vertical="center"/>
    </xf>
    <xf numFmtId="0" fontId="38" fillId="2" borderId="5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38" fillId="0" borderId="4" xfId="0" applyFont="1" applyBorder="1"/>
    <xf numFmtId="0" fontId="37" fillId="0" borderId="0" xfId="0" applyFont="1"/>
    <xf numFmtId="170" fontId="0" fillId="0" borderId="0" xfId="0" applyNumberFormat="1"/>
    <xf numFmtId="0" fontId="21" fillId="0" borderId="0" xfId="0" applyFont="1" applyAlignment="1">
      <alignment horizontal="center"/>
    </xf>
    <xf numFmtId="43" fontId="0" fillId="0" borderId="0" xfId="1" applyFont="1"/>
    <xf numFmtId="166" fontId="0" fillId="0" borderId="0" xfId="1" applyNumberFormat="1" applyFont="1"/>
    <xf numFmtId="165" fontId="0" fillId="0" borderId="0" xfId="2" applyNumberFormat="1" applyFont="1"/>
    <xf numFmtId="166" fontId="30" fillId="4" borderId="0" xfId="1" applyNumberFormat="1" applyFont="1" applyFill="1"/>
    <xf numFmtId="0" fontId="21" fillId="2" borderId="0" xfId="0" applyFont="1" applyFill="1" applyAlignment="1">
      <alignment horizontal="center"/>
    </xf>
    <xf numFmtId="43" fontId="0" fillId="0" borderId="0" xfId="1" applyFont="1" applyAlignment="1">
      <alignment horizontal="left"/>
    </xf>
    <xf numFmtId="43" fontId="0" fillId="2" borderId="0" xfId="1" applyFont="1" applyFill="1"/>
    <xf numFmtId="167" fontId="0" fillId="2" borderId="0" xfId="1" applyNumberFormat="1" applyFont="1" applyFill="1"/>
    <xf numFmtId="166" fontId="0" fillId="4" borderId="0" xfId="1" applyNumberFormat="1" applyFont="1" applyFill="1"/>
    <xf numFmtId="165" fontId="0" fillId="4" borderId="0" xfId="2" applyNumberFormat="1" applyFont="1" applyFill="1"/>
    <xf numFmtId="43" fontId="0" fillId="0" borderId="0" xfId="0" applyNumberFormat="1"/>
    <xf numFmtId="171" fontId="0" fillId="0" borderId="0" xfId="1" applyNumberFormat="1" applyFont="1"/>
    <xf numFmtId="0" fontId="14" fillId="6" borderId="31" xfId="0" applyFont="1" applyFill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  <xf numFmtId="0" fontId="24" fillId="2" borderId="22" xfId="0" applyFont="1" applyFill="1" applyBorder="1" applyAlignment="1">
      <alignment horizontal="left" vertical="center" indent="1"/>
    </xf>
    <xf numFmtId="164" fontId="24" fillId="2" borderId="19" xfId="1" applyNumberFormat="1" applyFont="1" applyFill="1" applyBorder="1" applyAlignment="1">
      <alignment vertical="center"/>
    </xf>
    <xf numFmtId="0" fontId="14" fillId="0" borderId="17" xfId="0" applyFont="1" applyBorder="1" applyAlignment="1">
      <alignment horizontal="left" vertical="center" indent="2"/>
    </xf>
    <xf numFmtId="43" fontId="14" fillId="0" borderId="0" xfId="0" applyNumberFormat="1" applyFont="1" applyAlignment="1">
      <alignment vertical="center"/>
    </xf>
    <xf numFmtId="164" fontId="24" fillId="0" borderId="31" xfId="1" applyNumberFormat="1" applyFont="1" applyBorder="1" applyAlignment="1">
      <alignment vertical="center"/>
    </xf>
    <xf numFmtId="43" fontId="0" fillId="4" borderId="0" xfId="1" applyFont="1" applyFill="1" applyAlignment="1">
      <alignment horizontal="right"/>
    </xf>
    <xf numFmtId="165" fontId="0" fillId="4" borderId="0" xfId="2" applyNumberFormat="1" applyFont="1" applyFill="1" applyAlignment="1">
      <alignment horizontal="right"/>
    </xf>
    <xf numFmtId="0" fontId="14" fillId="0" borderId="31" xfId="0" applyFont="1" applyBorder="1" applyAlignment="1">
      <alignment horizontal="center" vertical="center"/>
    </xf>
    <xf numFmtId="43" fontId="14" fillId="2" borderId="31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43" fontId="32" fillId="0" borderId="0" xfId="0" applyNumberFormat="1" applyFont="1" applyAlignment="1">
      <alignment horizontal="center" vertical="center"/>
    </xf>
    <xf numFmtId="165" fontId="24" fillId="0" borderId="31" xfId="2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14" fontId="16" fillId="0" borderId="0" xfId="0" applyNumberFormat="1" applyFont="1" applyAlignment="1">
      <alignment vertical="center"/>
    </xf>
    <xf numFmtId="14" fontId="16" fillId="0" borderId="0" xfId="0" applyNumberFormat="1" applyFont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43" fontId="24" fillId="0" borderId="0" xfId="1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43" fontId="24" fillId="0" borderId="0" xfId="0" applyNumberFormat="1" applyFont="1" applyAlignment="1">
      <alignment vertical="center"/>
    </xf>
    <xf numFmtId="43" fontId="25" fillId="0" borderId="0" xfId="0" applyNumberFormat="1" applyFont="1" applyAlignment="1">
      <alignment vertical="center"/>
    </xf>
    <xf numFmtId="165" fontId="24" fillId="0" borderId="0" xfId="2" applyNumberFormat="1" applyFont="1" applyFill="1" applyBorder="1" applyAlignment="1">
      <alignment vertical="center"/>
    </xf>
    <xf numFmtId="0" fontId="14" fillId="2" borderId="52" xfId="0" applyFont="1" applyFill="1" applyBorder="1" applyAlignment="1">
      <alignment vertical="center"/>
    </xf>
    <xf numFmtId="0" fontId="14" fillId="0" borderId="52" xfId="0" applyFont="1" applyBorder="1" applyAlignment="1">
      <alignment horizontal="center" vertical="center"/>
    </xf>
    <xf numFmtId="0" fontId="14" fillId="2" borderId="50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43" fontId="24" fillId="2" borderId="19" xfId="1" applyFont="1" applyFill="1" applyBorder="1" applyAlignment="1">
      <alignment vertical="center"/>
    </xf>
    <xf numFmtId="43" fontId="24" fillId="0" borderId="2" xfId="1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165" fontId="24" fillId="2" borderId="7" xfId="2" applyNumberFormat="1" applyFont="1" applyFill="1" applyBorder="1" applyAlignment="1">
      <alignment vertical="center"/>
    </xf>
    <xf numFmtId="164" fontId="14" fillId="0" borderId="0" xfId="0" applyNumberFormat="1" applyFont="1" applyAlignment="1">
      <alignment vertical="center"/>
    </xf>
    <xf numFmtId="164" fontId="35" fillId="0" borderId="0" xfId="0" applyNumberFormat="1" applyFont="1" applyAlignment="1">
      <alignment horizontal="center" vertical="center"/>
    </xf>
    <xf numFmtId="164" fontId="14" fillId="2" borderId="31" xfId="0" applyNumberFormat="1" applyFont="1" applyFill="1" applyBorder="1" applyAlignment="1">
      <alignment vertical="center"/>
    </xf>
    <xf numFmtId="0" fontId="40" fillId="0" borderId="32" xfId="0" applyFont="1" applyBorder="1" applyAlignment="1">
      <alignment horizontal="center" vertical="center"/>
    </xf>
    <xf numFmtId="164" fontId="14" fillId="0" borderId="30" xfId="1" applyNumberFormat="1" applyFont="1" applyFill="1" applyBorder="1" applyAlignment="1">
      <alignment horizontal="center" vertical="center"/>
    </xf>
    <xf numFmtId="164" fontId="24" fillId="2" borderId="30" xfId="1" applyNumberFormat="1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vertical="center"/>
    </xf>
    <xf numFmtId="0" fontId="14" fillId="2" borderId="34" xfId="0" applyFont="1" applyFill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43" fontId="14" fillId="2" borderId="50" xfId="0" applyNumberFormat="1" applyFont="1" applyFill="1" applyBorder="1" applyAlignment="1">
      <alignment vertical="center"/>
    </xf>
    <xf numFmtId="43" fontId="14" fillId="2" borderId="55" xfId="0" applyNumberFormat="1" applyFont="1" applyFill="1" applyBorder="1" applyAlignment="1">
      <alignment vertical="center"/>
    </xf>
    <xf numFmtId="0" fontId="14" fillId="0" borderId="16" xfId="0" applyFont="1" applyBorder="1" applyAlignment="1">
      <alignment horizontal="left" vertical="center" indent="1"/>
    </xf>
    <xf numFmtId="43" fontId="24" fillId="0" borderId="15" xfId="1" applyFont="1" applyBorder="1" applyAlignment="1">
      <alignment vertical="center"/>
    </xf>
    <xf numFmtId="0" fontId="14" fillId="0" borderId="11" xfId="0" applyFont="1" applyBorder="1" applyAlignment="1">
      <alignment horizontal="left" vertical="center" indent="1"/>
    </xf>
    <xf numFmtId="0" fontId="24" fillId="0" borderId="11" xfId="0" applyFont="1" applyBorder="1" applyAlignment="1">
      <alignment horizontal="left" vertical="center" indent="1"/>
    </xf>
    <xf numFmtId="43" fontId="14" fillId="0" borderId="8" xfId="1" applyFont="1" applyBorder="1" applyAlignment="1">
      <alignment vertical="center"/>
    </xf>
    <xf numFmtId="43" fontId="14" fillId="0" borderId="12" xfId="1" applyFont="1" applyBorder="1" applyAlignment="1">
      <alignment vertical="center"/>
    </xf>
    <xf numFmtId="43" fontId="14" fillId="0" borderId="2" xfId="1" applyFont="1" applyBorder="1" applyAlignment="1">
      <alignment vertical="center"/>
    </xf>
    <xf numFmtId="164" fontId="14" fillId="0" borderId="2" xfId="0" applyNumberFormat="1" applyFont="1" applyBorder="1" applyAlignment="1">
      <alignment vertical="center"/>
    </xf>
    <xf numFmtId="165" fontId="14" fillId="0" borderId="10" xfId="2" applyNumberFormat="1" applyFont="1" applyFill="1" applyBorder="1" applyAlignment="1">
      <alignment vertical="center"/>
    </xf>
    <xf numFmtId="0" fontId="25" fillId="0" borderId="0" xfId="0" applyFont="1" applyAlignment="1">
      <alignment horizontal="left" vertical="center" indent="1"/>
    </xf>
    <xf numFmtId="0" fontId="14" fillId="0" borderId="15" xfId="0" applyFont="1" applyBorder="1" applyAlignment="1">
      <alignment horizontal="center" vertical="center"/>
    </xf>
    <xf numFmtId="164" fontId="14" fillId="4" borderId="1" xfId="0" applyNumberFormat="1" applyFont="1" applyFill="1" applyBorder="1" applyAlignment="1">
      <alignment vertical="center"/>
    </xf>
    <xf numFmtId="43" fontId="14" fillId="6" borderId="31" xfId="0" applyNumberFormat="1" applyFont="1" applyFill="1" applyBorder="1" applyAlignment="1">
      <alignment vertical="center"/>
    </xf>
    <xf numFmtId="43" fontId="14" fillId="6" borderId="31" xfId="0" applyNumberFormat="1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164" fontId="14" fillId="6" borderId="31" xfId="0" applyNumberFormat="1" applyFont="1" applyFill="1" applyBorder="1" applyAlignment="1">
      <alignment vertical="center"/>
    </xf>
    <xf numFmtId="0" fontId="14" fillId="6" borderId="50" xfId="0" applyFont="1" applyFill="1" applyBorder="1" applyAlignment="1">
      <alignment horizontal="center" vertical="center"/>
    </xf>
    <xf numFmtId="0" fontId="14" fillId="6" borderId="0" xfId="0" applyFont="1" applyFill="1" applyAlignment="1">
      <alignment vertical="center"/>
    </xf>
    <xf numFmtId="0" fontId="14" fillId="6" borderId="52" xfId="0" applyFont="1" applyFill="1" applyBorder="1" applyAlignment="1">
      <alignment vertical="center"/>
    </xf>
    <xf numFmtId="0" fontId="14" fillId="6" borderId="32" xfId="0" applyFont="1" applyFill="1" applyBorder="1" applyAlignment="1">
      <alignment vertical="center"/>
    </xf>
    <xf numFmtId="0" fontId="14" fillId="6" borderId="43" xfId="0" applyFont="1" applyFill="1" applyBorder="1" applyAlignment="1">
      <alignment horizontal="center" vertical="center"/>
    </xf>
    <xf numFmtId="0" fontId="14" fillId="6" borderId="33" xfId="0" applyFont="1" applyFill="1" applyBorder="1" applyAlignment="1">
      <alignment horizontal="center" vertical="center"/>
    </xf>
    <xf numFmtId="164" fontId="36" fillId="6" borderId="3" xfId="0" applyNumberFormat="1" applyFont="1" applyFill="1" applyBorder="1" applyAlignment="1">
      <alignment vertical="center"/>
    </xf>
    <xf numFmtId="0" fontId="36" fillId="6" borderId="11" xfId="0" applyFont="1" applyFill="1" applyBorder="1" applyAlignment="1">
      <alignment horizontal="left" vertical="center" indent="2"/>
    </xf>
    <xf numFmtId="43" fontId="25" fillId="6" borderId="3" xfId="1" applyFont="1" applyFill="1" applyBorder="1" applyAlignment="1">
      <alignment vertical="center"/>
    </xf>
    <xf numFmtId="43" fontId="36" fillId="6" borderId="3" xfId="1" applyFont="1" applyFill="1" applyBorder="1" applyAlignment="1">
      <alignment vertical="center"/>
    </xf>
    <xf numFmtId="165" fontId="36" fillId="6" borderId="12" xfId="2" applyNumberFormat="1" applyFont="1" applyFill="1" applyBorder="1" applyAlignment="1">
      <alignment vertical="center"/>
    </xf>
    <xf numFmtId="0" fontId="14" fillId="4" borderId="16" xfId="0" applyFont="1" applyFill="1" applyBorder="1" applyAlignment="1">
      <alignment horizontal="left" vertical="center" indent="2"/>
    </xf>
    <xf numFmtId="43" fontId="24" fillId="4" borderId="1" xfId="1" applyFont="1" applyFill="1" applyBorder="1" applyAlignment="1">
      <alignment vertical="center"/>
    </xf>
    <xf numFmtId="43" fontId="14" fillId="4" borderId="1" xfId="1" applyFont="1" applyFill="1" applyBorder="1" applyAlignment="1">
      <alignment vertical="center"/>
    </xf>
    <xf numFmtId="165" fontId="14" fillId="4" borderId="10" xfId="2" applyNumberFormat="1" applyFont="1" applyFill="1" applyBorder="1" applyAlignment="1">
      <alignment vertical="center"/>
    </xf>
    <xf numFmtId="0" fontId="14" fillId="0" borderId="31" xfId="0" applyFont="1" applyBorder="1" applyAlignment="1">
      <alignment horizontal="left" vertical="center" indent="2"/>
    </xf>
    <xf numFmtId="0" fontId="14" fillId="0" borderId="31" xfId="0" applyFont="1" applyBorder="1" applyAlignment="1">
      <alignment vertical="center"/>
    </xf>
    <xf numFmtId="43" fontId="14" fillId="0" borderId="31" xfId="1" applyFont="1" applyFill="1" applyBorder="1" applyAlignment="1">
      <alignment vertical="center"/>
    </xf>
    <xf numFmtId="164" fontId="41" fillId="0" borderId="31" xfId="1" applyNumberFormat="1" applyFont="1" applyFill="1" applyBorder="1" applyAlignment="1">
      <alignment vertical="center"/>
    </xf>
    <xf numFmtId="165" fontId="14" fillId="0" borderId="31" xfId="2" applyNumberFormat="1" applyFont="1" applyBorder="1" applyAlignment="1">
      <alignment horizontal="center" vertical="center"/>
    </xf>
    <xf numFmtId="165" fontId="14" fillId="0" borderId="50" xfId="2" applyNumberFormat="1" applyFont="1" applyBorder="1" applyAlignment="1">
      <alignment horizontal="center" vertical="center"/>
    </xf>
    <xf numFmtId="164" fontId="24" fillId="4" borderId="38" xfId="1" applyNumberFormat="1" applyFont="1" applyFill="1" applyBorder="1" applyAlignment="1">
      <alignment horizontal="center" vertical="center"/>
    </xf>
    <xf numFmtId="0" fontId="24" fillId="4" borderId="39" xfId="0" applyFont="1" applyFill="1" applyBorder="1" applyAlignment="1">
      <alignment vertical="center"/>
    </xf>
    <xf numFmtId="43" fontId="24" fillId="4" borderId="39" xfId="0" applyNumberFormat="1" applyFont="1" applyFill="1" applyBorder="1" applyAlignment="1">
      <alignment vertical="center"/>
    </xf>
    <xf numFmtId="43" fontId="24" fillId="4" borderId="39" xfId="0" applyNumberFormat="1" applyFont="1" applyFill="1" applyBorder="1" applyAlignment="1">
      <alignment horizontal="center" vertical="center"/>
    </xf>
    <xf numFmtId="0" fontId="24" fillId="4" borderId="39" xfId="0" applyFont="1" applyFill="1" applyBorder="1" applyAlignment="1">
      <alignment horizontal="center" vertical="center"/>
    </xf>
    <xf numFmtId="0" fontId="24" fillId="4" borderId="54" xfId="0" applyFont="1" applyFill="1" applyBorder="1" applyAlignment="1">
      <alignment vertical="center"/>
    </xf>
    <xf numFmtId="164" fontId="24" fillId="4" borderId="39" xfId="0" applyNumberFormat="1" applyFont="1" applyFill="1" applyBorder="1" applyAlignment="1">
      <alignment vertical="center"/>
    </xf>
    <xf numFmtId="0" fontId="24" fillId="4" borderId="53" xfId="0" applyFont="1" applyFill="1" applyBorder="1" applyAlignment="1">
      <alignment horizontal="center" vertical="center"/>
    </xf>
    <xf numFmtId="0" fontId="24" fillId="4" borderId="51" xfId="0" applyFont="1" applyFill="1" applyBorder="1" applyAlignment="1">
      <alignment vertical="center"/>
    </xf>
    <xf numFmtId="0" fontId="24" fillId="4" borderId="40" xfId="0" applyFont="1" applyFill="1" applyBorder="1" applyAlignment="1">
      <alignment vertical="center"/>
    </xf>
    <xf numFmtId="0" fontId="24" fillId="4" borderId="41" xfId="0" applyFont="1" applyFill="1" applyBorder="1" applyAlignment="1">
      <alignment horizontal="center" vertical="center"/>
    </xf>
    <xf numFmtId="0" fontId="24" fillId="4" borderId="42" xfId="0" applyFont="1" applyFill="1" applyBorder="1" applyAlignment="1">
      <alignment horizontal="center" vertical="center"/>
    </xf>
    <xf numFmtId="43" fontId="24" fillId="2" borderId="31" xfId="0" applyNumberFormat="1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164" fontId="24" fillId="2" borderId="31" xfId="0" applyNumberFormat="1" applyFont="1" applyFill="1" applyBorder="1" applyAlignment="1">
      <alignment vertical="center"/>
    </xf>
    <xf numFmtId="0" fontId="24" fillId="2" borderId="50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vertical="center"/>
    </xf>
    <xf numFmtId="0" fontId="24" fillId="2" borderId="32" xfId="0" applyFont="1" applyFill="1" applyBorder="1" applyAlignment="1">
      <alignment vertical="center"/>
    </xf>
    <xf numFmtId="0" fontId="24" fillId="2" borderId="43" xfId="0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center" vertical="center"/>
    </xf>
    <xf numFmtId="164" fontId="24" fillId="6" borderId="30" xfId="1" applyNumberFormat="1" applyFont="1" applyFill="1" applyBorder="1" applyAlignment="1">
      <alignment horizontal="center" vertical="center"/>
    </xf>
    <xf numFmtId="0" fontId="24" fillId="6" borderId="31" xfId="0" applyFont="1" applyFill="1" applyBorder="1" applyAlignment="1">
      <alignment vertical="center"/>
    </xf>
    <xf numFmtId="0" fontId="24" fillId="2" borderId="35" xfId="0" applyFont="1" applyFill="1" applyBorder="1" applyAlignment="1">
      <alignment horizontal="left" vertical="center"/>
    </xf>
    <xf numFmtId="164" fontId="36" fillId="4" borderId="31" xfId="1" applyNumberFormat="1" applyFont="1" applyFill="1" applyBorder="1" applyAlignment="1">
      <alignment horizontal="center" vertical="center"/>
    </xf>
    <xf numFmtId="164" fontId="14" fillId="0" borderId="31" xfId="1" applyNumberFormat="1" applyFont="1" applyBorder="1" applyAlignment="1">
      <alignment vertical="center"/>
    </xf>
    <xf numFmtId="164" fontId="14" fillId="0" borderId="31" xfId="1" applyNumberFormat="1" applyFont="1" applyFill="1" applyBorder="1" applyAlignment="1">
      <alignment vertical="center"/>
    </xf>
    <xf numFmtId="165" fontId="14" fillId="0" borderId="0" xfId="2" applyNumberFormat="1" applyFont="1" applyFill="1" applyBorder="1" applyAlignment="1">
      <alignment vertical="center"/>
    </xf>
    <xf numFmtId="164" fontId="40" fillId="0" borderId="31" xfId="1" applyNumberFormat="1" applyFont="1" applyFill="1" applyBorder="1" applyAlignment="1">
      <alignment vertical="center"/>
    </xf>
    <xf numFmtId="165" fontId="40" fillId="0" borderId="31" xfId="2" applyNumberFormat="1" applyFont="1" applyBorder="1" applyAlignment="1">
      <alignment horizontal="center" vertical="center"/>
    </xf>
    <xf numFmtId="165" fontId="40" fillId="0" borderId="50" xfId="2" applyNumberFormat="1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1" fillId="0" borderId="0" xfId="0" applyFont="1" applyAlignment="1">
      <alignment horizontal="center" wrapText="1"/>
    </xf>
    <xf numFmtId="0" fontId="31" fillId="0" borderId="0" xfId="0" applyFont="1" applyAlignment="1">
      <alignment wrapText="1"/>
    </xf>
    <xf numFmtId="43" fontId="9" fillId="4" borderId="1" xfId="1" applyFont="1" applyFill="1" applyBorder="1" applyAlignment="1">
      <alignment horizontal="right" vertical="center"/>
    </xf>
    <xf numFmtId="169" fontId="9" fillId="4" borderId="1" xfId="0" applyNumberFormat="1" applyFont="1" applyFill="1" applyBorder="1" applyAlignment="1">
      <alignment horizontal="right" vertical="center"/>
    </xf>
    <xf numFmtId="0" fontId="9" fillId="0" borderId="16" xfId="0" applyFont="1" applyBorder="1" applyAlignment="1">
      <alignment vertical="center"/>
    </xf>
    <xf numFmtId="167" fontId="9" fillId="4" borderId="2" xfId="1" applyNumberFormat="1" applyFont="1" applyFill="1" applyBorder="1" applyAlignment="1">
      <alignment horizontal="right" vertical="center"/>
    </xf>
    <xf numFmtId="169" fontId="9" fillId="0" borderId="2" xfId="0" applyNumberFormat="1" applyFont="1" applyBorder="1" applyAlignment="1">
      <alignment horizontal="right" vertical="center"/>
    </xf>
    <xf numFmtId="0" fontId="9" fillId="0" borderId="17" xfId="0" applyFont="1" applyBorder="1" applyAlignment="1">
      <alignment vertical="center"/>
    </xf>
    <xf numFmtId="43" fontId="9" fillId="4" borderId="3" xfId="1" applyFont="1" applyFill="1" applyBorder="1" applyAlignment="1">
      <alignment horizontal="right" vertical="center"/>
    </xf>
    <xf numFmtId="169" fontId="9" fillId="4" borderId="3" xfId="0" applyNumberFormat="1" applyFont="1" applyFill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169" fontId="9" fillId="4" borderId="47" xfId="0" applyNumberFormat="1" applyFont="1" applyFill="1" applyBorder="1" applyAlignment="1">
      <alignment horizontal="right" vertical="center"/>
    </xf>
    <xf numFmtId="14" fontId="0" fillId="4" borderId="0" xfId="0" applyNumberFormat="1" applyFill="1" applyAlignment="1">
      <alignment horizontal="left"/>
    </xf>
    <xf numFmtId="2" fontId="0" fillId="4" borderId="0" xfId="0" applyNumberFormat="1" applyFill="1" applyAlignment="1">
      <alignment horizontal="left"/>
    </xf>
    <xf numFmtId="49" fontId="43" fillId="0" borderId="0" xfId="0" applyNumberFormat="1" applyFont="1"/>
    <xf numFmtId="0" fontId="43" fillId="0" borderId="0" xfId="0" applyFont="1"/>
    <xf numFmtId="0" fontId="30" fillId="7" borderId="0" xfId="0" applyFont="1" applyFill="1"/>
    <xf numFmtId="0" fontId="44" fillId="2" borderId="31" xfId="0" applyFont="1" applyFill="1" applyBorder="1" applyAlignment="1">
      <alignment vertical="center"/>
    </xf>
    <xf numFmtId="43" fontId="30" fillId="0" borderId="0" xfId="0" applyNumberFormat="1" applyFont="1"/>
    <xf numFmtId="165" fontId="26" fillId="0" borderId="31" xfId="2" applyNumberFormat="1" applyFont="1" applyBorder="1" applyAlignment="1">
      <alignment horizontal="center" vertical="center"/>
    </xf>
    <xf numFmtId="0" fontId="14" fillId="2" borderId="31" xfId="0" applyFont="1" applyFill="1" applyBorder="1" applyAlignment="1">
      <alignment horizontal="left" vertical="center"/>
    </xf>
    <xf numFmtId="0" fontId="14" fillId="0" borderId="31" xfId="0" applyFont="1" applyBorder="1" applyAlignment="1">
      <alignment horizontal="left" vertical="center"/>
    </xf>
    <xf numFmtId="0" fontId="24" fillId="2" borderId="31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9" fillId="0" borderId="15" xfId="0" applyFont="1" applyBorder="1" applyAlignment="1">
      <alignment horizontal="left" vertical="center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4" fillId="0" borderId="0" xfId="0" applyFont="1" applyAlignment="1">
      <alignment horizontal="center" vertical="center"/>
    </xf>
    <xf numFmtId="167" fontId="2" fillId="4" borderId="2" xfId="1" applyNumberFormat="1" applyFont="1" applyFill="1" applyBorder="1" applyAlignment="1">
      <alignment horizontal="center" vertical="center" wrapText="1"/>
    </xf>
    <xf numFmtId="167" fontId="2" fillId="4" borderId="10" xfId="1" applyNumberFormat="1" applyFont="1" applyFill="1" applyBorder="1" applyAlignment="1">
      <alignment horizontal="center" vertical="center" wrapText="1"/>
    </xf>
    <xf numFmtId="167" fontId="2" fillId="4" borderId="3" xfId="1" applyNumberFormat="1" applyFont="1" applyFill="1" applyBorder="1" applyAlignment="1">
      <alignment horizontal="center" vertical="center" wrapText="1"/>
    </xf>
    <xf numFmtId="167" fontId="2" fillId="4" borderId="12" xfId="1" applyNumberFormat="1" applyFont="1" applyFill="1" applyBorder="1" applyAlignment="1">
      <alignment horizontal="center" vertical="center" wrapText="1"/>
    </xf>
    <xf numFmtId="14" fontId="18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20" xfId="0" applyFont="1" applyBorder="1" applyAlignment="1">
      <alignment horizontal="left" vertical="center" indent="1"/>
    </xf>
    <xf numFmtId="0" fontId="9" fillId="0" borderId="21" xfId="0" applyFont="1" applyBorder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18" xfId="0" applyFont="1" applyBorder="1" applyAlignment="1">
      <alignment horizontal="left" vertical="center" indent="1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14" fontId="29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362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381809</xdr:colOff>
      <xdr:row>1</xdr:row>
      <xdr:rowOff>12700</xdr:rowOff>
    </xdr:from>
    <xdr:to>
      <xdr:col>13</xdr:col>
      <xdr:colOff>743788</xdr:colOff>
      <xdr:row>5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581A7B-90CC-E844-9A1D-466ADEC81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07409" y="1231900"/>
          <a:ext cx="3816379" cy="990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62840</xdr:colOff>
      <xdr:row>0</xdr:row>
      <xdr:rowOff>213911</xdr:rowOff>
    </xdr:from>
    <xdr:to>
      <xdr:col>22</xdr:col>
      <xdr:colOff>1490592</xdr:colOff>
      <xdr:row>4</xdr:row>
      <xdr:rowOff>24006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9ED104-31BF-974E-8326-D15045E75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57373" y="213911"/>
          <a:ext cx="4577352" cy="11986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2418599</xdr:colOff>
      <xdr:row>0</xdr:row>
      <xdr:rowOff>213910</xdr:rowOff>
    </xdr:from>
    <xdr:to>
      <xdr:col>11</xdr:col>
      <xdr:colOff>1753063</xdr:colOff>
      <xdr:row>5</xdr:row>
      <xdr:rowOff>16934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38B2EE-BE3F-6945-9868-A4336924E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94499" y="213910"/>
          <a:ext cx="6687764" cy="17207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2418599</xdr:colOff>
      <xdr:row>0</xdr:row>
      <xdr:rowOff>213910</xdr:rowOff>
    </xdr:from>
    <xdr:to>
      <xdr:col>11</xdr:col>
      <xdr:colOff>1753063</xdr:colOff>
      <xdr:row>5</xdr:row>
      <xdr:rowOff>16934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B5FE3-75B3-204E-AF65-224C69C75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10499" y="213910"/>
          <a:ext cx="6687764" cy="1720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7233-F094-4C49-BBC9-D1A23252FC33}">
  <sheetPr>
    <tabColor rgb="FF2362AA"/>
    <pageSetUpPr fitToPage="1"/>
  </sheetPr>
  <dimension ref="A1:W63"/>
  <sheetViews>
    <sheetView showGridLines="0" tabSelected="1" zoomScale="101" zoomScaleNormal="100" workbookViewId="0">
      <selection activeCell="E17" sqref="E17:G17"/>
    </sheetView>
  </sheetViews>
  <sheetFormatPr defaultColWidth="10.875" defaultRowHeight="15"/>
  <cols>
    <col min="1" max="1" width="3.625" style="1" customWidth="1"/>
    <col min="2" max="2" width="36.875" style="1" customWidth="1"/>
    <col min="3" max="3" width="34.625" style="1" customWidth="1"/>
    <col min="4" max="4" width="4" style="1" customWidth="1"/>
    <col min="5" max="5" width="29.125" style="1" customWidth="1"/>
    <col min="6" max="6" width="16.125" style="1" customWidth="1"/>
    <col min="7" max="7" width="21.875" style="1" customWidth="1"/>
    <col min="8" max="8" width="13.875" style="1" customWidth="1"/>
    <col min="9" max="9" width="17.875" style="1" customWidth="1"/>
    <col min="10" max="10" width="10.375" style="1" customWidth="1"/>
    <col min="11" max="11" width="17.875" style="1" customWidth="1"/>
    <col min="12" max="12" width="10.375" style="1" customWidth="1"/>
    <col min="13" max="13" width="17.125" style="1" customWidth="1"/>
    <col min="14" max="14" width="10.375" style="1" customWidth="1"/>
    <col min="15" max="16" width="13.875" style="1" customWidth="1"/>
    <col min="17" max="17" width="11.375" style="1" customWidth="1"/>
    <col min="18" max="18" width="23" style="4" customWidth="1"/>
    <col min="19" max="19" width="15" style="4" customWidth="1"/>
    <col min="20" max="21" width="10.875" style="4"/>
    <col min="22" max="22" width="11.5" style="4" bestFit="1" customWidth="1"/>
    <col min="23" max="16384" width="10.875" style="1"/>
  </cols>
  <sheetData>
    <row r="1" spans="1:2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3" ht="23.25">
      <c r="A2" s="4"/>
      <c r="B2" s="335" t="s">
        <v>0</v>
      </c>
      <c r="C2" s="335"/>
      <c r="D2" s="326" t="str">
        <f>"Batch Overview - "&amp;C10</f>
        <v>Batch Overview - BXX.X.XXXX</v>
      </c>
      <c r="E2" s="326"/>
      <c r="F2" s="326"/>
      <c r="G2" s="326"/>
      <c r="H2" s="326"/>
      <c r="I2" s="326"/>
      <c r="J2" s="326"/>
      <c r="K2" s="51"/>
      <c r="L2" s="51"/>
      <c r="M2" s="51"/>
      <c r="N2" s="51"/>
      <c r="O2" s="4"/>
      <c r="P2" s="4"/>
      <c r="Q2" s="4"/>
    </row>
    <row r="3" spans="1:23" s="8" customFormat="1" ht="20.100000000000001" customHeight="1">
      <c r="A3" s="7"/>
      <c r="B3" s="335"/>
      <c r="C3" s="335"/>
      <c r="D3" s="327" t="str">
        <f>C12&amp;" - "&amp;C13&amp;" - "&amp;TEXT(C9,"m/d/yy")</f>
        <v>Monster Energy - Khaotic - 6/28/24</v>
      </c>
      <c r="E3" s="327"/>
      <c r="F3" s="327"/>
      <c r="G3" s="327"/>
      <c r="H3" s="327"/>
      <c r="I3" s="327"/>
      <c r="J3" s="327"/>
      <c r="K3" s="52"/>
      <c r="L3" s="52"/>
      <c r="M3" s="52"/>
      <c r="N3" s="52"/>
      <c r="O3" s="7"/>
      <c r="P3" s="7"/>
      <c r="Q3" s="7"/>
      <c r="R3" s="7"/>
      <c r="S3" s="7"/>
      <c r="T3" s="7"/>
      <c r="U3" s="7"/>
      <c r="W3" s="7"/>
    </row>
    <row r="4" spans="1:23" s="8" customFormat="1" ht="20.100000000000001" customHeight="1">
      <c r="A4" s="7"/>
      <c r="B4" s="336" t="str">
        <f>C16&amp;"+1 THROW"</f>
        <v>3+1 THROW</v>
      </c>
      <c r="C4" s="336"/>
      <c r="D4" s="330" t="s">
        <v>1</v>
      </c>
      <c r="E4" s="330"/>
      <c r="F4" s="330"/>
      <c r="G4" s="330"/>
      <c r="H4" s="330"/>
      <c r="I4" s="330"/>
      <c r="J4" s="330"/>
      <c r="K4" s="38"/>
      <c r="L4" s="38"/>
      <c r="M4" s="38"/>
      <c r="N4" s="38"/>
      <c r="O4" s="7"/>
      <c r="P4" s="7"/>
      <c r="Q4" s="7"/>
      <c r="R4" s="7"/>
      <c r="S4" s="7"/>
      <c r="T4" s="7"/>
      <c r="U4" s="7"/>
      <c r="W4" s="7"/>
    </row>
    <row r="5" spans="1:23" s="8" customFormat="1" ht="9.9499999999999993" customHeight="1">
      <c r="A5" s="7"/>
      <c r="B5" s="336"/>
      <c r="C5" s="336"/>
      <c r="D5" s="330"/>
      <c r="E5" s="330"/>
      <c r="F5" s="330"/>
      <c r="G5" s="330"/>
      <c r="H5" s="330"/>
      <c r="I5" s="330"/>
      <c r="J5" s="330"/>
      <c r="K5" s="38"/>
      <c r="L5" s="38"/>
      <c r="M5" s="38"/>
      <c r="N5" s="38"/>
      <c r="O5" s="7"/>
      <c r="P5" s="7"/>
      <c r="Q5" s="7"/>
      <c r="R5" s="7"/>
      <c r="S5" s="7"/>
      <c r="T5" s="7"/>
      <c r="U5" s="7"/>
      <c r="W5" s="7"/>
    </row>
    <row r="6" spans="1:23" s="8" customFormat="1" ht="12.95" customHeight="1">
      <c r="A6" s="7"/>
      <c r="B6" s="336"/>
      <c r="C6" s="336"/>
      <c r="D6" s="38"/>
      <c r="E6" s="38"/>
      <c r="F6" s="38"/>
      <c r="G6" s="38"/>
      <c r="H6" s="38"/>
      <c r="I6" s="328" t="s">
        <v>2</v>
      </c>
      <c r="J6" s="38"/>
      <c r="K6" s="328" t="s">
        <v>3</v>
      </c>
      <c r="L6" s="38"/>
      <c r="M6" s="38"/>
      <c r="N6" s="38"/>
      <c r="O6" s="7"/>
      <c r="P6" s="7"/>
      <c r="Q6" s="7"/>
      <c r="R6" s="7"/>
      <c r="S6" s="7"/>
      <c r="T6" s="7"/>
      <c r="U6" s="7"/>
      <c r="W6" s="7"/>
    </row>
    <row r="7" spans="1:23" s="8" customFormat="1" ht="20.100000000000001" customHeight="1">
      <c r="A7" s="7"/>
      <c r="E7" s="10"/>
      <c r="F7" s="10"/>
      <c r="G7" s="10"/>
      <c r="H7" s="10"/>
      <c r="I7" s="328"/>
      <c r="J7" s="11"/>
      <c r="K7" s="328"/>
      <c r="L7" s="11"/>
      <c r="M7" s="13"/>
      <c r="N7" s="13"/>
      <c r="O7" s="13"/>
      <c r="P7" s="7"/>
      <c r="Q7" s="7"/>
      <c r="R7" s="7"/>
      <c r="S7" s="7"/>
      <c r="T7" s="7"/>
      <c r="U7" s="7"/>
      <c r="W7" s="7"/>
    </row>
    <row r="8" spans="1:23" s="8" customFormat="1" ht="20.100000000000001" customHeight="1">
      <c r="B8" s="36" t="s">
        <v>4</v>
      </c>
      <c r="E8" s="36" t="s">
        <v>5</v>
      </c>
      <c r="F8" s="11" t="s">
        <v>6</v>
      </c>
      <c r="G8" s="82" t="s">
        <v>7</v>
      </c>
      <c r="H8" s="11" t="s">
        <v>8</v>
      </c>
      <c r="I8" s="329"/>
      <c r="J8" s="82" t="s">
        <v>9</v>
      </c>
      <c r="K8" s="329"/>
      <c r="L8" s="11" t="s">
        <v>9</v>
      </c>
      <c r="M8" s="13"/>
      <c r="N8" s="13"/>
      <c r="O8" s="13"/>
    </row>
    <row r="9" spans="1:23" s="13" customFormat="1" ht="26.1" customHeight="1">
      <c r="B9" s="14" t="s">
        <v>10</v>
      </c>
      <c r="C9" s="48">
        <v>45471</v>
      </c>
      <c r="E9" s="14" t="s">
        <v>11</v>
      </c>
      <c r="F9" s="301">
        <v>32.5</v>
      </c>
      <c r="G9" s="302" t="s">
        <v>12</v>
      </c>
      <c r="H9" s="85" t="s">
        <v>13</v>
      </c>
      <c r="I9" s="303"/>
      <c r="J9" s="18"/>
      <c r="K9" s="303"/>
      <c r="L9" s="18"/>
    </row>
    <row r="10" spans="1:23" s="13" customFormat="1" ht="26.1" customHeight="1">
      <c r="B10" s="15" t="s">
        <v>14</v>
      </c>
      <c r="C10" s="49" t="s">
        <v>15</v>
      </c>
      <c r="E10" s="15" t="s">
        <v>16</v>
      </c>
      <c r="F10" s="304">
        <v>1.1385000000000001</v>
      </c>
      <c r="G10" s="305" t="str">
        <f>TEXT(F10-0.0049,"0.0000")&amp;" - "&amp;TEXT(F10+0.0049,"0.0000")</f>
        <v>1.1336 - 1.1434</v>
      </c>
      <c r="H10" s="86" t="s">
        <v>17</v>
      </c>
      <c r="I10" s="306"/>
      <c r="J10" s="21"/>
      <c r="K10" s="306"/>
      <c r="L10" s="21"/>
    </row>
    <row r="11" spans="1:23" s="13" customFormat="1" ht="26.1" customHeight="1">
      <c r="B11" s="15" t="s">
        <v>18</v>
      </c>
      <c r="C11" s="49" t="s">
        <v>19</v>
      </c>
      <c r="E11" s="27" t="s">
        <v>20</v>
      </c>
      <c r="F11" s="307">
        <v>1.65</v>
      </c>
      <c r="G11" s="308" t="s">
        <v>21</v>
      </c>
      <c r="H11" s="309" t="s">
        <v>22</v>
      </c>
      <c r="I11" s="310"/>
      <c r="J11" s="30"/>
      <c r="K11" s="310"/>
      <c r="L11" s="30"/>
    </row>
    <row r="12" spans="1:23" s="13" customFormat="1" ht="26.1" customHeight="1">
      <c r="B12" s="15" t="s">
        <v>23</v>
      </c>
      <c r="C12" s="50" t="s">
        <v>24</v>
      </c>
      <c r="I12" s="104" t="s">
        <v>25</v>
      </c>
      <c r="J12" s="106"/>
      <c r="K12" s="104" t="s">
        <v>25</v>
      </c>
      <c r="L12" s="105"/>
      <c r="M12" s="328" t="s">
        <v>26</v>
      </c>
    </row>
    <row r="13" spans="1:23" s="13" customFormat="1" ht="26.1" customHeight="1">
      <c r="B13" s="15" t="s">
        <v>27</v>
      </c>
      <c r="C13" s="96" t="str">
        <f>DATEX!C3</f>
        <v>Khaotic</v>
      </c>
      <c r="E13" s="16"/>
      <c r="I13" s="300"/>
      <c r="K13" s="300"/>
      <c r="M13" s="328"/>
    </row>
    <row r="14" spans="1:23" s="13" customFormat="1" ht="26.1" customHeight="1">
      <c r="B14" s="15" t="s">
        <v>28</v>
      </c>
      <c r="C14" s="96" t="str">
        <f>DATEX!C4</f>
        <v>HBC-3564</v>
      </c>
      <c r="E14" s="37" t="s">
        <v>29</v>
      </c>
      <c r="F14" s="3" t="s">
        <v>6</v>
      </c>
      <c r="G14" s="3" t="s">
        <v>7</v>
      </c>
      <c r="H14" s="3" t="s">
        <v>8</v>
      </c>
      <c r="I14" s="299" t="s">
        <v>30</v>
      </c>
      <c r="J14" s="11" t="s">
        <v>9</v>
      </c>
      <c r="K14" s="299" t="s">
        <v>31</v>
      </c>
      <c r="L14" s="11" t="s">
        <v>9</v>
      </c>
      <c r="M14" s="329"/>
      <c r="N14" s="11" t="s">
        <v>9</v>
      </c>
    </row>
    <row r="15" spans="1:23" s="13" customFormat="1" ht="26.1" customHeight="1">
      <c r="B15" s="15" t="s">
        <v>32</v>
      </c>
      <c r="C15" s="97">
        <f>DATEX!C6</f>
        <v>44293</v>
      </c>
      <c r="E15" s="14" t="s">
        <v>33</v>
      </c>
      <c r="F15" s="114" t="s">
        <v>34</v>
      </c>
      <c r="G15" s="311" t="s">
        <v>35</v>
      </c>
      <c r="H15" s="85" t="s">
        <v>33</v>
      </c>
      <c r="I15" s="17"/>
      <c r="J15" s="18"/>
      <c r="K15" s="17"/>
      <c r="L15" s="18"/>
      <c r="M15" s="17"/>
      <c r="N15" s="18"/>
    </row>
    <row r="16" spans="1:23" s="13" customFormat="1" ht="26.1" customHeight="1">
      <c r="B16" s="15" t="s">
        <v>36</v>
      </c>
      <c r="C16" s="102">
        <f>DATEX!C8</f>
        <v>3</v>
      </c>
      <c r="D16" s="23"/>
      <c r="E16" s="15" t="s">
        <v>11</v>
      </c>
      <c r="F16" s="113">
        <v>8.9499999999999993</v>
      </c>
      <c r="G16" s="115" t="s">
        <v>37</v>
      </c>
      <c r="H16" s="86" t="s">
        <v>13</v>
      </c>
      <c r="I16" s="20"/>
      <c r="J16" s="21"/>
      <c r="K16" s="20"/>
      <c r="L16" s="21"/>
      <c r="M16" s="20"/>
      <c r="N16" s="21"/>
    </row>
    <row r="17" spans="1:14" s="13" customFormat="1" ht="26.1" customHeight="1">
      <c r="B17" s="15" t="s">
        <v>38</v>
      </c>
      <c r="C17" s="103">
        <f>C18/(C16+1)</f>
        <v>12000</v>
      </c>
      <c r="D17" s="25"/>
      <c r="E17" s="15" t="s">
        <v>39</v>
      </c>
      <c r="F17" s="19" t="s">
        <v>34</v>
      </c>
      <c r="G17" s="115" t="s">
        <v>40</v>
      </c>
      <c r="H17" s="86" t="s">
        <v>41</v>
      </c>
      <c r="I17" s="44"/>
      <c r="J17" s="45"/>
      <c r="K17" s="44"/>
      <c r="L17" s="45"/>
      <c r="M17" s="44"/>
      <c r="N17" s="45"/>
    </row>
    <row r="18" spans="1:14" s="13" customFormat="1" ht="26.1" customHeight="1">
      <c r="B18" s="15" t="s">
        <v>42</v>
      </c>
      <c r="C18" s="24">
        <f>C21*(C19*C20/128)</f>
        <v>48000</v>
      </c>
      <c r="D18" s="25"/>
      <c r="E18" s="15" t="s">
        <v>16</v>
      </c>
      <c r="F18" s="304">
        <v>1.0338000000000001</v>
      </c>
      <c r="G18" s="305" t="str">
        <f>TEXT(F18-0.0008,"0.0000")&amp;" - "&amp;TEXT(F18+0.0008,"0.0000")</f>
        <v>1.0330 - 1.0346</v>
      </c>
      <c r="H18" s="86" t="s">
        <v>17</v>
      </c>
      <c r="I18" s="20"/>
      <c r="J18" s="21"/>
      <c r="K18" s="20"/>
      <c r="L18" s="21"/>
      <c r="M18" s="20"/>
      <c r="N18" s="21"/>
    </row>
    <row r="19" spans="1:14" s="13" customFormat="1" ht="26.1" customHeight="1">
      <c r="B19" s="15" t="s">
        <v>43</v>
      </c>
      <c r="C19" s="26">
        <v>16</v>
      </c>
      <c r="D19" s="25"/>
      <c r="E19" s="15" t="s">
        <v>20</v>
      </c>
      <c r="F19" s="19" t="s">
        <v>34</v>
      </c>
      <c r="G19" s="115" t="s">
        <v>44</v>
      </c>
      <c r="H19" s="86" t="s">
        <v>22</v>
      </c>
      <c r="I19" s="20"/>
      <c r="J19" s="21"/>
      <c r="K19" s="20"/>
      <c r="L19" s="21"/>
      <c r="M19" s="20"/>
      <c r="N19" s="21"/>
    </row>
    <row r="20" spans="1:14" s="13" customFormat="1" ht="26.1" customHeight="1">
      <c r="B20" s="15" t="s">
        <v>45</v>
      </c>
      <c r="C20" s="26">
        <v>24</v>
      </c>
      <c r="D20" s="25"/>
      <c r="E20" s="15" t="s">
        <v>46</v>
      </c>
      <c r="F20" s="19">
        <v>29</v>
      </c>
      <c r="G20" s="305" t="str">
        <f t="shared" ref="G20:G21" si="0">TEXT(F20*0.92,"0.00")&amp;" - "&amp;TEXT(F20*1.08,"0.00")</f>
        <v>26.68 - 31.32</v>
      </c>
      <c r="H20" s="86" t="s">
        <v>47</v>
      </c>
      <c r="I20" s="20"/>
      <c r="J20" s="21"/>
      <c r="K20" s="20"/>
      <c r="L20" s="21"/>
      <c r="M20" s="20"/>
      <c r="N20" s="21"/>
    </row>
    <row r="21" spans="1:14" s="13" customFormat="1" ht="26.1" customHeight="1">
      <c r="B21" s="15" t="s">
        <v>48</v>
      </c>
      <c r="C21" s="22">
        <v>16000</v>
      </c>
      <c r="D21" s="8"/>
      <c r="E21" s="15" t="s">
        <v>49</v>
      </c>
      <c r="F21" s="19">
        <v>33.799999999999997</v>
      </c>
      <c r="G21" s="305" t="str">
        <f t="shared" si="0"/>
        <v>31.10 - 36.50</v>
      </c>
      <c r="H21" s="86" t="s">
        <v>47</v>
      </c>
      <c r="I21" s="28"/>
      <c r="J21" s="21"/>
      <c r="K21" s="28"/>
      <c r="L21" s="21"/>
      <c r="M21" s="28"/>
      <c r="N21" s="21"/>
    </row>
    <row r="22" spans="1:14" s="13" customFormat="1" ht="26.1" customHeight="1">
      <c r="B22" s="27" t="s">
        <v>50</v>
      </c>
      <c r="C22" s="89" t="s">
        <v>51</v>
      </c>
      <c r="D22" s="10"/>
      <c r="E22" s="15" t="s">
        <v>52</v>
      </c>
      <c r="F22" s="331" t="s">
        <v>53</v>
      </c>
      <c r="G22" s="331"/>
      <c r="H22" s="332"/>
      <c r="I22" s="28" t="s">
        <v>54</v>
      </c>
      <c r="J22" s="21"/>
      <c r="K22" s="28" t="s">
        <v>54</v>
      </c>
      <c r="L22" s="21"/>
      <c r="M22" s="28" t="s">
        <v>54</v>
      </c>
      <c r="N22" s="21"/>
    </row>
    <row r="23" spans="1:14" s="8" customFormat="1" ht="26.1" customHeight="1">
      <c r="A23" s="10"/>
      <c r="B23" s="37" t="s">
        <v>55</v>
      </c>
      <c r="C23" s="62" t="s">
        <v>9</v>
      </c>
      <c r="D23" s="13"/>
      <c r="E23" s="15" t="s">
        <v>56</v>
      </c>
      <c r="F23" s="331" t="s">
        <v>53</v>
      </c>
      <c r="G23" s="331"/>
      <c r="H23" s="332"/>
      <c r="I23" s="28" t="s">
        <v>54</v>
      </c>
      <c r="J23" s="21"/>
      <c r="K23" s="28" t="s">
        <v>54</v>
      </c>
      <c r="L23" s="21"/>
      <c r="M23" s="28" t="s">
        <v>54</v>
      </c>
      <c r="N23" s="21"/>
    </row>
    <row r="24" spans="1:14" s="10" customFormat="1" ht="26.1" customHeight="1">
      <c r="A24" s="13"/>
      <c r="B24" s="14" t="s">
        <v>57</v>
      </c>
      <c r="C24" s="60"/>
      <c r="D24" s="13"/>
      <c r="E24" s="27" t="s">
        <v>58</v>
      </c>
      <c r="F24" s="333" t="s">
        <v>53</v>
      </c>
      <c r="G24" s="333"/>
      <c r="H24" s="334"/>
      <c r="I24" s="29" t="s">
        <v>54</v>
      </c>
      <c r="J24" s="30"/>
      <c r="K24" s="29" t="s">
        <v>54</v>
      </c>
      <c r="L24" s="30"/>
      <c r="M24" s="29" t="s">
        <v>54</v>
      </c>
      <c r="N24" s="30"/>
    </row>
    <row r="25" spans="1:14" s="13" customFormat="1" ht="26.1" customHeight="1">
      <c r="B25" s="15" t="s">
        <v>59</v>
      </c>
      <c r="C25" s="111"/>
      <c r="E25" s="8"/>
      <c r="F25" s="8"/>
      <c r="G25" s="8"/>
      <c r="H25" s="8"/>
      <c r="I25" s="47" t="s">
        <v>25</v>
      </c>
      <c r="J25" s="46"/>
      <c r="K25" s="47" t="s">
        <v>25</v>
      </c>
      <c r="L25" s="46"/>
      <c r="M25" s="47" t="s">
        <v>25</v>
      </c>
      <c r="N25" s="46"/>
    </row>
    <row r="26" spans="1:14" s="13" customFormat="1" ht="26.1" customHeight="1">
      <c r="B26" s="15" t="s">
        <v>60</v>
      </c>
      <c r="C26" s="111"/>
    </row>
    <row r="27" spans="1:14" s="13" customFormat="1" ht="26.1" customHeight="1">
      <c r="B27" s="27" t="s">
        <v>61</v>
      </c>
      <c r="C27" s="61"/>
    </row>
    <row r="28" spans="1:14" s="13" customFormat="1" ht="26.1" customHeight="1">
      <c r="B28" s="37" t="s">
        <v>62</v>
      </c>
      <c r="C28" s="3" t="s">
        <v>63</v>
      </c>
      <c r="D28" s="8"/>
    </row>
    <row r="29" spans="1:14" s="13" customFormat="1" ht="26.1" customHeight="1">
      <c r="A29" s="8"/>
      <c r="B29" s="14" t="s">
        <v>64</v>
      </c>
      <c r="C29" s="31" t="s">
        <v>65</v>
      </c>
      <c r="D29" s="8"/>
      <c r="E29" s="3" t="s">
        <v>66</v>
      </c>
      <c r="F29" s="3" t="s">
        <v>67</v>
      </c>
      <c r="G29" s="3" t="s">
        <v>68</v>
      </c>
      <c r="H29" s="3" t="s">
        <v>69</v>
      </c>
      <c r="I29" s="3" t="s">
        <v>9</v>
      </c>
      <c r="K29" s="98" t="s">
        <v>70</v>
      </c>
      <c r="L29" s="99"/>
      <c r="M29" s="99"/>
      <c r="N29" s="99"/>
    </row>
    <row r="30" spans="1:14" s="8" customFormat="1" ht="26.1" customHeight="1">
      <c r="B30" s="15" t="s">
        <v>71</v>
      </c>
      <c r="C30" s="33" t="s">
        <v>72</v>
      </c>
      <c r="D30" s="12"/>
      <c r="E30" s="14" t="s">
        <v>73</v>
      </c>
      <c r="F30" s="118" t="s">
        <v>74</v>
      </c>
      <c r="G30" s="118" t="s">
        <v>75</v>
      </c>
      <c r="H30" s="119" t="s">
        <v>76</v>
      </c>
      <c r="I30" s="32"/>
      <c r="J30" s="13"/>
      <c r="K30" s="120"/>
      <c r="L30" s="79"/>
      <c r="M30" s="79"/>
      <c r="N30" s="63"/>
    </row>
    <row r="31" spans="1:14" s="8" customFormat="1" ht="26.1" customHeight="1">
      <c r="A31" s="13"/>
      <c r="B31" s="27" t="s">
        <v>77</v>
      </c>
      <c r="C31" s="35" t="s">
        <v>78</v>
      </c>
      <c r="D31" s="10"/>
      <c r="E31" s="27" t="s">
        <v>79</v>
      </c>
      <c r="F31" s="42" t="s">
        <v>80</v>
      </c>
      <c r="G31" s="42" t="s">
        <v>80</v>
      </c>
      <c r="H31" s="43" t="s">
        <v>80</v>
      </c>
      <c r="I31" s="34"/>
      <c r="J31" s="13"/>
      <c r="K31" s="120"/>
      <c r="L31" s="13"/>
      <c r="M31" s="13"/>
      <c r="N31" s="92"/>
    </row>
    <row r="32" spans="1:14" s="13" customFormat="1" ht="26.1" customHeight="1">
      <c r="D32" s="8"/>
      <c r="E32" s="337"/>
      <c r="F32" s="337"/>
      <c r="G32" s="337"/>
      <c r="H32" s="337"/>
      <c r="J32" s="8"/>
      <c r="K32" s="120"/>
      <c r="L32" s="100"/>
      <c r="M32" s="100"/>
      <c r="N32" s="94"/>
    </row>
    <row r="33" spans="1:14" s="13" customFormat="1" ht="26.1" customHeight="1">
      <c r="B33" s="80" t="s">
        <v>81</v>
      </c>
      <c r="C33" s="81"/>
      <c r="D33" s="8"/>
      <c r="E33" s="80" t="s">
        <v>82</v>
      </c>
      <c r="F33" s="80"/>
      <c r="G33" s="82" t="s">
        <v>25</v>
      </c>
      <c r="H33" s="83"/>
      <c r="I33" s="83" t="s">
        <v>83</v>
      </c>
      <c r="J33" s="8"/>
      <c r="K33" s="93"/>
      <c r="L33" s="100"/>
      <c r="M33" s="100"/>
      <c r="N33" s="63"/>
    </row>
    <row r="34" spans="1:14" s="13" customFormat="1" ht="26.1" customHeight="1">
      <c r="A34" s="8"/>
      <c r="B34" s="84"/>
      <c r="C34" s="84"/>
      <c r="D34" s="8"/>
      <c r="E34" s="10"/>
      <c r="F34" s="10"/>
      <c r="G34" s="10"/>
      <c r="H34" s="8"/>
      <c r="I34" s="8"/>
      <c r="K34" s="91"/>
      <c r="L34" s="79"/>
      <c r="M34" s="79"/>
      <c r="N34" s="63"/>
    </row>
    <row r="35" spans="1:14" s="8" customFormat="1" ht="26.1" customHeight="1">
      <c r="B35" s="80" t="s">
        <v>84</v>
      </c>
      <c r="C35" s="81"/>
      <c r="E35" s="80" t="s">
        <v>85</v>
      </c>
      <c r="F35" s="80"/>
      <c r="G35" s="82" t="s">
        <v>25</v>
      </c>
      <c r="H35" s="83"/>
      <c r="I35" s="83" t="s">
        <v>83</v>
      </c>
      <c r="J35" s="13"/>
      <c r="K35" s="91"/>
      <c r="L35" s="13"/>
      <c r="M35" s="13"/>
      <c r="N35" s="92"/>
    </row>
    <row r="36" spans="1:14" s="8" customFormat="1" ht="26.1" customHeight="1">
      <c r="J36" s="13"/>
      <c r="K36" s="338"/>
      <c r="L36" s="339"/>
      <c r="M36" s="339"/>
      <c r="N36" s="340"/>
    </row>
    <row r="37" spans="1:14" s="8" customFormat="1" ht="26.1" customHeight="1">
      <c r="B37" s="80" t="s">
        <v>86</v>
      </c>
      <c r="C37" s="81"/>
      <c r="E37" s="80" t="s">
        <v>87</v>
      </c>
      <c r="F37" s="80"/>
      <c r="G37" s="82" t="s">
        <v>25</v>
      </c>
      <c r="H37" s="83"/>
      <c r="I37" s="83" t="s">
        <v>83</v>
      </c>
      <c r="K37" s="323"/>
      <c r="L37" s="324"/>
      <c r="M37" s="324"/>
      <c r="N37" s="325"/>
    </row>
    <row r="38" spans="1:14" s="8" customFormat="1" ht="26.1" customHeight="1"/>
    <row r="39" spans="1:14" s="8" customFormat="1" ht="26.1" customHeight="1"/>
    <row r="40" spans="1:14" s="8" customFormat="1" ht="26.1" customHeight="1"/>
    <row r="41" spans="1:14" s="8" customFormat="1" ht="20.100000000000001" customHeight="1"/>
    <row r="42" spans="1:14" s="8" customFormat="1" ht="20.100000000000001" customHeight="1"/>
    <row r="43" spans="1:14" s="8" customFormat="1" ht="20.100000000000001" customHeight="1"/>
    <row r="44" spans="1:14" s="8" customFormat="1" ht="20.100000000000001" customHeight="1"/>
    <row r="45" spans="1:14" s="8" customFormat="1" ht="20.100000000000001" customHeight="1"/>
    <row r="46" spans="1:14" s="8" customFormat="1" ht="20.100000000000001" customHeight="1"/>
    <row r="47" spans="1:14" s="8" customFormat="1" ht="20.100000000000001" customHeight="1"/>
    <row r="48" spans="1:14" s="8" customFormat="1" ht="20.100000000000001" customHeight="1"/>
    <row r="49" spans="1:22" s="8" customFormat="1" ht="20.100000000000001" customHeight="1"/>
    <row r="50" spans="1:22" s="8" customFormat="1" ht="20.100000000000001" customHeight="1"/>
    <row r="51" spans="1:22" s="8" customFormat="1" ht="20.100000000000001" customHeight="1"/>
    <row r="52" spans="1:22" s="8" customFormat="1" ht="20.100000000000001" customHeight="1"/>
    <row r="53" spans="1:22" s="8" customFormat="1" ht="20.100000000000001" customHeight="1"/>
    <row r="54" spans="1:22" s="8" customFormat="1" ht="20.100000000000001" customHeight="1"/>
    <row r="55" spans="1:22" s="8" customFormat="1" ht="20.100000000000001" customHeight="1"/>
    <row r="56" spans="1:22" s="8" customFormat="1" ht="20.100000000000001" customHeight="1"/>
    <row r="57" spans="1:22" s="8" customFormat="1" ht="20.100000000000001" customHeight="1"/>
    <row r="58" spans="1:22" s="8" customFormat="1" ht="20.100000000000001" customHeight="1"/>
    <row r="59" spans="1:22" s="8" customFormat="1" ht="20.100000000000001" customHeight="1"/>
    <row r="60" spans="1:22" s="8" customFormat="1" ht="20.100000000000001" customHeight="1">
      <c r="D60" s="1"/>
      <c r="R60" s="7"/>
      <c r="S60" s="7"/>
      <c r="T60" s="7"/>
      <c r="U60" s="7"/>
      <c r="V60" s="7"/>
    </row>
    <row r="61" spans="1:22" s="8" customFormat="1" ht="20.100000000000001" customHeight="1">
      <c r="B61" s="1"/>
      <c r="C61" s="1"/>
      <c r="D61" s="1"/>
      <c r="R61" s="7"/>
      <c r="S61" s="7"/>
      <c r="T61" s="7"/>
      <c r="U61" s="7"/>
      <c r="V61" s="7"/>
    </row>
    <row r="62" spans="1:22" s="8" customFormat="1" ht="20.100000000000001" customHeight="1">
      <c r="B62" s="1"/>
      <c r="C62" s="1"/>
      <c r="D62" s="1"/>
      <c r="R62" s="7"/>
      <c r="S62" s="7"/>
      <c r="T62" s="7"/>
      <c r="U62" s="7"/>
      <c r="V62" s="7"/>
    </row>
    <row r="63" spans="1:22" s="8" customFormat="1" ht="20.10000000000000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R63" s="7"/>
      <c r="S63" s="7"/>
      <c r="T63" s="7"/>
      <c r="U63" s="7"/>
      <c r="V63" s="7"/>
    </row>
  </sheetData>
  <mergeCells count="14">
    <mergeCell ref="B2:C3"/>
    <mergeCell ref="F23:H23"/>
    <mergeCell ref="B4:C6"/>
    <mergeCell ref="E32:H32"/>
    <mergeCell ref="K36:N36"/>
    <mergeCell ref="K37:N37"/>
    <mergeCell ref="D2:J2"/>
    <mergeCell ref="D3:J3"/>
    <mergeCell ref="M12:M14"/>
    <mergeCell ref="I6:I8"/>
    <mergeCell ref="K6:K8"/>
    <mergeCell ref="D4:J5"/>
    <mergeCell ref="F22:H22"/>
    <mergeCell ref="F24:H24"/>
  </mergeCells>
  <pageMargins left="0.25" right="0.25" top="0.75" bottom="0.75" header="0.3" footer="0.3"/>
  <pageSetup scale="52" orientation="landscape" horizontalDpi="0" verticalDpi="0"/>
  <headerFooter>
    <oddFooter>&amp;L&amp;"-,Bold" Confidential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56E1-A143-3949-B077-92CC14C8C37F}">
  <sheetPr>
    <tabColor rgb="FF2362AA"/>
    <pageSetUpPr fitToPage="1"/>
  </sheetPr>
  <dimension ref="A1:AI97"/>
  <sheetViews>
    <sheetView showGridLines="0" zoomScale="75" zoomScaleNormal="100" workbookViewId="0">
      <selection activeCell="O8" sqref="O8"/>
    </sheetView>
  </sheetViews>
  <sheetFormatPr defaultColWidth="10.875" defaultRowHeight="20.25" outlineLevelCol="1"/>
  <cols>
    <col min="1" max="1" width="5.375" style="77" customWidth="1"/>
    <col min="2" max="2" width="8.625" style="182" customWidth="1"/>
    <col min="3" max="4" width="9.625" style="182" hidden="1" customWidth="1" outlineLevel="1"/>
    <col min="5" max="8" width="18.625" style="182" hidden="1" customWidth="1" outlineLevel="1"/>
    <col min="9" max="9" width="50" style="183" customWidth="1" collapsed="1"/>
    <col min="10" max="10" width="58.625" style="183" customWidth="1"/>
    <col min="11" max="11" width="30.875" style="182" customWidth="1"/>
    <col min="12" max="12" width="23.5" style="182" bestFit="1" customWidth="1"/>
    <col min="13" max="13" width="16" style="182" customWidth="1"/>
    <col min="14" max="14" width="20.5" style="183" customWidth="1"/>
    <col min="15" max="17" width="19.875" style="183" customWidth="1"/>
    <col min="18" max="18" width="2.875" style="183" customWidth="1"/>
    <col min="19" max="19" width="20" style="183" customWidth="1"/>
    <col min="20" max="21" width="21" style="183" customWidth="1"/>
    <col min="22" max="23" width="20.125" style="183" customWidth="1"/>
    <col min="24" max="24" width="11.375" style="183" customWidth="1"/>
    <col min="25" max="25" width="23.125" style="183" customWidth="1"/>
    <col min="26" max="26" width="19.875" style="183" customWidth="1"/>
    <col min="27" max="28" width="13.625" style="182" customWidth="1"/>
    <col min="29" max="30" width="10.875" style="183"/>
    <col min="31" max="31" width="11.5" style="183" bestFit="1" customWidth="1"/>
    <col min="32" max="16384" width="10.875" style="183"/>
  </cols>
  <sheetData>
    <row r="1" spans="1:35">
      <c r="AF1" s="39"/>
      <c r="AG1" s="39"/>
      <c r="AH1" s="39"/>
      <c r="AI1" s="39"/>
    </row>
    <row r="2" spans="1:35" ht="24.95" customHeight="1">
      <c r="C2" s="204"/>
      <c r="D2" s="204"/>
      <c r="E2" s="188"/>
      <c r="F2" s="188"/>
      <c r="G2" s="188"/>
      <c r="H2" s="205"/>
      <c r="I2" s="343" t="s">
        <v>0</v>
      </c>
      <c r="J2" s="343"/>
      <c r="K2" s="341" t="str">
        <f>"Batch Instructions - "&amp;'MASTER - Batch Overview'!C10</f>
        <v>Batch Instructions - BXX.X.XXXX</v>
      </c>
      <c r="L2" s="341"/>
      <c r="M2" s="341"/>
      <c r="N2" s="341"/>
      <c r="O2" s="341"/>
      <c r="P2" s="341"/>
      <c r="Q2" s="341"/>
      <c r="R2" s="185"/>
      <c r="S2" s="184"/>
      <c r="T2" s="184"/>
      <c r="U2" s="184"/>
      <c r="V2" s="184"/>
      <c r="W2" s="184"/>
      <c r="X2" s="184"/>
      <c r="Y2" s="184"/>
      <c r="Z2" s="184"/>
      <c r="AA2" s="185"/>
      <c r="AB2" s="185"/>
      <c r="AF2" s="39"/>
      <c r="AG2" s="39"/>
      <c r="AH2" s="39"/>
      <c r="AI2" s="39"/>
    </row>
    <row r="3" spans="1:35" s="39" customFormat="1" ht="30" customHeight="1">
      <c r="A3" s="77"/>
      <c r="B3" s="204"/>
      <c r="C3" s="204"/>
      <c r="D3" s="204"/>
      <c r="E3" s="188"/>
      <c r="F3" s="188"/>
      <c r="G3" s="188"/>
      <c r="H3" s="205"/>
      <c r="I3" s="343"/>
      <c r="J3" s="343"/>
      <c r="K3" s="342" t="str">
        <f>'MASTER - Batch Overview'!D3</f>
        <v>Monster Energy - Khaotic - 6/28/24</v>
      </c>
      <c r="L3" s="342"/>
      <c r="M3" s="342"/>
      <c r="N3" s="342"/>
      <c r="O3" s="342"/>
      <c r="P3" s="342"/>
      <c r="Q3" s="342"/>
      <c r="R3" s="187"/>
      <c r="S3" s="186"/>
      <c r="T3" s="186"/>
      <c r="U3" s="186"/>
      <c r="V3" s="186"/>
      <c r="W3" s="186"/>
      <c r="X3" s="186"/>
      <c r="Y3" s="186"/>
      <c r="Z3" s="186"/>
      <c r="AA3" s="187"/>
      <c r="AB3" s="187"/>
    </row>
    <row r="4" spans="1:35" s="39" customFormat="1" ht="33" customHeight="1">
      <c r="A4" s="77"/>
      <c r="B4" s="205"/>
      <c r="C4" s="188"/>
      <c r="D4" s="188"/>
      <c r="E4" s="188"/>
      <c r="F4" s="188"/>
      <c r="G4" s="188"/>
      <c r="H4" s="205"/>
      <c r="I4" s="188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6"/>
      <c r="X4" s="186"/>
      <c r="Y4" s="186"/>
      <c r="Z4" s="186"/>
      <c r="AA4" s="187"/>
      <c r="AB4" s="187"/>
    </row>
    <row r="5" spans="1:35" s="39" customFormat="1" ht="20.100000000000001" customHeight="1">
      <c r="A5" s="77"/>
      <c r="B5" s="77"/>
      <c r="C5" s="77"/>
      <c r="D5" s="77"/>
      <c r="E5" s="77"/>
      <c r="F5" s="77"/>
      <c r="G5" s="77"/>
      <c r="H5" s="77"/>
      <c r="I5" s="56"/>
      <c r="J5" s="57"/>
      <c r="K5" s="57"/>
      <c r="L5" s="57"/>
      <c r="M5" s="57"/>
      <c r="N5" s="203" t="s">
        <v>88</v>
      </c>
      <c r="O5" s="203" t="s">
        <v>89</v>
      </c>
      <c r="P5" s="203" t="s">
        <v>90</v>
      </c>
      <c r="Q5" s="57"/>
      <c r="R5" s="57"/>
      <c r="T5" s="107" t="s">
        <v>91</v>
      </c>
      <c r="U5" s="57"/>
      <c r="V5" s="57"/>
      <c r="AA5" s="77"/>
      <c r="AB5" s="77"/>
    </row>
    <row r="6" spans="1:35" s="39" customFormat="1" ht="20.100000000000001" customHeight="1">
      <c r="A6" s="77"/>
      <c r="B6" s="77"/>
      <c r="C6" s="77"/>
      <c r="D6" s="77"/>
      <c r="E6" s="77"/>
      <c r="F6" s="77"/>
      <c r="G6" s="77"/>
      <c r="H6" s="77"/>
      <c r="K6" s="58"/>
      <c r="L6" s="57"/>
      <c r="M6" s="57"/>
      <c r="N6" s="203" t="s">
        <v>92</v>
      </c>
      <c r="O6" s="203" t="s">
        <v>93</v>
      </c>
      <c r="P6" s="203" t="s">
        <v>94</v>
      </c>
      <c r="R6" s="57"/>
      <c r="S6" s="107" t="s">
        <v>95</v>
      </c>
      <c r="T6" s="107" t="s">
        <v>92</v>
      </c>
      <c r="AA6" s="77"/>
      <c r="AB6" s="77"/>
    </row>
    <row r="7" spans="1:35" s="39" customFormat="1" ht="27.95" customHeight="1">
      <c r="A7" s="77"/>
      <c r="B7" s="77"/>
      <c r="E7" s="77"/>
      <c r="F7" s="77"/>
      <c r="G7" s="77"/>
      <c r="H7" s="77"/>
      <c r="K7" s="189" t="s">
        <v>96</v>
      </c>
      <c r="L7" s="216"/>
      <c r="M7" s="216"/>
      <c r="N7" s="216">
        <f>DATEX!K13</f>
        <v>56903.871222125446</v>
      </c>
      <c r="O7" s="190">
        <f>N7/8.33</f>
        <v>6831.1970254652397</v>
      </c>
      <c r="P7" s="219">
        <f>O7/O$7</f>
        <v>1</v>
      </c>
      <c r="R7" s="208"/>
      <c r="S7" s="231" t="s">
        <v>97</v>
      </c>
      <c r="T7" s="235">
        <f>SUM(DATEX!K14:K41)</f>
        <v>56527.99140294519</v>
      </c>
      <c r="AA7" s="77"/>
      <c r="AB7" s="77"/>
    </row>
    <row r="8" spans="1:35" s="39" customFormat="1" ht="27.95" customHeight="1">
      <c r="A8" s="77"/>
      <c r="B8" s="77"/>
      <c r="E8" s="77"/>
      <c r="F8" s="77"/>
      <c r="G8" s="77"/>
      <c r="H8" s="77"/>
      <c r="J8" s="57"/>
      <c r="K8" s="258" t="s">
        <v>98</v>
      </c>
      <c r="L8" s="259"/>
      <c r="M8" s="259"/>
      <c r="N8" s="260">
        <f>O8*8.33</f>
        <v>24990</v>
      </c>
      <c r="O8" s="242">
        <f>O15</f>
        <v>3000</v>
      </c>
      <c r="P8" s="261">
        <f>O8/O$7</f>
        <v>0.43916168554598006</v>
      </c>
      <c r="R8" s="209"/>
      <c r="S8" s="233" t="s">
        <v>99</v>
      </c>
      <c r="T8" s="236">
        <f>SUM(N15:N72)</f>
        <v>56527.99140294519</v>
      </c>
      <c r="AA8" s="77"/>
      <c r="AB8" s="77"/>
    </row>
    <row r="9" spans="1:35" s="39" customFormat="1" ht="27.95" customHeight="1">
      <c r="A9" s="77"/>
      <c r="B9" s="77"/>
      <c r="E9" s="77"/>
      <c r="F9" s="77"/>
      <c r="G9" s="77"/>
      <c r="H9" s="77"/>
      <c r="J9" s="57"/>
      <c r="K9" s="191" t="s">
        <v>100</v>
      </c>
      <c r="L9" s="217"/>
      <c r="M9" s="217"/>
      <c r="N9" s="237">
        <f>O9*8.33</f>
        <v>19992</v>
      </c>
      <c r="O9" s="238">
        <f>SUM($O$15:$O$70)-O8</f>
        <v>2400</v>
      </c>
      <c r="P9" s="239">
        <f>O9/O$7</f>
        <v>0.35132934843678404</v>
      </c>
      <c r="R9" s="209"/>
      <c r="S9" s="234" t="s">
        <v>101</v>
      </c>
      <c r="T9" s="232">
        <f>T7-T8</f>
        <v>0</v>
      </c>
      <c r="AA9" s="77"/>
      <c r="AB9" s="77"/>
    </row>
    <row r="10" spans="1:35" s="39" customFormat="1" ht="27.95" customHeight="1">
      <c r="A10" s="77"/>
      <c r="B10" s="77"/>
      <c r="C10" s="77"/>
      <c r="D10" s="77"/>
      <c r="E10" s="77"/>
      <c r="F10" s="77"/>
      <c r="G10" s="77"/>
      <c r="H10" s="77"/>
      <c r="J10" s="57"/>
      <c r="K10" s="254" t="s">
        <v>102</v>
      </c>
      <c r="L10" s="255"/>
      <c r="M10" s="255"/>
      <c r="N10" s="256">
        <f>N7-SUM(N8:N9)</f>
        <v>11921.871222125446</v>
      </c>
      <c r="O10" s="253">
        <f>O7-SUM(O8:O9)</f>
        <v>1431.1970254652397</v>
      </c>
      <c r="P10" s="257">
        <f>O10/O$7</f>
        <v>0.20950896601723587</v>
      </c>
      <c r="R10" s="210"/>
      <c r="AA10" s="77"/>
      <c r="AB10" s="77"/>
    </row>
    <row r="11" spans="1:35" s="39" customFormat="1" ht="20.100000000000001" customHeight="1">
      <c r="A11" s="77"/>
      <c r="B11" s="77"/>
      <c r="C11" s="77"/>
      <c r="D11" s="77"/>
      <c r="E11" s="77"/>
      <c r="F11" s="77"/>
      <c r="G11" s="77"/>
      <c r="H11" s="77"/>
      <c r="K11" s="77"/>
      <c r="L11" s="77"/>
      <c r="M11" s="77"/>
      <c r="N11" s="192"/>
      <c r="O11" s="220"/>
      <c r="P11" s="192"/>
      <c r="Q11" s="192"/>
      <c r="R11" s="192"/>
      <c r="T11" s="59"/>
      <c r="U11" s="59"/>
      <c r="V11" s="59"/>
    </row>
    <row r="12" spans="1:35" s="39" customFormat="1" ht="27" customHeight="1">
      <c r="A12" s="77"/>
      <c r="B12" s="55"/>
      <c r="C12" s="55"/>
      <c r="D12" s="55"/>
      <c r="E12" s="55"/>
      <c r="F12" s="55"/>
      <c r="G12" s="55"/>
      <c r="H12" s="55"/>
      <c r="I12" s="201"/>
      <c r="J12" s="201"/>
      <c r="K12" s="59"/>
      <c r="L12" s="59"/>
      <c r="M12" s="59"/>
      <c r="N12" s="107" t="s">
        <v>103</v>
      </c>
      <c r="O12" s="221" t="s">
        <v>93</v>
      </c>
      <c r="P12" s="59" t="s">
        <v>94</v>
      </c>
      <c r="Q12" s="59" t="s">
        <v>104</v>
      </c>
      <c r="R12" s="59"/>
      <c r="S12" s="57" t="s">
        <v>92</v>
      </c>
      <c r="T12" s="203" t="s">
        <v>93</v>
      </c>
      <c r="U12" s="59" t="s">
        <v>94</v>
      </c>
      <c r="V12" s="59" t="s">
        <v>105</v>
      </c>
      <c r="W12" s="59" t="s">
        <v>105</v>
      </c>
    </row>
    <row r="13" spans="1:35" s="39" customFormat="1" ht="20.100000000000001" customHeight="1">
      <c r="A13" s="77"/>
      <c r="B13" s="59" t="s">
        <v>106</v>
      </c>
      <c r="C13" s="198" t="s">
        <v>107</v>
      </c>
      <c r="D13" s="198" t="s">
        <v>108</v>
      </c>
      <c r="E13" s="199" t="s">
        <v>109</v>
      </c>
      <c r="F13" s="199" t="s">
        <v>110</v>
      </c>
      <c r="G13" s="199" t="s">
        <v>111</v>
      </c>
      <c r="H13" s="199" t="s">
        <v>112</v>
      </c>
      <c r="I13" s="218" t="s">
        <v>113</v>
      </c>
      <c r="J13" s="218" t="s">
        <v>114</v>
      </c>
      <c r="K13" s="202" t="s">
        <v>115</v>
      </c>
      <c r="L13" s="202" t="s">
        <v>116</v>
      </c>
      <c r="M13" s="59" t="s">
        <v>117</v>
      </c>
      <c r="N13" s="107" t="s">
        <v>118</v>
      </c>
      <c r="O13" s="221" t="s">
        <v>119</v>
      </c>
      <c r="P13" s="59" t="s">
        <v>120</v>
      </c>
      <c r="Q13" s="59" t="s">
        <v>121</v>
      </c>
      <c r="R13" s="59"/>
      <c r="S13" s="57" t="s">
        <v>122</v>
      </c>
      <c r="T13" s="203" t="s">
        <v>122</v>
      </c>
      <c r="U13" s="59" t="s">
        <v>123</v>
      </c>
      <c r="V13" s="59" t="s">
        <v>124</v>
      </c>
      <c r="W13" s="59" t="s">
        <v>125</v>
      </c>
    </row>
    <row r="14" spans="1:35" s="56" customFormat="1" ht="27.95" customHeight="1">
      <c r="A14" s="55"/>
      <c r="B14" s="268">
        <v>1</v>
      </c>
      <c r="C14" s="269"/>
      <c r="D14" s="269"/>
      <c r="E14" s="270"/>
      <c r="F14" s="270"/>
      <c r="G14" s="271"/>
      <c r="H14" s="272"/>
      <c r="I14" s="273" t="str">
        <f>"Meter in "&amp;P15&amp;" water directly to batch tank to start batch."</f>
        <v>Meter in Ambient water directly to batch tank to start batch.</v>
      </c>
      <c r="J14" s="269"/>
      <c r="K14" s="269"/>
      <c r="L14" s="269"/>
      <c r="M14" s="269"/>
      <c r="N14" s="270"/>
      <c r="O14" s="274"/>
      <c r="P14" s="269"/>
      <c r="Q14" s="275"/>
      <c r="S14" s="276"/>
      <c r="T14" s="277"/>
      <c r="U14" s="277"/>
      <c r="V14" s="278"/>
      <c r="W14" s="279"/>
    </row>
    <row r="15" spans="1:35" s="39" customFormat="1" ht="27.95" customHeight="1">
      <c r="A15" s="77">
        <v>1</v>
      </c>
      <c r="B15" s="224">
        <f>MAX(B$14:B14)+0.1</f>
        <v>1.1000000000000001</v>
      </c>
      <c r="C15" s="291"/>
      <c r="D15" s="291"/>
      <c r="E15" s="193"/>
      <c r="F15" s="121"/>
      <c r="G15" s="122"/>
      <c r="H15" s="200"/>
      <c r="I15" s="262" t="str">
        <f>VLOOKUP($A15,DATEX!$B$13:$Q$43,4,FALSE)</f>
        <v>Purified RO Treated Water</v>
      </c>
      <c r="J15" s="263"/>
      <c r="K15" s="263"/>
      <c r="L15" s="263"/>
      <c r="M15" s="263" t="str">
        <f>VLOOKUP($A15,DATEX!$B$13:$Q$43,5,FALSE)</f>
        <v>Liquid</v>
      </c>
      <c r="N15" s="264">
        <v>0</v>
      </c>
      <c r="O15" s="265">
        <v>3000</v>
      </c>
      <c r="P15" s="266" t="str">
        <f>VLOOKUP($A15,DATEX!$B$13:$T$43,18,FALSE)</f>
        <v>Ambient</v>
      </c>
      <c r="Q15" s="267">
        <f>VLOOKUP($A15,DATEX!$B$13:$T$43,17,FALSE)</f>
        <v>0.45</v>
      </c>
      <c r="R15" s="211"/>
      <c r="S15" s="215" t="s">
        <v>34</v>
      </c>
      <c r="T15" s="74" t="s">
        <v>126</v>
      </c>
      <c r="U15" s="74" t="s">
        <v>127</v>
      </c>
      <c r="V15" s="223" t="s">
        <v>34</v>
      </c>
      <c r="W15" s="75"/>
    </row>
    <row r="16" spans="1:35" s="56" customFormat="1" ht="27.95" customHeight="1">
      <c r="A16" s="55"/>
      <c r="B16" s="225">
        <f>ROUNDDOWN(MAX(B$14:B15)+1,0)</f>
        <v>2</v>
      </c>
      <c r="C16" s="76"/>
      <c r="D16" s="76"/>
      <c r="E16" s="109"/>
      <c r="F16" s="109"/>
      <c r="G16" s="280"/>
      <c r="H16" s="281"/>
      <c r="I16" s="317" t="str">
        <f>"Transfer ingredient below directly from Sugar Stoarge Tank directly into batch tank."</f>
        <v>Transfer ingredient below directly from Sugar Stoarge Tank directly into batch tank.</v>
      </c>
      <c r="J16" s="76"/>
      <c r="K16" s="76"/>
      <c r="L16" s="76"/>
      <c r="M16" s="281"/>
      <c r="N16" s="109"/>
      <c r="O16" s="282"/>
      <c r="P16" s="76"/>
      <c r="Q16" s="283"/>
      <c r="S16" s="284"/>
      <c r="T16" s="285"/>
      <c r="U16" s="285"/>
      <c r="V16" s="286"/>
      <c r="W16" s="287"/>
    </row>
    <row r="17" spans="1:23" s="39" customFormat="1" ht="27.95" customHeight="1">
      <c r="A17" s="77">
        <v>2</v>
      </c>
      <c r="B17" s="224">
        <f>MAX(B$14:B16)+0.1</f>
        <v>2.1</v>
      </c>
      <c r="C17" s="291">
        <v>1</v>
      </c>
      <c r="D17" s="291">
        <v>0</v>
      </c>
      <c r="E17" s="292">
        <f>VLOOKUP($A17,DATEX!$B$13:$Q$43,12,FALSE)</f>
        <v>1</v>
      </c>
      <c r="F17" s="263" t="str">
        <f>VLOOKUP($A17,DATEX!$B$13:$Q$43,13,FALSE)</f>
        <v>lb.</v>
      </c>
      <c r="G17" s="196" t="str">
        <f>IF(C17&gt;1,VLOOKUP($A17,DATEX!$B$13:$Q$43,15,FALSE),VLOOKUP($A17,DATEX!$B$13:$Q$43,14,FALSE))</f>
        <v>bulk</v>
      </c>
      <c r="H17" s="266">
        <f>VLOOKUP($A17,DATEX!$B$13:$Q$43,16,FALSE)</f>
        <v>0</v>
      </c>
      <c r="I17" s="262" t="str">
        <f>VLOOKUP($A17,DATEX!$B$13:$Q$43,4,FALSE)</f>
        <v>Liquid Sucrose 66.5° Brix</v>
      </c>
      <c r="J17" s="263" t="str">
        <f>TEXT(DATEX!G14,"0,0.00")&amp;" Gal."</f>
        <v>2,868.61 Gal.</v>
      </c>
      <c r="K17" s="263" t="str">
        <f>VLOOKUP($A17,DATEX!$B$13:$Q$43,2,FALSE)</f>
        <v>MECLSUCROSE</v>
      </c>
      <c r="L17" s="263" t="str">
        <f>VLOOKUP($A17,DATEX!$B$13:$Q$43,3,FALSE)</f>
        <v>Batory Foods</v>
      </c>
      <c r="M17" s="263" t="str">
        <f>VLOOKUP($A17,DATEX!$B$13:$Q$43,5,FALSE)</f>
        <v>Liquid</v>
      </c>
      <c r="N17" s="264">
        <f>DATEX!K14</f>
        <v>31706.715737124556</v>
      </c>
      <c r="O17" s="293">
        <v>0</v>
      </c>
      <c r="P17" s="319" t="s">
        <v>80</v>
      </c>
      <c r="Q17" s="267">
        <f>VLOOKUP($A17,DATEX!$B$13:$T$43,17,FALSE)</f>
        <v>0.55000000000000004</v>
      </c>
      <c r="R17" s="294"/>
      <c r="S17" s="213" t="s">
        <v>128</v>
      </c>
      <c r="T17" s="223" t="s">
        <v>34</v>
      </c>
      <c r="U17" s="223" t="s">
        <v>34</v>
      </c>
      <c r="V17" s="74"/>
      <c r="W17" s="75"/>
    </row>
    <row r="18" spans="1:23" s="56" customFormat="1" ht="27.95" customHeight="1">
      <c r="A18" s="55"/>
      <c r="B18" s="225">
        <f>ROUNDDOWN(MAX(B$14:B17)+1,0)</f>
        <v>3</v>
      </c>
      <c r="C18" s="76"/>
      <c r="D18" s="76"/>
      <c r="E18" s="109"/>
      <c r="F18" s="109"/>
      <c r="G18" s="280"/>
      <c r="H18" s="281"/>
      <c r="I18" s="76" t="str">
        <f>"Meter in "&amp;P19&amp;" water to mixer, then add ingredient(s) below into mixer and mix until thoroughly dissolved.  Visually inspect to verify the material is fully dissolved.  Transfer into batch tank."</f>
        <v>Meter in 140° F water to mixer, then add ingredient(s) below into mixer and mix until thoroughly dissolved.  Visually inspect to verify the material is fully dissolved.  Transfer into batch tank.</v>
      </c>
      <c r="J18" s="76"/>
      <c r="K18" s="76"/>
      <c r="L18" s="76"/>
      <c r="M18" s="281"/>
      <c r="N18" s="109"/>
      <c r="O18" s="282"/>
      <c r="P18" s="76"/>
      <c r="Q18" s="283"/>
      <c r="S18" s="284"/>
      <c r="T18" s="285"/>
      <c r="U18" s="285"/>
      <c r="V18" s="286"/>
      <c r="W18" s="287"/>
    </row>
    <row r="19" spans="1:23" s="39" customFormat="1" ht="27.95" customHeight="1">
      <c r="A19" s="77">
        <v>3</v>
      </c>
      <c r="B19" s="224">
        <f>MAX(B$14:B18)+0.1</f>
        <v>3.1</v>
      </c>
      <c r="C19" s="291">
        <v>1</v>
      </c>
      <c r="D19" s="291">
        <v>0</v>
      </c>
      <c r="E19" s="292">
        <f>VLOOKUP($A19,DATEX!$B$13:$Q$43,12,FALSE)</f>
        <v>907.5</v>
      </c>
      <c r="F19" s="263" t="str">
        <f>VLOOKUP($A19,DATEX!$B$13:$Q$43,13,FALSE)</f>
        <v>kg</v>
      </c>
      <c r="G19" s="196" t="str">
        <f>IF(C19&gt;1,VLOOKUP($A19,DATEX!$B$13:$Q$43,15,FALSE),VLOOKUP($A19,DATEX!$B$13:$Q$43,14,FALSE))</f>
        <v>supersack</v>
      </c>
      <c r="H19" s="266">
        <f>VLOOKUP($A19,DATEX!$B$13:$Q$43,16,FALSE)</f>
        <v>0.5</v>
      </c>
      <c r="I19" s="262" t="str">
        <f>VLOOKUP($A19,DATEX!$B$13:$Q$43,4,FALSE)</f>
        <v>Dextrose Monohydrate</v>
      </c>
      <c r="J19" s="263" t="str">
        <f>IF(C19&gt;0,"("&amp;TEXT(C19,"0")&amp;") "&amp;TEXT(E19,"0,0.00")&amp;" "&amp;F19&amp;" "&amp;G19&amp;" (Full)","("&amp;TEXT(N19/E19,"0.00")&amp;") "&amp;TEXT(E19,"0,0.00")&amp;" "&amp;F19&amp;" "&amp;G19&amp;" (Partial)")</f>
        <v>(1) 907.50 kg supersack (Full)</v>
      </c>
      <c r="K19" s="263" t="str">
        <f>VLOOKUP($A19,DATEX!$B$13:$Q$43,2,FALSE)</f>
        <v>MECDEXTROSE</v>
      </c>
      <c r="L19" s="263" t="str">
        <f>VLOOKUP($A19,DATEX!$B$13:$Q$43,3,FALSE)</f>
        <v>Redox</v>
      </c>
      <c r="M19" s="263" t="str">
        <f>VLOOKUP($A19,DATEX!$B$13:$Q$43,5,FALSE)</f>
        <v>Dry</v>
      </c>
      <c r="N19" s="264">
        <f>C19*VLOOKUP(A19,DATEX!$B$13:$W$43,19,FALSE)+D19*VLOOKUP(A19,DATEX!$B$13:$W$43,22,FALSE)</f>
        <v>2000.6950293277641</v>
      </c>
      <c r="O19" s="293">
        <f>MAX(100,ROUNDUP(((SUM(N19)/H19-SUM(N19))/8.33),-1))</f>
        <v>250</v>
      </c>
      <c r="P19" s="266" t="str">
        <f>VLOOKUP($A19,DATEX!$B$13:$T$43,18,FALSE)</f>
        <v>140° F</v>
      </c>
      <c r="Q19" s="267">
        <f>VLOOKUP($A19,DATEX!$B$13:$T$43,17,FALSE)</f>
        <v>0.55000000000000004</v>
      </c>
      <c r="R19" s="294"/>
      <c r="S19" s="213" t="s">
        <v>128</v>
      </c>
      <c r="T19" s="74" t="s">
        <v>126</v>
      </c>
      <c r="U19" s="74" t="s">
        <v>127</v>
      </c>
      <c r="V19" s="74"/>
      <c r="W19" s="75"/>
    </row>
    <row r="20" spans="1:23" s="56" customFormat="1" ht="27.95" customHeight="1">
      <c r="A20" s="55"/>
      <c r="B20" s="225">
        <f>ROUNDDOWN(MAX(B$14:B19)+1,0)</f>
        <v>4</v>
      </c>
      <c r="C20" s="76"/>
      <c r="D20" s="76"/>
      <c r="E20" s="109"/>
      <c r="F20" s="109"/>
      <c r="G20" s="280"/>
      <c r="H20" s="281"/>
      <c r="I20" s="76" t="str">
        <f>"Meter in "&amp;P21&amp;" water to mixer, then add ingredient(s) below into mixer and mix until thoroughly dissolved.  Visually inspect to verify the material is fully dissolved.  Transfer into batch tank."</f>
        <v>Meter in 140° F water to mixer, then add ingredient(s) below into mixer and mix until thoroughly dissolved.  Visually inspect to verify the material is fully dissolved.  Transfer into batch tank.</v>
      </c>
      <c r="J20" s="76"/>
      <c r="K20" s="76"/>
      <c r="L20" s="76"/>
      <c r="M20" s="281"/>
      <c r="N20" s="109"/>
      <c r="O20" s="282"/>
      <c r="P20" s="76"/>
      <c r="Q20" s="283"/>
      <c r="S20" s="284"/>
      <c r="T20" s="285"/>
      <c r="U20" s="285"/>
      <c r="V20" s="286"/>
      <c r="W20" s="287"/>
    </row>
    <row r="21" spans="1:23" s="39" customFormat="1" ht="27.95" customHeight="1">
      <c r="A21" s="77">
        <v>3</v>
      </c>
      <c r="B21" s="224">
        <f>MAX(B$14:B20)+0.1</f>
        <v>4.0999999999999996</v>
      </c>
      <c r="C21" s="291">
        <v>1</v>
      </c>
      <c r="D21" s="291">
        <v>0</v>
      </c>
      <c r="E21" s="292">
        <f>VLOOKUP($A21,DATEX!$B$13:$Q$43,12,FALSE)</f>
        <v>907.5</v>
      </c>
      <c r="F21" s="263" t="str">
        <f>VLOOKUP($A21,DATEX!$B$13:$Q$43,13,FALSE)</f>
        <v>kg</v>
      </c>
      <c r="G21" s="196" t="str">
        <f>IF(C21&gt;1,VLOOKUP($A21,DATEX!$B$13:$Q$43,15,FALSE),VLOOKUP($A21,DATEX!$B$13:$Q$43,14,FALSE))</f>
        <v>supersack</v>
      </c>
      <c r="H21" s="266">
        <f>VLOOKUP($A21,DATEX!$B$13:$Q$43,16,FALSE)</f>
        <v>0.5</v>
      </c>
      <c r="I21" s="262" t="str">
        <f>VLOOKUP($A21,DATEX!$B$13:$Q$43,4,FALSE)</f>
        <v>Dextrose Monohydrate</v>
      </c>
      <c r="J21" s="263" t="str">
        <f>IF(C21&gt;0,"("&amp;TEXT(C21,"0")&amp;") "&amp;TEXT(E21,"0,0.00")&amp;" "&amp;F21&amp;" "&amp;G21&amp;" (Full)","("&amp;TEXT(N21/E21,"0.00")&amp;") "&amp;TEXT(E21,"0,0.00")&amp;" "&amp;F21&amp;" "&amp;G21&amp;" (Partial)")</f>
        <v>(1) 907.50 kg supersack (Full)</v>
      </c>
      <c r="K21" s="263" t="str">
        <f>VLOOKUP($A21,DATEX!$B$13:$Q$43,2,FALSE)</f>
        <v>MECDEXTROSE</v>
      </c>
      <c r="L21" s="263" t="str">
        <f>VLOOKUP($A21,DATEX!$B$13:$Q$43,3,FALSE)</f>
        <v>Redox</v>
      </c>
      <c r="M21" s="263" t="str">
        <f>VLOOKUP($A21,DATEX!$B$13:$Q$43,5,FALSE)</f>
        <v>Dry</v>
      </c>
      <c r="N21" s="264">
        <f>C21*VLOOKUP(A21,DATEX!$B$13:$W$43,19,FALSE)+D21*VLOOKUP(A21,DATEX!$B$13:$W$43,22,FALSE)</f>
        <v>2000.6950293277641</v>
      </c>
      <c r="O21" s="293">
        <f>MAX(100,ROUNDUP(((SUM(N21)/H21-SUM(N21))/8.33),-1))</f>
        <v>250</v>
      </c>
      <c r="P21" s="266" t="str">
        <f>VLOOKUP($A21,DATEX!$B$13:$T$43,18,FALSE)</f>
        <v>140° F</v>
      </c>
      <c r="Q21" s="267">
        <f>VLOOKUP($A21,DATEX!$B$13:$T$43,17,FALSE)</f>
        <v>0.55000000000000004</v>
      </c>
      <c r="R21" s="294"/>
      <c r="S21" s="213" t="s">
        <v>128</v>
      </c>
      <c r="T21" s="74" t="s">
        <v>126</v>
      </c>
      <c r="U21" s="74" t="s">
        <v>127</v>
      </c>
      <c r="V21" s="74"/>
      <c r="W21" s="75"/>
    </row>
    <row r="22" spans="1:23" s="39" customFormat="1" ht="27.95" customHeight="1">
      <c r="A22" s="77"/>
      <c r="B22" s="225">
        <f>ROUNDDOWN(MAX(B$14:B21)+1,0)</f>
        <v>5</v>
      </c>
      <c r="C22" s="65"/>
      <c r="D22" s="65"/>
      <c r="E22" s="108"/>
      <c r="F22" s="108"/>
      <c r="G22" s="197"/>
      <c r="H22" s="112"/>
      <c r="I22" s="76" t="str">
        <f>"Meter in "&amp;P23&amp;" water to mixer, then add ingredient(s) below into mixer and mix until thoroughly dissolved.  Visually inspect to verify the material is fully dissolved.  Transfer into batch tank."</f>
        <v>Meter in 140° F water to mixer, then add ingredient(s) below into mixer and mix until thoroughly dissolved.  Visually inspect to verify the material is fully dissolved.  Transfer into batch tank.</v>
      </c>
      <c r="J22" s="65"/>
      <c r="K22" s="65"/>
      <c r="L22" s="65"/>
      <c r="M22" s="112"/>
      <c r="N22" s="108"/>
      <c r="O22" s="222"/>
      <c r="P22" s="65"/>
      <c r="Q22" s="214"/>
      <c r="S22" s="212"/>
      <c r="T22" s="72"/>
      <c r="U22" s="72"/>
      <c r="V22" s="73"/>
      <c r="W22" s="67"/>
    </row>
    <row r="23" spans="1:23" s="39" customFormat="1" ht="27.95" customHeight="1">
      <c r="A23" s="77">
        <v>3</v>
      </c>
      <c r="B23" s="224">
        <f>MAX(B$14:B22)+0.1</f>
        <v>5.0999999999999996</v>
      </c>
      <c r="C23" s="291">
        <v>0</v>
      </c>
      <c r="D23" s="291">
        <v>1</v>
      </c>
      <c r="E23" s="292">
        <f>VLOOKUP($A23,DATEX!$B$13:$Q$43,12,FALSE)</f>
        <v>907.5</v>
      </c>
      <c r="F23" s="263" t="str">
        <f>VLOOKUP($A23,DATEX!$B$13:$Q$43,13,FALSE)</f>
        <v>kg</v>
      </c>
      <c r="G23" s="196" t="str">
        <f>IF(C23&gt;1,VLOOKUP($A23,DATEX!$B$13:$Q$43,15,FALSE),VLOOKUP($A23,DATEX!$B$13:$Q$43,14,FALSE))</f>
        <v>supersack</v>
      </c>
      <c r="H23" s="266">
        <f>VLOOKUP($A23,DATEX!$B$13:$Q$43,16,FALSE)</f>
        <v>0.5</v>
      </c>
      <c r="I23" s="262" t="str">
        <f>VLOOKUP($A23,DATEX!$B$13:$Q$43,4,FALSE)</f>
        <v>Dextrose Monohydrate</v>
      </c>
      <c r="J23" s="263" t="str">
        <f>IF(C23&gt;0,"("&amp;TEXT(C23,"0")&amp;") "&amp;TEXT(E23,"0,0.00")&amp;" "&amp;F23&amp;" "&amp;G23&amp;" (Full)","("&amp;TEXT(N23/E23,"0.00")&amp;") "&amp;TEXT(E23,"0,0.00")&amp;" "&amp;F23&amp;" "&amp;G23&amp;" (Partial)")</f>
        <v>(0.63) 907.50 kg supersack (Partial)</v>
      </c>
      <c r="K23" s="263" t="str">
        <f>VLOOKUP($A23,DATEX!$B$13:$Q$43,2,FALSE)</f>
        <v>MECDEXTROSE</v>
      </c>
      <c r="L23" s="263" t="str">
        <f>VLOOKUP($A23,DATEX!$B$13:$Q$43,3,FALSE)</f>
        <v>Redox</v>
      </c>
      <c r="M23" s="263" t="str">
        <f>VLOOKUP($A23,DATEX!$B$13:$Q$43,5,FALSE)</f>
        <v>Dry</v>
      </c>
      <c r="N23" s="264">
        <f>C23*VLOOKUP(A23,DATEX!$B$13:$W$43,19,FALSE)+D23*VLOOKUP(A23,DATEX!$B$13:$W$43,22,FALSE)</f>
        <v>574.35412136501327</v>
      </c>
      <c r="O23" s="293">
        <f>MAX(100,ROUNDUP(((SUM(N23)/H23-SUM(N23))/8.33),-1))</f>
        <v>100</v>
      </c>
      <c r="P23" s="266" t="str">
        <f>VLOOKUP($A23,DATEX!$B$13:$T$43,18,FALSE)</f>
        <v>140° F</v>
      </c>
      <c r="Q23" s="267">
        <f>VLOOKUP($A23,DATEX!$B$13:$T$43,17,FALSE)</f>
        <v>0.55000000000000004</v>
      </c>
      <c r="R23" s="294"/>
      <c r="S23" s="213" t="s">
        <v>128</v>
      </c>
      <c r="T23" s="74" t="s">
        <v>126</v>
      </c>
      <c r="U23" s="74" t="s">
        <v>127</v>
      </c>
      <c r="V23" s="74"/>
      <c r="W23" s="75"/>
    </row>
    <row r="24" spans="1:23" s="39" customFormat="1" ht="27.95" customHeight="1">
      <c r="A24" s="77"/>
      <c r="B24" s="225">
        <f>ROUNDDOWN(MAX(B$14:B23)+1,0)</f>
        <v>6</v>
      </c>
      <c r="C24" s="65"/>
      <c r="D24" s="65"/>
      <c r="E24" s="108"/>
      <c r="F24" s="108"/>
      <c r="G24" s="197"/>
      <c r="H24" s="112"/>
      <c r="I24" s="76" t="str">
        <f>"Rinse and push. Meter in "&amp;P25&amp;" water to mixer.  Turn on mixer for 2 minutes.  Transfer into batch tank."</f>
        <v>Rinse and push. Meter in Ambient water to mixer.  Turn on mixer for 2 minutes.  Transfer into batch tank.</v>
      </c>
      <c r="J24" s="65"/>
      <c r="K24" s="320"/>
      <c r="L24" s="65"/>
      <c r="M24" s="112"/>
      <c r="N24" s="108"/>
      <c r="O24" s="222"/>
      <c r="P24" s="65"/>
      <c r="Q24" s="214"/>
      <c r="S24" s="212"/>
      <c r="T24" s="72"/>
      <c r="U24" s="72"/>
      <c r="V24" s="73"/>
      <c r="W24" s="67"/>
    </row>
    <row r="25" spans="1:23" s="39" customFormat="1" ht="27.95" customHeight="1">
      <c r="A25" s="77">
        <v>1</v>
      </c>
      <c r="B25" s="224">
        <f>MAX(B$14:B24)+0.1</f>
        <v>6.1</v>
      </c>
      <c r="C25" s="291"/>
      <c r="D25" s="291"/>
      <c r="E25" s="292"/>
      <c r="F25" s="263"/>
      <c r="G25" s="196"/>
      <c r="H25" s="266"/>
      <c r="I25" s="262" t="str">
        <f>VLOOKUP($A25,DATEX!$B$13:$Q$43,4,FALSE)</f>
        <v>Purified RO Treated Water</v>
      </c>
      <c r="J25" s="263"/>
      <c r="K25" s="321"/>
      <c r="L25" s="263"/>
      <c r="M25" s="263" t="str">
        <f>VLOOKUP($A25,DATEX!$B$13:$Q$43,5,FALSE)</f>
        <v>Liquid</v>
      </c>
      <c r="N25" s="264">
        <v>0</v>
      </c>
      <c r="O25" s="265">
        <v>100</v>
      </c>
      <c r="P25" s="266" t="str">
        <f>VLOOKUP($A25,DATEX!$B$13:$T$43,18,FALSE)</f>
        <v>Ambient</v>
      </c>
      <c r="Q25" s="267">
        <f>VLOOKUP($A25,DATEX!$B$13:$T$43,17,FALSE)</f>
        <v>0.45</v>
      </c>
      <c r="R25" s="294"/>
      <c r="S25" s="215" t="s">
        <v>34</v>
      </c>
      <c r="T25" s="74" t="s">
        <v>126</v>
      </c>
      <c r="U25" s="74" t="s">
        <v>127</v>
      </c>
      <c r="V25" s="223" t="s">
        <v>34</v>
      </c>
      <c r="W25" s="75"/>
    </row>
    <row r="26" spans="1:23" s="56" customFormat="1" ht="27.95" customHeight="1">
      <c r="A26" s="55"/>
      <c r="B26" s="225">
        <f>ROUNDDOWN(MAX(B$14:B25)+1,0)</f>
        <v>7</v>
      </c>
      <c r="C26" s="76"/>
      <c r="D26" s="76"/>
      <c r="E26" s="109"/>
      <c r="F26" s="109"/>
      <c r="G26" s="280"/>
      <c r="H26" s="281"/>
      <c r="I26" s="76" t="str">
        <f>"Add ingredient(s) below into mixer then transfer directly into batch tank."</f>
        <v>Add ingredient(s) below into mixer then transfer directly into batch tank.</v>
      </c>
      <c r="J26" s="76"/>
      <c r="K26" s="322"/>
      <c r="L26" s="76"/>
      <c r="M26" s="281"/>
      <c r="N26" s="109"/>
      <c r="O26" s="282"/>
      <c r="P26" s="76"/>
      <c r="Q26" s="283"/>
      <c r="S26" s="284"/>
      <c r="T26" s="285"/>
      <c r="U26" s="285"/>
      <c r="V26" s="286"/>
      <c r="W26" s="287"/>
    </row>
    <row r="27" spans="1:23" s="39" customFormat="1" ht="27.95" customHeight="1">
      <c r="A27" s="77">
        <v>4</v>
      </c>
      <c r="B27" s="224">
        <f>MAX(B$14:B26)+0.1</f>
        <v>7.1</v>
      </c>
      <c r="C27" s="291">
        <v>1</v>
      </c>
      <c r="D27" s="291">
        <v>0</v>
      </c>
      <c r="E27" s="292">
        <f>VLOOKUP($A27,DATEX!$B$13:$Q$43,12,FALSE)</f>
        <v>2701.45</v>
      </c>
      <c r="F27" s="263" t="str">
        <f>VLOOKUP($A27,DATEX!$B$13:$Q$43,13,FALSE)</f>
        <v>lb.</v>
      </c>
      <c r="G27" s="196" t="str">
        <f>IF(C27&gt;1,VLOOKUP($A27,DATEX!$B$13:$Q$43,15,FALSE),VLOOKUP($A27,DATEX!$B$13:$Q$43,14,FALSE))</f>
        <v>tote</v>
      </c>
      <c r="H27" s="266">
        <f>VLOOKUP($A27,DATEX!$B$13:$Q$43,16,FALSE)</f>
        <v>1</v>
      </c>
      <c r="I27" s="262" t="str">
        <f>VLOOKUP($A27,DATEX!$B$13:$Q$43,4,FALSE)</f>
        <v>Khaos Juice Base 070460</v>
      </c>
      <c r="J27" s="263" t="str">
        <f>IF(C27&gt;0,"("&amp;TEXT(C27,"0")&amp;") "&amp;TEXT(E27,"0,0.00")&amp;" "&amp;F27&amp;" "&amp;G27&amp;" (Full)","("&amp;TEXT(N27/E27,"0.00")&amp;") "&amp;TEXT(E27,"0,0.00")&amp;" "&amp;F27&amp;" "&amp;G27&amp;" (Partial)")</f>
        <v>(1) 2,701.45 lb. tote (Full)</v>
      </c>
      <c r="K27" s="321" t="str">
        <f>VLOOKUP($A27,DATEX!$B$13:$Q$43,2,FALSE)</f>
        <v>070460</v>
      </c>
      <c r="L27" s="263" t="str">
        <f>VLOOKUP($A27,DATEX!$B$13:$Q$43,3,FALSE)</f>
        <v>AFF</v>
      </c>
      <c r="M27" s="263" t="str">
        <f>VLOOKUP($A27,DATEX!$B$13:$Q$43,5,FALSE)</f>
        <v>Liquid</v>
      </c>
      <c r="N27" s="264">
        <f>C27*VLOOKUP(A27,DATEX!$B$13:$W$43,19,FALSE)+D27*VLOOKUP(A27,DATEX!$B$13:$W$43,22,FALSE)</f>
        <v>2701.45</v>
      </c>
      <c r="O27" s="293">
        <v>0</v>
      </c>
      <c r="P27" s="319" t="str">
        <f>VLOOKUP($A27,DATEX!$B$13:$T$43,18,FALSE)</f>
        <v>N/A</v>
      </c>
      <c r="Q27" s="267">
        <f>VLOOKUP($A27,DATEX!$B$13:$T$43,17,FALSE)</f>
        <v>0.45</v>
      </c>
      <c r="R27" s="294"/>
      <c r="S27" s="213" t="s">
        <v>128</v>
      </c>
      <c r="T27" s="223" t="s">
        <v>34</v>
      </c>
      <c r="U27" s="223" t="s">
        <v>34</v>
      </c>
      <c r="V27" s="74"/>
      <c r="W27" s="75"/>
    </row>
    <row r="28" spans="1:23" s="56" customFormat="1" ht="27.95" customHeight="1">
      <c r="A28" s="55"/>
      <c r="B28" s="225">
        <f>ROUNDDOWN(MAX(B$14:B27)+1,0)</f>
        <v>8</v>
      </c>
      <c r="C28" s="76"/>
      <c r="D28" s="76"/>
      <c r="E28" s="109"/>
      <c r="F28" s="109"/>
      <c r="G28" s="280"/>
      <c r="H28" s="281"/>
      <c r="I28" s="76" t="str">
        <f>"Add ingredient(s) below into mixer then transfer directly into batch tank."</f>
        <v>Add ingredient(s) below into mixer then transfer directly into batch tank.</v>
      </c>
      <c r="J28" s="76"/>
      <c r="K28" s="322"/>
      <c r="L28" s="76"/>
      <c r="M28" s="281"/>
      <c r="N28" s="109"/>
      <c r="O28" s="282"/>
      <c r="P28" s="76"/>
      <c r="Q28" s="283"/>
      <c r="S28" s="284"/>
      <c r="T28" s="285"/>
      <c r="U28" s="285"/>
      <c r="V28" s="286"/>
      <c r="W28" s="287"/>
    </row>
    <row r="29" spans="1:23" s="39" customFormat="1" ht="27.95" customHeight="1">
      <c r="A29" s="77">
        <v>4</v>
      </c>
      <c r="B29" s="224">
        <f>MAX(B$14:B28)+0.1</f>
        <v>8.1</v>
      </c>
      <c r="C29" s="291">
        <v>1</v>
      </c>
      <c r="D29" s="291">
        <v>0</v>
      </c>
      <c r="E29" s="292">
        <f>VLOOKUP($A29,DATEX!$B$13:$Q$43,12,FALSE)</f>
        <v>2701.45</v>
      </c>
      <c r="F29" s="263" t="str">
        <f>VLOOKUP($A29,DATEX!$B$13:$Q$43,13,FALSE)</f>
        <v>lb.</v>
      </c>
      <c r="G29" s="196" t="str">
        <f>IF(C29&gt;1,VLOOKUP($A29,DATEX!$B$13:$Q$43,15,FALSE),VLOOKUP($A29,DATEX!$B$13:$Q$43,14,FALSE))</f>
        <v>tote</v>
      </c>
      <c r="H29" s="266">
        <f>VLOOKUP($A29,DATEX!$B$13:$Q$43,16,FALSE)</f>
        <v>1</v>
      </c>
      <c r="I29" s="262" t="str">
        <f>VLOOKUP($A29,DATEX!$B$13:$Q$43,4,FALSE)</f>
        <v>Khaos Juice Base 070460</v>
      </c>
      <c r="J29" s="263" t="str">
        <f>IF(C29&gt;0,"("&amp;TEXT(C29,"0")&amp;") "&amp;TEXT(E29,"0,0.00")&amp;" "&amp;F29&amp;" "&amp;G29&amp;" (Full)","("&amp;TEXT(N29/E29,"0.00")&amp;") "&amp;TEXT(E29,"0,0.00")&amp;" "&amp;F29&amp;" "&amp;G29&amp;" (Partial)")</f>
        <v>(1) 2,701.45 lb. tote (Full)</v>
      </c>
      <c r="K29" s="321" t="str">
        <f>VLOOKUP($A29,DATEX!$B$13:$Q$43,2,FALSE)</f>
        <v>070460</v>
      </c>
      <c r="L29" s="263" t="str">
        <f>VLOOKUP($A29,DATEX!$B$13:$Q$43,3,FALSE)</f>
        <v>AFF</v>
      </c>
      <c r="M29" s="263" t="str">
        <f>VLOOKUP($A29,DATEX!$B$13:$Q$43,5,FALSE)</f>
        <v>Liquid</v>
      </c>
      <c r="N29" s="264">
        <f>C29*VLOOKUP(A29,DATEX!$B$13:$W$43,19,FALSE)+D29*VLOOKUP(A29,DATEX!$B$13:$W$43,22,FALSE)</f>
        <v>2701.45</v>
      </c>
      <c r="O29" s="293">
        <v>0</v>
      </c>
      <c r="P29" s="319" t="str">
        <f>VLOOKUP($A29,DATEX!$B$13:$T$43,18,FALSE)</f>
        <v>N/A</v>
      </c>
      <c r="Q29" s="267">
        <f>VLOOKUP($A29,DATEX!$B$13:$T$43,17,FALSE)</f>
        <v>0.45</v>
      </c>
      <c r="R29" s="294"/>
      <c r="S29" s="213" t="s">
        <v>128</v>
      </c>
      <c r="T29" s="223" t="s">
        <v>34</v>
      </c>
      <c r="U29" s="223" t="s">
        <v>34</v>
      </c>
      <c r="V29" s="74"/>
      <c r="W29" s="75"/>
    </row>
    <row r="30" spans="1:23" s="56" customFormat="1" ht="27.95" customHeight="1">
      <c r="A30" s="55"/>
      <c r="B30" s="225">
        <f>ROUNDDOWN(MAX(B$14:B29)+1,0)</f>
        <v>9</v>
      </c>
      <c r="C30" s="76"/>
      <c r="D30" s="76"/>
      <c r="E30" s="109"/>
      <c r="F30" s="109"/>
      <c r="G30" s="280"/>
      <c r="H30" s="281"/>
      <c r="I30" s="76" t="str">
        <f>"Add ingredient(s) below into mixer then transfer directly into batch tank."</f>
        <v>Add ingredient(s) below into mixer then transfer directly into batch tank.</v>
      </c>
      <c r="J30" s="76"/>
      <c r="K30" s="322"/>
      <c r="L30" s="76"/>
      <c r="M30" s="281"/>
      <c r="N30" s="109"/>
      <c r="O30" s="282"/>
      <c r="P30" s="76"/>
      <c r="Q30" s="283"/>
      <c r="S30" s="284"/>
      <c r="T30" s="285"/>
      <c r="U30" s="285"/>
      <c r="V30" s="286"/>
      <c r="W30" s="287"/>
    </row>
    <row r="31" spans="1:23" s="39" customFormat="1" ht="27.95" customHeight="1">
      <c r="A31" s="77">
        <v>4</v>
      </c>
      <c r="B31" s="224">
        <f>MAX(B$14:B30)+0.1</f>
        <v>9.1</v>
      </c>
      <c r="C31" s="291">
        <v>1</v>
      </c>
      <c r="D31" s="291">
        <v>0</v>
      </c>
      <c r="E31" s="292">
        <f>VLOOKUP($A31,DATEX!$B$13:$Q$43,12,FALSE)</f>
        <v>2701.45</v>
      </c>
      <c r="F31" s="263" t="str">
        <f>VLOOKUP($A31,DATEX!$B$13:$Q$43,13,FALSE)</f>
        <v>lb.</v>
      </c>
      <c r="G31" s="196" t="str">
        <f>IF(C31&gt;1,VLOOKUP($A31,DATEX!$B$13:$Q$43,15,FALSE),VLOOKUP($A31,DATEX!$B$13:$Q$43,14,FALSE))</f>
        <v>tote</v>
      </c>
      <c r="H31" s="266">
        <f>VLOOKUP($A31,DATEX!$B$13:$Q$43,16,FALSE)</f>
        <v>1</v>
      </c>
      <c r="I31" s="262" t="str">
        <f>VLOOKUP($A31,DATEX!$B$13:$Q$43,4,FALSE)</f>
        <v>Khaos Juice Base 070460</v>
      </c>
      <c r="J31" s="263" t="str">
        <f>IF(C31&gt;0,"("&amp;TEXT(C31,"0")&amp;") "&amp;TEXT(E31,"0,0.00")&amp;" "&amp;F31&amp;" "&amp;G31&amp;" (Full)","("&amp;TEXT(N31/E31,"0.00")&amp;") "&amp;TEXT(E31,"0,0.00")&amp;" "&amp;F31&amp;" "&amp;G31&amp;" (Partial)")</f>
        <v>(1) 2,701.45 lb. tote (Full)</v>
      </c>
      <c r="K31" s="321" t="str">
        <f>VLOOKUP($A31,DATEX!$B$13:$Q$43,2,FALSE)</f>
        <v>070460</v>
      </c>
      <c r="L31" s="263" t="str">
        <f>VLOOKUP($A31,DATEX!$B$13:$Q$43,3,FALSE)</f>
        <v>AFF</v>
      </c>
      <c r="M31" s="263" t="str">
        <f>VLOOKUP($A31,DATEX!$B$13:$Q$43,5,FALSE)</f>
        <v>Liquid</v>
      </c>
      <c r="N31" s="264">
        <f>C31*VLOOKUP(A31,DATEX!$B$13:$W$43,19,FALSE)+D31*VLOOKUP(A31,DATEX!$B$13:$W$43,22,FALSE)</f>
        <v>2701.45</v>
      </c>
      <c r="O31" s="293">
        <v>0</v>
      </c>
      <c r="P31" s="319" t="str">
        <f>VLOOKUP($A31,DATEX!$B$13:$T$43,18,FALSE)</f>
        <v>N/A</v>
      </c>
      <c r="Q31" s="267">
        <f>VLOOKUP($A31,DATEX!$B$13:$T$43,17,FALSE)</f>
        <v>0.45</v>
      </c>
      <c r="R31" s="294"/>
      <c r="S31" s="213" t="s">
        <v>128</v>
      </c>
      <c r="T31" s="223" t="s">
        <v>34</v>
      </c>
      <c r="U31" s="223" t="s">
        <v>34</v>
      </c>
      <c r="V31" s="74"/>
      <c r="W31" s="75"/>
    </row>
    <row r="32" spans="1:23" s="56" customFormat="1" ht="27.95" customHeight="1">
      <c r="A32" s="55"/>
      <c r="B32" s="225">
        <f>ROUNDDOWN(MAX(B$14:B31)+1,0)</f>
        <v>10</v>
      </c>
      <c r="C32" s="76"/>
      <c r="D32" s="76"/>
      <c r="E32" s="109"/>
      <c r="F32" s="109"/>
      <c r="G32" s="280"/>
      <c r="H32" s="281"/>
      <c r="I32" s="76" t="str">
        <f>"Add ingredient(s) below into mixer then transfer directly into batch tank."</f>
        <v>Add ingredient(s) below into mixer then transfer directly into batch tank.</v>
      </c>
      <c r="J32" s="76"/>
      <c r="K32" s="322"/>
      <c r="L32" s="76"/>
      <c r="M32" s="281"/>
      <c r="N32" s="109"/>
      <c r="O32" s="282"/>
      <c r="P32" s="76"/>
      <c r="Q32" s="283"/>
      <c r="S32" s="284"/>
      <c r="T32" s="285"/>
      <c r="U32" s="285"/>
      <c r="V32" s="286"/>
      <c r="W32" s="287"/>
    </row>
    <row r="33" spans="1:23" s="39" customFormat="1" ht="27.95" customHeight="1">
      <c r="A33" s="77">
        <v>4</v>
      </c>
      <c r="B33" s="224">
        <f>MAX(B$14:B32)+0.1</f>
        <v>10.1</v>
      </c>
      <c r="C33" s="291">
        <v>1</v>
      </c>
      <c r="D33" s="291">
        <v>0</v>
      </c>
      <c r="E33" s="292">
        <f>VLOOKUP($A33,DATEX!$B$13:$Q$43,12,FALSE)</f>
        <v>2701.45</v>
      </c>
      <c r="F33" s="263" t="str">
        <f>VLOOKUP($A33,DATEX!$B$13:$Q$43,13,FALSE)</f>
        <v>lb.</v>
      </c>
      <c r="G33" s="196" t="str">
        <f>IF(C33&gt;1,VLOOKUP($A33,DATEX!$B$13:$Q$43,15,FALSE),VLOOKUP($A33,DATEX!$B$13:$Q$43,14,FALSE))</f>
        <v>tote</v>
      </c>
      <c r="H33" s="266">
        <f>VLOOKUP($A33,DATEX!$B$13:$Q$43,16,FALSE)</f>
        <v>1</v>
      </c>
      <c r="I33" s="262" t="str">
        <f>VLOOKUP($A33,DATEX!$B$13:$Q$43,4,FALSE)</f>
        <v>Khaos Juice Base 070460</v>
      </c>
      <c r="J33" s="263" t="str">
        <f>IF(C33&gt;0,"("&amp;TEXT(C33,"0")&amp;") "&amp;TEXT(E33,"0,0.00")&amp;" "&amp;F33&amp;" "&amp;G33&amp;" (Full)","("&amp;TEXT(N33/E33,"0.00")&amp;") "&amp;TEXT(E33,"0,0.00")&amp;" "&amp;F33&amp;" "&amp;G33&amp;" (Partial)")</f>
        <v>(1) 2,701.45 lb. tote (Full)</v>
      </c>
      <c r="K33" s="321" t="str">
        <f>VLOOKUP($A33,DATEX!$B$13:$Q$43,2,FALSE)</f>
        <v>070460</v>
      </c>
      <c r="L33" s="263" t="str">
        <f>VLOOKUP($A33,DATEX!$B$13:$Q$43,3,FALSE)</f>
        <v>AFF</v>
      </c>
      <c r="M33" s="263" t="str">
        <f>VLOOKUP($A33,DATEX!$B$13:$Q$43,5,FALSE)</f>
        <v>Liquid</v>
      </c>
      <c r="N33" s="264">
        <f>C33*VLOOKUP(A33,DATEX!$B$13:$W$43,19,FALSE)+D33*VLOOKUP(A33,DATEX!$B$13:$W$43,22,FALSE)</f>
        <v>2701.45</v>
      </c>
      <c r="O33" s="293">
        <v>0</v>
      </c>
      <c r="P33" s="319" t="str">
        <f>VLOOKUP($A33,DATEX!$B$13:$T$43,18,FALSE)</f>
        <v>N/A</v>
      </c>
      <c r="Q33" s="267">
        <f>VLOOKUP($A33,DATEX!$B$13:$T$43,17,FALSE)</f>
        <v>0.45</v>
      </c>
      <c r="R33" s="294"/>
      <c r="S33" s="213" t="s">
        <v>128</v>
      </c>
      <c r="T33" s="223" t="s">
        <v>34</v>
      </c>
      <c r="U33" s="223" t="s">
        <v>34</v>
      </c>
      <c r="V33" s="74"/>
      <c r="W33" s="75"/>
    </row>
    <row r="34" spans="1:23" s="56" customFormat="1" ht="27.95" customHeight="1">
      <c r="A34" s="55"/>
      <c r="B34" s="225">
        <f>ROUNDDOWN(MAX(B$14:B33)+1,0)</f>
        <v>11</v>
      </c>
      <c r="C34" s="76"/>
      <c r="D34" s="76"/>
      <c r="E34" s="109"/>
      <c r="F34" s="109"/>
      <c r="G34" s="280"/>
      <c r="H34" s="281"/>
      <c r="I34" s="76" t="str">
        <f>"Add ingredient(s) below into mixer then transfer directly into batch tank."</f>
        <v>Add ingredient(s) below into mixer then transfer directly into batch tank.</v>
      </c>
      <c r="J34" s="76"/>
      <c r="K34" s="322"/>
      <c r="L34" s="76"/>
      <c r="M34" s="281"/>
      <c r="N34" s="109"/>
      <c r="O34" s="282"/>
      <c r="P34" s="76"/>
      <c r="Q34" s="283"/>
      <c r="S34" s="284"/>
      <c r="T34" s="285"/>
      <c r="U34" s="285"/>
      <c r="V34" s="286"/>
      <c r="W34" s="287"/>
    </row>
    <row r="35" spans="1:23" s="39" customFormat="1" ht="27.95" customHeight="1">
      <c r="A35" s="77">
        <v>4</v>
      </c>
      <c r="B35" s="224">
        <f>MAX(B$14:B34)+0.1</f>
        <v>11.1</v>
      </c>
      <c r="C35" s="291">
        <v>1</v>
      </c>
      <c r="D35" s="291">
        <v>0</v>
      </c>
      <c r="E35" s="292">
        <f>VLOOKUP($A35,DATEX!$B$13:$Q$43,12,FALSE)</f>
        <v>2701.45</v>
      </c>
      <c r="F35" s="263" t="str">
        <f>VLOOKUP($A35,DATEX!$B$13:$Q$43,13,FALSE)</f>
        <v>lb.</v>
      </c>
      <c r="G35" s="196" t="str">
        <f>IF(C35&gt;1,VLOOKUP($A35,DATEX!$B$13:$Q$43,15,FALSE),VLOOKUP($A35,DATEX!$B$13:$Q$43,14,FALSE))</f>
        <v>tote</v>
      </c>
      <c r="H35" s="266">
        <f>VLOOKUP($A35,DATEX!$B$13:$Q$43,16,FALSE)</f>
        <v>1</v>
      </c>
      <c r="I35" s="262" t="str">
        <f>VLOOKUP($A35,DATEX!$B$13:$Q$43,4,FALSE)</f>
        <v>Khaos Juice Base 070460</v>
      </c>
      <c r="J35" s="263" t="str">
        <f>IF(C35&gt;0,"("&amp;TEXT(C35,"0")&amp;") "&amp;TEXT(E35,"0,0.00")&amp;" "&amp;F35&amp;" "&amp;G35&amp;" (Full)","("&amp;TEXT(N35/E35,"0.00")&amp;") "&amp;TEXT(E35,"0,0.00")&amp;" "&amp;F35&amp;" "&amp;G35&amp;" (Partial)")</f>
        <v>(1) 2,701.45 lb. tote (Full)</v>
      </c>
      <c r="K35" s="321" t="str">
        <f>VLOOKUP($A35,DATEX!$B$13:$Q$43,2,FALSE)</f>
        <v>070460</v>
      </c>
      <c r="L35" s="263" t="str">
        <f>VLOOKUP($A35,DATEX!$B$13:$Q$43,3,FALSE)</f>
        <v>AFF</v>
      </c>
      <c r="M35" s="263" t="str">
        <f>VLOOKUP($A35,DATEX!$B$13:$Q$43,5,FALSE)</f>
        <v>Liquid</v>
      </c>
      <c r="N35" s="264">
        <f>C35*VLOOKUP(A35,DATEX!$B$13:$W$43,19,FALSE)+D35*VLOOKUP(A35,DATEX!$B$13:$W$43,22,FALSE)</f>
        <v>2701.45</v>
      </c>
      <c r="O35" s="293">
        <v>0</v>
      </c>
      <c r="P35" s="319" t="str">
        <f>VLOOKUP($A35,DATEX!$B$13:$T$43,18,FALSE)</f>
        <v>N/A</v>
      </c>
      <c r="Q35" s="267">
        <f>VLOOKUP($A35,DATEX!$B$13:$T$43,17,FALSE)</f>
        <v>0.45</v>
      </c>
      <c r="R35" s="294"/>
      <c r="S35" s="213" t="s">
        <v>128</v>
      </c>
      <c r="T35" s="223" t="s">
        <v>34</v>
      </c>
      <c r="U35" s="223" t="s">
        <v>34</v>
      </c>
      <c r="V35" s="74"/>
      <c r="W35" s="75"/>
    </row>
    <row r="36" spans="1:23" s="56" customFormat="1" ht="27.95" customHeight="1">
      <c r="A36" s="55"/>
      <c r="B36" s="225">
        <f>ROUNDDOWN(MAX(B$14:B35)+1,0)</f>
        <v>12</v>
      </c>
      <c r="C36" s="76"/>
      <c r="D36" s="76"/>
      <c r="E36" s="109"/>
      <c r="F36" s="109"/>
      <c r="G36" s="280"/>
      <c r="H36" s="281"/>
      <c r="I36" s="76" t="str">
        <f>"Add ingredient(s) below into mixer then transfer directly into batch tank."</f>
        <v>Add ingredient(s) below into mixer then transfer directly into batch tank.</v>
      </c>
      <c r="J36" s="76"/>
      <c r="K36" s="322"/>
      <c r="L36" s="76"/>
      <c r="M36" s="281"/>
      <c r="N36" s="109"/>
      <c r="O36" s="282"/>
      <c r="P36" s="76"/>
      <c r="Q36" s="283"/>
      <c r="S36" s="284"/>
      <c r="T36" s="285"/>
      <c r="U36" s="285"/>
      <c r="V36" s="286"/>
      <c r="W36" s="287"/>
    </row>
    <row r="37" spans="1:23" s="39" customFormat="1" ht="27.95" customHeight="1">
      <c r="A37" s="77">
        <v>4</v>
      </c>
      <c r="B37" s="224">
        <f>MAX(B$14:B36)+0.1</f>
        <v>12.1</v>
      </c>
      <c r="C37" s="291">
        <v>1</v>
      </c>
      <c r="D37" s="291">
        <v>0</v>
      </c>
      <c r="E37" s="292">
        <f>VLOOKUP($A37,DATEX!$B$13:$Q$43,12,FALSE)</f>
        <v>2701.45</v>
      </c>
      <c r="F37" s="263" t="str">
        <f>VLOOKUP($A37,DATEX!$B$13:$Q$43,13,FALSE)</f>
        <v>lb.</v>
      </c>
      <c r="G37" s="196" t="str">
        <f>IF(C37&gt;1,VLOOKUP($A37,DATEX!$B$13:$Q$43,15,FALSE),VLOOKUP($A37,DATEX!$B$13:$Q$43,14,FALSE))</f>
        <v>tote</v>
      </c>
      <c r="H37" s="266">
        <f>VLOOKUP($A37,DATEX!$B$13:$Q$43,16,FALSE)</f>
        <v>1</v>
      </c>
      <c r="I37" s="262" t="str">
        <f>VLOOKUP($A37,DATEX!$B$13:$Q$43,4,FALSE)</f>
        <v>Khaos Juice Base 070460</v>
      </c>
      <c r="J37" s="263" t="str">
        <f>IF(C37&gt;0,"("&amp;TEXT(C37,"0")&amp;") "&amp;TEXT(E37,"0,0.00")&amp;" "&amp;F37&amp;" "&amp;G37&amp;" (Full)","("&amp;TEXT(N37/E37,"0.00")&amp;") "&amp;TEXT(E37,"0,0.00")&amp;" "&amp;F37&amp;" "&amp;G37&amp;" (Partial)")</f>
        <v>(1) 2,701.45 lb. tote (Full)</v>
      </c>
      <c r="K37" s="321" t="str">
        <f>VLOOKUP($A37,DATEX!$B$13:$Q$43,2,FALSE)</f>
        <v>070460</v>
      </c>
      <c r="L37" s="263" t="str">
        <f>VLOOKUP($A37,DATEX!$B$13:$Q$43,3,FALSE)</f>
        <v>AFF</v>
      </c>
      <c r="M37" s="263" t="str">
        <f>VLOOKUP($A37,DATEX!$B$13:$Q$43,5,FALSE)</f>
        <v>Liquid</v>
      </c>
      <c r="N37" s="264">
        <f>C37*VLOOKUP(A37,DATEX!$B$13:$W$43,19,FALSE)+D37*VLOOKUP(A37,DATEX!$B$13:$W$43,22,FALSE)</f>
        <v>2701.45</v>
      </c>
      <c r="O37" s="293">
        <v>0</v>
      </c>
      <c r="P37" s="319" t="str">
        <f>VLOOKUP($A37,DATEX!$B$13:$T$43,18,FALSE)</f>
        <v>N/A</v>
      </c>
      <c r="Q37" s="267">
        <f>VLOOKUP($A37,DATEX!$B$13:$T$43,17,FALSE)</f>
        <v>0.45</v>
      </c>
      <c r="R37" s="294"/>
      <c r="S37" s="213" t="s">
        <v>128</v>
      </c>
      <c r="T37" s="223" t="s">
        <v>34</v>
      </c>
      <c r="U37" s="223" t="s">
        <v>34</v>
      </c>
      <c r="V37" s="74"/>
      <c r="W37" s="75"/>
    </row>
    <row r="38" spans="1:23" s="56" customFormat="1" ht="27.95" customHeight="1">
      <c r="A38" s="55"/>
      <c r="B38" s="225">
        <f>ROUNDDOWN(MAX(B$14:B37)+1,0)</f>
        <v>13</v>
      </c>
      <c r="C38" s="76"/>
      <c r="D38" s="76"/>
      <c r="E38" s="109"/>
      <c r="F38" s="109"/>
      <c r="G38" s="280"/>
      <c r="H38" s="281"/>
      <c r="I38" s="76" t="str">
        <f>"Add ingredient(s) below into mixer IN ORDER and mix until thoroughly dissolved.  Visually inspect to verify the material is fully dissolved.  Transfer into batch tank."</f>
        <v>Add ingredient(s) below into mixer IN ORDER and mix until thoroughly dissolved.  Visually inspect to verify the material is fully dissolved.  Transfer into batch tank.</v>
      </c>
      <c r="J38" s="76"/>
      <c r="K38" s="322"/>
      <c r="L38" s="76"/>
      <c r="M38" s="281"/>
      <c r="N38" s="109"/>
      <c r="O38" s="282"/>
      <c r="P38" s="76"/>
      <c r="Q38" s="283"/>
      <c r="S38" s="284"/>
      <c r="T38" s="285"/>
      <c r="U38" s="285"/>
      <c r="V38" s="286"/>
      <c r="W38" s="287"/>
    </row>
    <row r="39" spans="1:23" s="39" customFormat="1" ht="27.95" customHeight="1">
      <c r="A39" s="77">
        <v>4</v>
      </c>
      <c r="B39" s="224">
        <f>MAX(B$14:B38)+0.1</f>
        <v>13.1</v>
      </c>
      <c r="C39" s="291">
        <v>0</v>
      </c>
      <c r="D39" s="291">
        <v>1</v>
      </c>
      <c r="E39" s="292">
        <f>VLOOKUP($A39,DATEX!$B$13:$Q$43,12,FALSE)</f>
        <v>2701.45</v>
      </c>
      <c r="F39" s="263" t="str">
        <f>VLOOKUP($A39,DATEX!$B$13:$Q$43,13,FALSE)</f>
        <v>lb.</v>
      </c>
      <c r="G39" s="196" t="str">
        <f>IF(C39&gt;1,VLOOKUP($A39,DATEX!$B$13:$Q$43,15,FALSE),VLOOKUP($A39,DATEX!$B$13:$Q$43,14,FALSE))</f>
        <v>tote</v>
      </c>
      <c r="H39" s="266">
        <f>VLOOKUP($A39,DATEX!$B$13:$Q$43,16,FALSE)</f>
        <v>1</v>
      </c>
      <c r="I39" s="262" t="str">
        <f>VLOOKUP($A39,DATEX!$B$13:$Q$43,4,FALSE)</f>
        <v>Khaos Juice Base 070460</v>
      </c>
      <c r="J39" s="263" t="str">
        <f>IF(C39&gt;0,"("&amp;TEXT(C39,"0")&amp;") "&amp;TEXT(E39,"0,0.00")&amp;" "&amp;F39&amp;" "&amp;G39&amp;" (Full)","("&amp;TEXT(N39/E39,"0.00")&amp;") "&amp;TEXT(E39,"0,0.00")&amp;" "&amp;F39&amp;" "&amp;G39&amp;" (Partial)")</f>
        <v>(0.24) 2,701.45 lb. tote (Partial)</v>
      </c>
      <c r="K39" s="321" t="str">
        <f>VLOOKUP($A39,DATEX!$B$13:$Q$43,2,FALSE)</f>
        <v>070460</v>
      </c>
      <c r="L39" s="263" t="str">
        <f>VLOOKUP($A39,DATEX!$B$13:$Q$43,3,FALSE)</f>
        <v>AFF</v>
      </c>
      <c r="M39" s="263" t="str">
        <f>VLOOKUP($A39,DATEX!$B$13:$Q$43,5,FALSE)</f>
        <v>Liquid</v>
      </c>
      <c r="N39" s="264">
        <f>C39*VLOOKUP(A39,DATEX!$B$13:$W$43,19,FALSE)+D39*VLOOKUP(A39,DATEX!$B$13:$W$43,22,FALSE)</f>
        <v>658.54796218769297</v>
      </c>
      <c r="O39" s="293">
        <v>0</v>
      </c>
      <c r="P39" s="319" t="str">
        <f>VLOOKUP($A39,DATEX!$B$13:$T$43,18,FALSE)</f>
        <v>N/A</v>
      </c>
      <c r="Q39" s="267">
        <f>VLOOKUP($A39,DATEX!$B$13:$T$43,17,FALSE)</f>
        <v>0.45</v>
      </c>
      <c r="R39" s="294"/>
      <c r="S39" s="213" t="s">
        <v>128</v>
      </c>
      <c r="T39" s="223" t="s">
        <v>34</v>
      </c>
      <c r="U39" s="74" t="s">
        <v>127</v>
      </c>
      <c r="V39" s="74"/>
      <c r="W39" s="75"/>
    </row>
    <row r="40" spans="1:23" s="39" customFormat="1" ht="27.95" customHeight="1">
      <c r="A40" s="77">
        <v>5</v>
      </c>
      <c r="B40" s="224">
        <f>MAX(B$14:B39)+0.1</f>
        <v>13.2</v>
      </c>
      <c r="C40" s="291">
        <v>2</v>
      </c>
      <c r="D40" s="291">
        <v>0</v>
      </c>
      <c r="E40" s="292">
        <f>VLOOKUP($A40,DATEX!$B$13:$Q$43,12,FALSE)</f>
        <v>25</v>
      </c>
      <c r="F40" s="263" t="str">
        <f>VLOOKUP($A40,DATEX!$B$13:$Q$43,13,FALSE)</f>
        <v>kg</v>
      </c>
      <c r="G40" s="196" t="str">
        <f>IF(C40&gt;1,VLOOKUP($A40,DATEX!$B$13:$Q$43,15,FALSE),VLOOKUP($A40,DATEX!$B$13:$Q$43,14,FALSE))</f>
        <v>bags</v>
      </c>
      <c r="H40" s="266">
        <f>VLOOKUP($A40,DATEX!$B$13:$Q$43,16,FALSE)</f>
        <v>0.2</v>
      </c>
      <c r="I40" s="262" t="str">
        <f>VLOOKUP($A40,DATEX!$B$13:$Q$43,4,FALSE)</f>
        <v>Potassium Sorbate</v>
      </c>
      <c r="J40" s="263" t="str">
        <f t="shared" ref="J40:J43" si="0">IF(C40&gt;0,"("&amp;TEXT(C40,"0")&amp;") "&amp;TEXT(E40,"0,0.00")&amp;" "&amp;F40&amp;" "&amp;G40&amp;" (Full)","("&amp;TEXT(N40/E40,"0.00")&amp;") "&amp;TEXT(E40,"0,0.00")&amp;" "&amp;F40&amp;" "&amp;G40&amp;" (Partial)")</f>
        <v>(2) 25.00 kg bags (Full)</v>
      </c>
      <c r="K40" s="321">
        <f>VLOOKUP($A40,DATEX!$B$13:$Q$43,2,FALSE)</f>
        <v>274011</v>
      </c>
      <c r="L40" s="263" t="str">
        <f>VLOOKUP($A40,DATEX!$B$13:$Q$43,3,FALSE)</f>
        <v>Ningbo Wanglong</v>
      </c>
      <c r="M40" s="263" t="str">
        <f>VLOOKUP($A40,DATEX!$B$13:$Q$43,5,FALSE)</f>
        <v>Dry</v>
      </c>
      <c r="N40" s="264">
        <f>C40*VLOOKUP(A40,DATEX!$B$13:$W$43,19,FALSE)+D40*VLOOKUP(A40,DATEX!$B$13:$W$43,22,FALSE)</f>
        <v>110.23113109243879</v>
      </c>
      <c r="O40" s="295">
        <v>0</v>
      </c>
      <c r="P40" s="296" t="s">
        <v>34</v>
      </c>
      <c r="Q40" s="297" t="s">
        <v>34</v>
      </c>
      <c r="R40" s="294"/>
      <c r="S40" s="213" t="s">
        <v>128</v>
      </c>
      <c r="T40" s="223" t="s">
        <v>34</v>
      </c>
      <c r="U40" s="223" t="s">
        <v>34</v>
      </c>
      <c r="V40" s="74"/>
      <c r="W40" s="75"/>
    </row>
    <row r="41" spans="1:23" s="39" customFormat="1" ht="27.95" customHeight="1">
      <c r="A41" s="77">
        <v>5</v>
      </c>
      <c r="B41" s="224">
        <f>MAX(B$14:B40)+0.1</f>
        <v>13.299999999999999</v>
      </c>
      <c r="C41" s="291">
        <v>0</v>
      </c>
      <c r="D41" s="291">
        <v>1</v>
      </c>
      <c r="E41" s="292">
        <f>VLOOKUP($A41,DATEX!$B$13:$Q$43,12,FALSE)</f>
        <v>25</v>
      </c>
      <c r="F41" s="263" t="str">
        <f>VLOOKUP($A41,DATEX!$B$13:$Q$43,13,FALSE)</f>
        <v>kg</v>
      </c>
      <c r="G41" s="196" t="str">
        <f>IF(C41&gt;1,VLOOKUP($A41,DATEX!$B$13:$Q$43,15,FALSE),VLOOKUP($A41,DATEX!$B$13:$Q$43,14,FALSE))</f>
        <v>bag</v>
      </c>
      <c r="H41" s="266">
        <f>VLOOKUP($A41,DATEX!$B$13:$Q$43,16,FALSE)</f>
        <v>0.2</v>
      </c>
      <c r="I41" s="262" t="str">
        <f>VLOOKUP($A41,DATEX!$B$13:$Q$43,4,FALSE)</f>
        <v>Potassium Sorbate</v>
      </c>
      <c r="J41" s="263" t="str">
        <f t="shared" ref="J41" si="1">IF(C41&gt;0,"("&amp;TEXT(C41,"0")&amp;") "&amp;TEXT(E41,"0,0.00")&amp;" "&amp;F41&amp;" "&amp;G41&amp;" (Full)","("&amp;TEXT(N41/E41,"0.00")&amp;") "&amp;TEXT(E41,"0,0.00")&amp;" "&amp;F41&amp;" "&amp;G41&amp;" (Partial)")</f>
        <v>(1.10) 25.00 kg bag (Partial)</v>
      </c>
      <c r="K41" s="321">
        <f>VLOOKUP($A41,DATEX!$B$13:$Q$43,2,FALSE)</f>
        <v>274011</v>
      </c>
      <c r="L41" s="263" t="str">
        <f>VLOOKUP($A41,DATEX!$B$13:$Q$43,3,FALSE)</f>
        <v>Ningbo Wanglong</v>
      </c>
      <c r="M41" s="263" t="str">
        <f>VLOOKUP($A41,DATEX!$B$13:$Q$43,5,FALSE)</f>
        <v>Dry</v>
      </c>
      <c r="N41" s="264">
        <f>C41*VLOOKUP(A41,DATEX!$B$13:$W$43,19,FALSE)+D41*VLOOKUP(A41,DATEX!$B$13:$W$43,22,FALSE)</f>
        <v>27.389803038849081</v>
      </c>
      <c r="O41" s="295">
        <v>0</v>
      </c>
      <c r="P41" s="296" t="s">
        <v>34</v>
      </c>
      <c r="Q41" s="297" t="s">
        <v>34</v>
      </c>
      <c r="R41" s="294"/>
      <c r="S41" s="213" t="s">
        <v>128</v>
      </c>
      <c r="T41" s="223" t="s">
        <v>34</v>
      </c>
      <c r="U41" s="223" t="s">
        <v>34</v>
      </c>
      <c r="V41" s="74"/>
      <c r="W41" s="75"/>
    </row>
    <row r="42" spans="1:23" s="39" customFormat="1" ht="27.95" customHeight="1">
      <c r="A42" s="77">
        <v>6</v>
      </c>
      <c r="B42" s="224">
        <f>MAX(B$14:B39)+0.1</f>
        <v>13.2</v>
      </c>
      <c r="C42" s="291">
        <v>3</v>
      </c>
      <c r="D42" s="291">
        <v>0</v>
      </c>
      <c r="E42" s="292">
        <f>VLOOKUP($A42,DATEX!$B$13:$Q$43,12,FALSE)</f>
        <v>20</v>
      </c>
      <c r="F42" s="263" t="str">
        <f>VLOOKUP($A42,DATEX!$B$13:$Q$43,13,FALSE)</f>
        <v>kg</v>
      </c>
      <c r="G42" s="196" t="str">
        <f>IF(C42&gt;1,VLOOKUP($A42,DATEX!$B$13:$Q$43,15,FALSE),VLOOKUP($A42,DATEX!$B$13:$Q$43,14,FALSE))</f>
        <v>boxes</v>
      </c>
      <c r="H42" s="266">
        <f>VLOOKUP($A42,DATEX!$B$13:$Q$43,16,FALSE)</f>
        <v>0.2</v>
      </c>
      <c r="I42" s="262" t="str">
        <f>VLOOKUP($A42,DATEX!$B$13:$Q$43,4,FALSE)</f>
        <v>Synthetic Caffeine</v>
      </c>
      <c r="J42" s="263" t="str">
        <f t="shared" ref="J42" si="2">IF(C42&gt;0,"("&amp;TEXT(C42,"0")&amp;") "&amp;TEXT(E42,"0,0.00")&amp;" "&amp;F42&amp;" "&amp;G42&amp;" (Full)","("&amp;TEXT(N42/E42,"0.00")&amp;") "&amp;TEXT(E42,"0,0.00")&amp;" "&amp;F42&amp;" "&amp;G42&amp;" (Partial)")</f>
        <v>(3) 20.00 kg boxes (Full)</v>
      </c>
      <c r="K42" s="321" t="str">
        <f>VLOOKUP($A42,DATEX!$B$13:$Q$43,2,FALSE)</f>
        <v>MECCAFFEINE</v>
      </c>
      <c r="L42" s="263" t="str">
        <f>VLOOKUP($A42,DATEX!$B$13:$Q$43,3,FALSE)</f>
        <v>Hebei Guangxiang</v>
      </c>
      <c r="M42" s="263" t="str">
        <f>VLOOKUP($A42,DATEX!$B$13:$Q$43,5,FALSE)</f>
        <v>Dry</v>
      </c>
      <c r="N42" s="264">
        <f>C42*VLOOKUP(A42,DATEX!$B$13:$W$43,19,FALSE)+D42*VLOOKUP(A42,DATEX!$B$13:$W$43,22,FALSE)</f>
        <v>132.27735731092653</v>
      </c>
      <c r="O42" s="295">
        <v>0</v>
      </c>
      <c r="P42" s="296" t="s">
        <v>34</v>
      </c>
      <c r="Q42" s="297" t="s">
        <v>34</v>
      </c>
      <c r="R42" s="294"/>
      <c r="S42" s="213" t="s">
        <v>128</v>
      </c>
      <c r="T42" s="223" t="s">
        <v>34</v>
      </c>
      <c r="U42" s="223" t="s">
        <v>34</v>
      </c>
      <c r="V42" s="74"/>
      <c r="W42" s="75"/>
    </row>
    <row r="43" spans="1:23" s="39" customFormat="1" ht="27.95" customHeight="1">
      <c r="A43" s="77">
        <v>6</v>
      </c>
      <c r="B43" s="224">
        <f>MAX(B$14:B40)+0.1</f>
        <v>13.299999999999999</v>
      </c>
      <c r="C43" s="291">
        <v>0</v>
      </c>
      <c r="D43" s="291">
        <v>1</v>
      </c>
      <c r="E43" s="292">
        <f>VLOOKUP($A43,DATEX!$B$13:$Q$43,12,FALSE)</f>
        <v>20</v>
      </c>
      <c r="F43" s="263" t="str">
        <f>VLOOKUP($A43,DATEX!$B$13:$Q$43,13,FALSE)</f>
        <v>kg</v>
      </c>
      <c r="G43" s="196" t="str">
        <f>IF(C43&gt;1,VLOOKUP($A43,DATEX!$B$13:$Q$43,15,FALSE),VLOOKUP($A43,DATEX!$B$13:$Q$43,14,FALSE))</f>
        <v>box</v>
      </c>
      <c r="H43" s="266">
        <f>VLOOKUP($A43,DATEX!$B$13:$Q$43,16,FALSE)</f>
        <v>0.2</v>
      </c>
      <c r="I43" s="262" t="str">
        <f>VLOOKUP($A43,DATEX!$B$13:$Q$43,4,FALSE)</f>
        <v>Synthetic Caffeine</v>
      </c>
      <c r="J43" s="263" t="str">
        <f t="shared" si="0"/>
        <v>(0.16) 20.00 kg box (Partial)</v>
      </c>
      <c r="K43" s="321" t="str">
        <f>VLOOKUP($A43,DATEX!$B$13:$Q$43,2,FALSE)</f>
        <v>MECCAFFEINE</v>
      </c>
      <c r="L43" s="263" t="str">
        <f>VLOOKUP($A43,DATEX!$B$13:$Q$43,3,FALSE)</f>
        <v>Hebei Guangxiang</v>
      </c>
      <c r="M43" s="263" t="str">
        <f>VLOOKUP($A43,DATEX!$B$13:$Q$43,5,FALSE)</f>
        <v>Dry</v>
      </c>
      <c r="N43" s="264">
        <f>C43*VLOOKUP(A43,DATEX!$B$13:$W$43,19,FALSE)+D43*VLOOKUP(A43,DATEX!$B$13:$W$43,22,FALSE)</f>
        <v>3.1164220153076201</v>
      </c>
      <c r="O43" s="295">
        <v>0</v>
      </c>
      <c r="P43" s="296" t="s">
        <v>34</v>
      </c>
      <c r="Q43" s="297" t="s">
        <v>34</v>
      </c>
      <c r="R43" s="294"/>
      <c r="S43" s="213" t="s">
        <v>128</v>
      </c>
      <c r="T43" s="223" t="s">
        <v>34</v>
      </c>
      <c r="U43" s="223" t="s">
        <v>34</v>
      </c>
      <c r="V43" s="74"/>
      <c r="W43" s="75"/>
    </row>
    <row r="44" spans="1:23" s="39" customFormat="1" ht="27.95" customHeight="1">
      <c r="A44" s="77"/>
      <c r="B44" s="225">
        <f>ROUNDDOWN(MAX(B$14:B43)+1,0)</f>
        <v>14</v>
      </c>
      <c r="C44" s="65"/>
      <c r="D44" s="65"/>
      <c r="E44" s="108"/>
      <c r="F44" s="108"/>
      <c r="G44" s="197"/>
      <c r="H44" s="112"/>
      <c r="I44" s="76" t="str">
        <f>"Rinse and push. Meter in "&amp;P45&amp;" water to mixer.  Turn on mixer for 2 minutes.  Transfer into batch tank."</f>
        <v>Rinse and push. Meter in Ambient water to mixer.  Turn on mixer for 2 minutes.  Transfer into batch tank.</v>
      </c>
      <c r="J44" s="65"/>
      <c r="K44" s="320"/>
      <c r="L44" s="65"/>
      <c r="M44" s="112"/>
      <c r="N44" s="108"/>
      <c r="O44" s="222"/>
      <c r="P44" s="65"/>
      <c r="Q44" s="214"/>
      <c r="S44" s="212"/>
      <c r="T44" s="72"/>
      <c r="U44" s="72"/>
      <c r="V44" s="73"/>
      <c r="W44" s="67"/>
    </row>
    <row r="45" spans="1:23" s="39" customFormat="1" ht="27.95" customHeight="1">
      <c r="A45" s="77">
        <v>1</v>
      </c>
      <c r="B45" s="224">
        <f>MAX(B$14:B44)+0.1</f>
        <v>14.1</v>
      </c>
      <c r="C45" s="291"/>
      <c r="D45" s="291"/>
      <c r="E45" s="292"/>
      <c r="F45" s="263"/>
      <c r="G45" s="196"/>
      <c r="H45" s="266"/>
      <c r="I45" s="262" t="str">
        <f>VLOOKUP($A45,DATEX!$B$13:$Q$43,4,FALSE)</f>
        <v>Purified RO Treated Water</v>
      </c>
      <c r="J45" s="263"/>
      <c r="K45" s="321"/>
      <c r="L45" s="263"/>
      <c r="M45" s="263" t="str">
        <f>VLOOKUP($A45,DATEX!$B$13:$Q$43,5,FALSE)</f>
        <v>Liquid</v>
      </c>
      <c r="N45" s="264">
        <v>0</v>
      </c>
      <c r="O45" s="265">
        <v>100</v>
      </c>
      <c r="P45" s="266" t="str">
        <f>VLOOKUP($A45,DATEX!$B$13:$T$43,18,FALSE)</f>
        <v>Ambient</v>
      </c>
      <c r="Q45" s="267">
        <f>VLOOKUP($A45,DATEX!$B$13:$T$43,17,FALSE)</f>
        <v>0.45</v>
      </c>
      <c r="R45" s="294"/>
      <c r="S45" s="215" t="s">
        <v>34</v>
      </c>
      <c r="T45" s="74" t="s">
        <v>126</v>
      </c>
      <c r="U45" s="74" t="s">
        <v>127</v>
      </c>
      <c r="V45" s="223" t="s">
        <v>34</v>
      </c>
      <c r="W45" s="75"/>
    </row>
    <row r="46" spans="1:23" s="56" customFormat="1" ht="27.95" customHeight="1">
      <c r="A46" s="55"/>
      <c r="B46" s="225">
        <f>ROUNDDOWN(MAX(B$14:B45)+1,0)</f>
        <v>15</v>
      </c>
      <c r="C46" s="76"/>
      <c r="D46" s="76"/>
      <c r="E46" s="109"/>
      <c r="F46" s="109"/>
      <c r="G46" s="280"/>
      <c r="H46" s="281"/>
      <c r="I46" s="76" t="str">
        <f>"Meter in "&amp;P47&amp;" water to mixer, then add ingredient(s) below into mixer and mix until thoroughly dissolved.  Visually inspect to verify the material is fully dissolved.  Transfer into batch tank."</f>
        <v>Meter in 170° F water to mixer, then add ingredient(s) below into mixer and mix until thoroughly dissolved.  Visually inspect to verify the material is fully dissolved.  Transfer into batch tank.</v>
      </c>
      <c r="J46" s="76"/>
      <c r="K46" s="322"/>
      <c r="L46" s="76"/>
      <c r="M46" s="281"/>
      <c r="N46" s="109"/>
      <c r="O46" s="282"/>
      <c r="P46" s="76"/>
      <c r="Q46" s="283"/>
      <c r="S46" s="284"/>
      <c r="T46" s="285"/>
      <c r="U46" s="285"/>
      <c r="V46" s="286"/>
      <c r="W46" s="287"/>
    </row>
    <row r="47" spans="1:23" s="39" customFormat="1" ht="27.95" customHeight="1">
      <c r="A47" s="77">
        <v>7</v>
      </c>
      <c r="B47" s="224">
        <f>MAX(B$14:B46)+0.1</f>
        <v>15.1</v>
      </c>
      <c r="C47" s="291">
        <v>12</v>
      </c>
      <c r="D47" s="291">
        <v>0</v>
      </c>
      <c r="E47" s="292">
        <f>VLOOKUP($A47,DATEX!$B$13:$Q$43,12,FALSE)</f>
        <v>25</v>
      </c>
      <c r="F47" s="263" t="str">
        <f>VLOOKUP($A47,DATEX!$B$13:$Q$43,13,FALSE)</f>
        <v>kg</v>
      </c>
      <c r="G47" s="196" t="str">
        <f>IF(C47&gt;1,VLOOKUP($A47,DATEX!$B$13:$Q$43,15,FALSE),VLOOKUP($A47,DATEX!$B$13:$Q$43,14,FALSE))</f>
        <v>boxes</v>
      </c>
      <c r="H47" s="266">
        <f>VLOOKUP($A47,DATEX!$B$13:$Q$43,16,FALSE)</f>
        <v>0.2</v>
      </c>
      <c r="I47" s="262" t="str">
        <f>VLOOKUP($A47,DATEX!$B$13:$Q$43,4,FALSE)</f>
        <v>Monster Blend RE18934/C</v>
      </c>
      <c r="J47" s="263" t="str">
        <f>IF(C47&gt;0,"("&amp;TEXT(C47,"0")&amp;") "&amp;TEXT(E47,"0,0.00")&amp;" "&amp;F47&amp;" "&amp;G47&amp;" (Full)","("&amp;TEXT(N47/E47,"0.00")&amp;") "&amp;TEXT(E47,"0,0.00")&amp;" "&amp;F47&amp;" "&amp;G47&amp;" (Partial)")</f>
        <v>(12) 25.00 kg boxes (Full)</v>
      </c>
      <c r="K47" s="321" t="str">
        <f>VLOOKUP($A47,DATEX!$B$13:$Q$43,2,FALSE)</f>
        <v>RE18934/C</v>
      </c>
      <c r="L47" s="263" t="str">
        <f>VLOOKUP($A47,DATEX!$B$13:$Q$43,3,FALSE)</f>
        <v>Glanbia Nutritional</v>
      </c>
      <c r="M47" s="263" t="str">
        <f>VLOOKUP($A47,DATEX!$B$13:$Q$43,5,FALSE)</f>
        <v>Dry</v>
      </c>
      <c r="N47" s="264">
        <f>C47*VLOOKUP(A47,DATEX!$B$13:$W$43,19,FALSE)+D47*VLOOKUP(A47,DATEX!$B$13:$W$43,22,FALSE)</f>
        <v>661.38678655463275</v>
      </c>
      <c r="O47" s="293">
        <f>MAX(100,ROUNDUP(((SUM(N47)/H47-SUM(N47))/8.33),-1))</f>
        <v>320</v>
      </c>
      <c r="P47" s="266" t="str">
        <f>VLOOKUP($A47,DATEX!$B$13:$T$43,18,FALSE)</f>
        <v>170° F</v>
      </c>
      <c r="Q47" s="267">
        <f>VLOOKUP($A47,DATEX!$B$13:$T$43,17,FALSE)</f>
        <v>0.55000000000000004</v>
      </c>
      <c r="R47" s="294"/>
      <c r="S47" s="213" t="s">
        <v>128</v>
      </c>
      <c r="T47" s="74" t="s">
        <v>126</v>
      </c>
      <c r="U47" s="74" t="s">
        <v>127</v>
      </c>
      <c r="V47" s="74"/>
      <c r="W47" s="75"/>
    </row>
    <row r="48" spans="1:23" s="56" customFormat="1" ht="27.95" customHeight="1">
      <c r="A48" s="55"/>
      <c r="B48" s="225">
        <f>ROUNDDOWN(MAX(B$14:B47)+1,0)</f>
        <v>16</v>
      </c>
      <c r="C48" s="76"/>
      <c r="D48" s="76"/>
      <c r="E48" s="109"/>
      <c r="F48" s="109"/>
      <c r="G48" s="280"/>
      <c r="H48" s="281"/>
      <c r="I48" s="76" t="str">
        <f>"Meter in "&amp;P49&amp;" water to mixer, then add ingredient(s) below into mixer and mix until thoroughly dissolved.  Visually inspect to verify the material is fully dissolved.  Transfer into batch tank."</f>
        <v>Meter in 170° F water to mixer, then add ingredient(s) below into mixer and mix until thoroughly dissolved.  Visually inspect to verify the material is fully dissolved.  Transfer into batch tank.</v>
      </c>
      <c r="J48" s="76"/>
      <c r="K48" s="322"/>
      <c r="L48" s="76"/>
      <c r="M48" s="281"/>
      <c r="N48" s="109"/>
      <c r="O48" s="282"/>
      <c r="P48" s="76"/>
      <c r="Q48" s="283"/>
      <c r="S48" s="284"/>
      <c r="T48" s="285"/>
      <c r="U48" s="285"/>
      <c r="V48" s="286"/>
      <c r="W48" s="287"/>
    </row>
    <row r="49" spans="1:23" s="39" customFormat="1" ht="27.95" customHeight="1">
      <c r="A49" s="77">
        <v>7</v>
      </c>
      <c r="B49" s="224">
        <f>MAX(B$14:B48)+0.1</f>
        <v>16.100000000000001</v>
      </c>
      <c r="C49" s="291">
        <v>12</v>
      </c>
      <c r="D49" s="291">
        <v>0</v>
      </c>
      <c r="E49" s="292">
        <f>VLOOKUP($A49,DATEX!$B$13:$Q$43,12,FALSE)</f>
        <v>25</v>
      </c>
      <c r="F49" s="263" t="str">
        <f>VLOOKUP($A49,DATEX!$B$13:$Q$43,13,FALSE)</f>
        <v>kg</v>
      </c>
      <c r="G49" s="196" t="str">
        <f>IF(C49&gt;1,VLOOKUP($A49,DATEX!$B$13:$Q$43,15,FALSE),VLOOKUP($A49,DATEX!$B$13:$Q$43,14,FALSE))</f>
        <v>boxes</v>
      </c>
      <c r="H49" s="266">
        <f>VLOOKUP($A49,DATEX!$B$13:$Q$43,16,FALSE)</f>
        <v>0.2</v>
      </c>
      <c r="I49" s="262" t="str">
        <f>VLOOKUP($A49,DATEX!$B$13:$Q$43,4,FALSE)</f>
        <v>Monster Blend RE18934/C</v>
      </c>
      <c r="J49" s="263" t="str">
        <f>IF(C49&gt;0,"("&amp;TEXT(C49,"0")&amp;") "&amp;TEXT(E49,"0,0.00")&amp;" "&amp;F49&amp;" "&amp;G49&amp;" (Full)","("&amp;TEXT(N49/E49,"0.00")&amp;") "&amp;TEXT(E49,"0,0.00")&amp;" "&amp;F49&amp;" "&amp;G49&amp;" (Partial)")</f>
        <v>(12) 25.00 kg boxes (Full)</v>
      </c>
      <c r="K49" s="321" t="str">
        <f>VLOOKUP($A49,DATEX!$B$13:$Q$43,2,FALSE)</f>
        <v>RE18934/C</v>
      </c>
      <c r="L49" s="263" t="str">
        <f>VLOOKUP($A49,DATEX!$B$13:$Q$43,3,FALSE)</f>
        <v>Glanbia Nutritional</v>
      </c>
      <c r="M49" s="263" t="str">
        <f>VLOOKUP($A49,DATEX!$B$13:$Q$43,5,FALSE)</f>
        <v>Dry</v>
      </c>
      <c r="N49" s="264">
        <f>C49*VLOOKUP(A49,DATEX!$B$13:$W$43,19,FALSE)+D49*VLOOKUP(A49,DATEX!$B$13:$W$43,22,FALSE)</f>
        <v>661.38678655463275</v>
      </c>
      <c r="O49" s="293">
        <f>MAX(100,ROUNDUP(((SUM(N49)/H49-SUM(N49))/8.33),-1))</f>
        <v>320</v>
      </c>
      <c r="P49" s="266" t="str">
        <f>VLOOKUP($A49,DATEX!$B$13:$T$43,18,FALSE)</f>
        <v>170° F</v>
      </c>
      <c r="Q49" s="267">
        <f>VLOOKUP($A49,DATEX!$B$13:$T$43,17,FALSE)</f>
        <v>0.55000000000000004</v>
      </c>
      <c r="R49" s="294"/>
      <c r="S49" s="213" t="s">
        <v>128</v>
      </c>
      <c r="T49" s="74" t="s">
        <v>126</v>
      </c>
      <c r="U49" s="74" t="s">
        <v>127</v>
      </c>
      <c r="V49" s="74"/>
      <c r="W49" s="75"/>
    </row>
    <row r="50" spans="1:23" s="39" customFormat="1" ht="27.95" customHeight="1">
      <c r="A50" s="77"/>
      <c r="B50" s="225">
        <f>ROUNDDOWN(MAX(B$14:B49)+1,0)</f>
        <v>17</v>
      </c>
      <c r="C50" s="65"/>
      <c r="D50" s="65"/>
      <c r="E50" s="108"/>
      <c r="F50" s="108"/>
      <c r="G50" s="197"/>
      <c r="H50" s="112"/>
      <c r="I50" s="76" t="str">
        <f>"Meter in "&amp;P51&amp;" water to mixer, then add ingredient(s) below into mixer and mix until thoroughly dissolved.  Visually inspect to verify the material is fully dissolved.  Transfer into batch tank."</f>
        <v>Meter in 170° F water to mixer, then add ingredient(s) below into mixer and mix until thoroughly dissolved.  Visually inspect to verify the material is fully dissolved.  Transfer into batch tank.</v>
      </c>
      <c r="J50" s="65"/>
      <c r="K50" s="65"/>
      <c r="L50" s="65"/>
      <c r="M50" s="112"/>
      <c r="N50" s="108"/>
      <c r="O50" s="222"/>
      <c r="P50" s="65"/>
      <c r="Q50" s="214"/>
      <c r="S50" s="212"/>
      <c r="T50" s="72"/>
      <c r="U50" s="72"/>
      <c r="V50" s="73"/>
      <c r="W50" s="67"/>
    </row>
    <row r="51" spans="1:23" s="39" customFormat="1" ht="27.95" customHeight="1">
      <c r="A51" s="77">
        <v>7</v>
      </c>
      <c r="B51" s="224">
        <f>MAX(B$14:B50)+0.1</f>
        <v>17.100000000000001</v>
      </c>
      <c r="C51" s="291">
        <v>8</v>
      </c>
      <c r="D51" s="291">
        <v>0</v>
      </c>
      <c r="E51" s="292">
        <f>VLOOKUP($A51,DATEX!$B$13:$Q$43,12,FALSE)</f>
        <v>25</v>
      </c>
      <c r="F51" s="263" t="str">
        <f>VLOOKUP($A51,DATEX!$B$13:$Q$43,13,FALSE)</f>
        <v>kg</v>
      </c>
      <c r="G51" s="196" t="str">
        <f>IF(C51&gt;1,VLOOKUP($A51,DATEX!$B$13:$Q$43,15,FALSE),VLOOKUP($A51,DATEX!$B$13:$Q$43,14,FALSE))</f>
        <v>boxes</v>
      </c>
      <c r="H51" s="266">
        <f>VLOOKUP($A51,DATEX!$B$13:$Q$43,16,FALSE)</f>
        <v>0.2</v>
      </c>
      <c r="I51" s="262" t="str">
        <f>VLOOKUP($A51,DATEX!$B$13:$Q$43,4,FALSE)</f>
        <v>Monster Blend RE18934/C</v>
      </c>
      <c r="J51" s="263" t="str">
        <f>IF(C51&gt;0,"("&amp;TEXT(C51,"0")&amp;") "&amp;TEXT(E51,"0,0.00")&amp;" "&amp;F51&amp;" "&amp;G51&amp;" (Full)","("&amp;TEXT(N51/E51,"0.00")&amp;") "&amp;TEXT(E51,"0,0.00")&amp;" "&amp;F51&amp;" "&amp;G51&amp;" (Partial)")</f>
        <v>(8) 25.00 kg boxes (Full)</v>
      </c>
      <c r="K51" s="263" t="str">
        <f>VLOOKUP($A51,DATEX!$B$13:$Q$43,2,FALSE)</f>
        <v>RE18934/C</v>
      </c>
      <c r="L51" s="263" t="str">
        <f>VLOOKUP($A51,DATEX!$B$13:$Q$43,3,FALSE)</f>
        <v>Glanbia Nutritional</v>
      </c>
      <c r="M51" s="263" t="str">
        <f>VLOOKUP($A51,DATEX!$B$13:$Q$43,5,FALSE)</f>
        <v>Dry</v>
      </c>
      <c r="N51" s="264">
        <f>C51*VLOOKUP(A51,DATEX!$B$13:$W$43,19,FALSE)+D51*VLOOKUP(A51,DATEX!$B$13:$W$43,22,FALSE)</f>
        <v>440.92452436975515</v>
      </c>
      <c r="O51" s="293">
        <f>MAX(100,ROUNDUP(((SUM(N51:N52)/H51-SUM(N51:N52))/8.33),-1))</f>
        <v>240</v>
      </c>
      <c r="P51" s="266" t="str">
        <f>VLOOKUP($A51,DATEX!$B$13:$T$43,18,FALSE)</f>
        <v>170° F</v>
      </c>
      <c r="Q51" s="267">
        <f>VLOOKUP($A51,DATEX!$B$13:$T$43,17,FALSE)</f>
        <v>0.55000000000000004</v>
      </c>
      <c r="R51" s="294"/>
      <c r="S51" s="213" t="s">
        <v>128</v>
      </c>
      <c r="T51" s="74" t="s">
        <v>126</v>
      </c>
      <c r="U51" s="74" t="s">
        <v>127</v>
      </c>
      <c r="V51" s="74"/>
      <c r="W51" s="75"/>
    </row>
    <row r="52" spans="1:23" s="39" customFormat="1" ht="27.95" customHeight="1">
      <c r="A52" s="77">
        <v>7</v>
      </c>
      <c r="B52" s="224">
        <f>MAX(B$14:B51)+0.1</f>
        <v>17.200000000000003</v>
      </c>
      <c r="C52" s="291">
        <v>0</v>
      </c>
      <c r="D52" s="291">
        <v>1</v>
      </c>
      <c r="E52" s="292">
        <f>VLOOKUP($A52,DATEX!$B$13:$Q$43,12,FALSE)</f>
        <v>25</v>
      </c>
      <c r="F52" s="263" t="str">
        <f>VLOOKUP($A52,DATEX!$B$13:$Q$43,13,FALSE)</f>
        <v>kg</v>
      </c>
      <c r="G52" s="196" t="str">
        <f>IF(C52&gt;1,VLOOKUP($A52,DATEX!$B$13:$Q$43,15,FALSE),VLOOKUP($A52,DATEX!$B$13:$Q$43,14,FALSE))</f>
        <v>box</v>
      </c>
      <c r="H52" s="266">
        <f>VLOOKUP($A52,DATEX!$B$13:$Q$43,16,FALSE)</f>
        <v>0.2</v>
      </c>
      <c r="I52" s="262" t="str">
        <f>VLOOKUP($A52,DATEX!$B$13:$Q$43,4,FALSE)</f>
        <v>Monster Blend RE18934/C</v>
      </c>
      <c r="J52" s="263" t="str">
        <f>IF(C52&gt;0,"("&amp;TEXT(C52,"0")&amp;") "&amp;TEXT(E52,"0,0.00")&amp;" "&amp;F52&amp;" "&amp;G52&amp;" (Full)","("&amp;TEXT(N52/E52,"0.00")&amp;") "&amp;TEXT(E52,"0,0.00")&amp;" "&amp;F52&amp;" "&amp;G52&amp;" (Partial)")</f>
        <v>(1.83) 25.00 kg box (Partial)</v>
      </c>
      <c r="K52" s="263" t="str">
        <f>VLOOKUP($A52,DATEX!$B$13:$Q$43,2,FALSE)</f>
        <v>RE18934/C</v>
      </c>
      <c r="L52" s="263" t="str">
        <f>VLOOKUP($A52,DATEX!$B$13:$Q$43,3,FALSE)</f>
        <v>Glanbia Nutritional</v>
      </c>
      <c r="M52" s="263" t="str">
        <f>VLOOKUP($A52,DATEX!$B$13:$Q$43,5,FALSE)</f>
        <v>Dry</v>
      </c>
      <c r="N52" s="264">
        <f>C52*VLOOKUP(A52,DATEX!$B$13:$W$43,19,FALSE)+D52*VLOOKUP(A52,DATEX!$B$13:$W$43,22,FALSE)</f>
        <v>45.8105485894298</v>
      </c>
      <c r="O52" s="295">
        <v>0</v>
      </c>
      <c r="P52" s="296" t="s">
        <v>34</v>
      </c>
      <c r="Q52" s="297" t="s">
        <v>34</v>
      </c>
      <c r="R52" s="294"/>
      <c r="S52" s="213" t="s">
        <v>128</v>
      </c>
      <c r="T52" s="223" t="s">
        <v>34</v>
      </c>
      <c r="U52" s="223" t="s">
        <v>34</v>
      </c>
      <c r="V52" s="74"/>
      <c r="W52" s="75"/>
    </row>
    <row r="53" spans="1:23" s="39" customFormat="1" ht="27.95" customHeight="1">
      <c r="A53" s="77"/>
      <c r="B53" s="225">
        <f>ROUNDDOWN(MAX(B$14:B52)+1,0)</f>
        <v>18</v>
      </c>
      <c r="C53" s="65"/>
      <c r="D53" s="65"/>
      <c r="E53" s="108"/>
      <c r="F53" s="108"/>
      <c r="G53" s="197"/>
      <c r="H53" s="112"/>
      <c r="I53" s="76" t="str">
        <f>"Rinse and push. Meter in "&amp;P54&amp;" water to mixer.  Turn on mixer for 2 minutes.  Transfer into batch tank."</f>
        <v>Rinse and push. Meter in Ambient water to mixer.  Turn on mixer for 2 minutes.  Transfer into batch tank.</v>
      </c>
      <c r="J53" s="65"/>
      <c r="K53" s="65"/>
      <c r="L53" s="65"/>
      <c r="M53" s="112"/>
      <c r="N53" s="108"/>
      <c r="O53" s="222"/>
      <c r="P53" s="65"/>
      <c r="Q53" s="214"/>
      <c r="S53" s="212"/>
      <c r="T53" s="72"/>
      <c r="U53" s="72"/>
      <c r="V53" s="73"/>
      <c r="W53" s="67"/>
    </row>
    <row r="54" spans="1:23" s="39" customFormat="1" ht="27.95" customHeight="1">
      <c r="A54" s="77">
        <v>1</v>
      </c>
      <c r="B54" s="224">
        <f>MAX(B$14:B53)+0.1</f>
        <v>18.100000000000001</v>
      </c>
      <c r="C54" s="291"/>
      <c r="D54" s="291"/>
      <c r="E54" s="292"/>
      <c r="F54" s="263"/>
      <c r="G54" s="196"/>
      <c r="H54" s="266"/>
      <c r="I54" s="262" t="str">
        <f>VLOOKUP($A54,DATEX!$B$13:$Q$43,4,FALSE)</f>
        <v>Purified RO Treated Water</v>
      </c>
      <c r="J54" s="263"/>
      <c r="K54" s="263"/>
      <c r="L54" s="263"/>
      <c r="M54" s="263" t="str">
        <f>VLOOKUP($A54,DATEX!$B$13:$Q$43,5,FALSE)</f>
        <v>Liquid</v>
      </c>
      <c r="N54" s="264">
        <v>0</v>
      </c>
      <c r="O54" s="265">
        <v>100</v>
      </c>
      <c r="P54" s="266" t="str">
        <f>VLOOKUP($A54,DATEX!$B$13:$T$43,18,FALSE)</f>
        <v>Ambient</v>
      </c>
      <c r="Q54" s="267">
        <f>VLOOKUP($A54,DATEX!$B$13:$T$43,17,FALSE)</f>
        <v>0.45</v>
      </c>
      <c r="R54" s="294"/>
      <c r="S54" s="215" t="s">
        <v>34</v>
      </c>
      <c r="T54" s="74" t="s">
        <v>126</v>
      </c>
      <c r="U54" s="74" t="s">
        <v>127</v>
      </c>
      <c r="V54" s="223" t="s">
        <v>34</v>
      </c>
      <c r="W54" s="75"/>
    </row>
    <row r="55" spans="1:23" s="39" customFormat="1" ht="27.95" customHeight="1">
      <c r="A55" s="77"/>
      <c r="B55" s="225">
        <f>ROUNDDOWN(MAX(B$14:B54)+1,0)</f>
        <v>19</v>
      </c>
      <c r="C55" s="65"/>
      <c r="D55" s="65"/>
      <c r="E55" s="108"/>
      <c r="F55" s="108"/>
      <c r="G55" s="197"/>
      <c r="H55" s="112"/>
      <c r="I55" s="76" t="str">
        <f>"Meter in "&amp;P56&amp;" water to mixer, then add ingredient(s) below into mixer and mix until thoroughly dissolved.  Visually inspect to verify the material is fully dissolved.  Transfer into batch tank."</f>
        <v>Meter in Ambient water to mixer, then add ingredient(s) below into mixer and mix until thoroughly dissolved.  Visually inspect to verify the material is fully dissolved.  Transfer into batch tank.</v>
      </c>
      <c r="J55" s="65"/>
      <c r="K55" s="65"/>
      <c r="L55" s="65"/>
      <c r="M55" s="112"/>
      <c r="N55" s="108"/>
      <c r="O55" s="222"/>
      <c r="P55" s="65"/>
      <c r="Q55" s="214"/>
      <c r="S55" s="212"/>
      <c r="T55" s="72"/>
      <c r="U55" s="72"/>
      <c r="V55" s="73"/>
      <c r="W55" s="67"/>
    </row>
    <row r="56" spans="1:23" s="39" customFormat="1" ht="27.95" customHeight="1">
      <c r="A56" s="77">
        <v>8</v>
      </c>
      <c r="B56" s="224">
        <f>MAX(B$14:B55)+0.1</f>
        <v>19.100000000000001</v>
      </c>
      <c r="C56" s="291">
        <v>15</v>
      </c>
      <c r="D56" s="291">
        <v>0</v>
      </c>
      <c r="E56" s="292">
        <f>VLOOKUP($A56,DATEX!$B$13:$Q$43,12,FALSE)</f>
        <v>50</v>
      </c>
      <c r="F56" s="263" t="str">
        <f>VLOOKUP($A56,DATEX!$B$13:$Q$43,13,FALSE)</f>
        <v>lb.</v>
      </c>
      <c r="G56" s="196" t="str">
        <f>IF(C56&gt;1,VLOOKUP($A56,DATEX!$B$13:$Q$43,15,FALSE),VLOOKUP($A56,DATEX!$B$13:$Q$43,14,FALSE))</f>
        <v>bags</v>
      </c>
      <c r="H56" s="266">
        <f>VLOOKUP($A56,DATEX!$B$13:$Q$43,16,FALSE)</f>
        <v>0.45</v>
      </c>
      <c r="I56" s="262" t="str">
        <f>VLOOKUP($A56,DATEX!$B$13:$Q$43,4,FALSE)</f>
        <v>Anhydrous Citric Acid</v>
      </c>
      <c r="J56" s="263" t="str">
        <f>IF(C56&gt;0,"("&amp;TEXT(C56,"0")&amp;") "&amp;TEXT(E56,"0,0.00")&amp;" "&amp;F56&amp;" "&amp;G56&amp;" (Full)","("&amp;TEXT(N56/E56,"0.00")&amp;") "&amp;TEXT(E56,"0,0.00")&amp;" "&amp;F56&amp;" "&amp;G56&amp;" (Partial)")</f>
        <v>(15) 50.00 lb. bags (Full)</v>
      </c>
      <c r="K56" s="263" t="str">
        <f>VLOOKUP($A56,DATEX!$B$13:$Q$43,2,FALSE)</f>
        <v>MECCITRIC</v>
      </c>
      <c r="L56" s="263" t="str">
        <f>VLOOKUP($A56,DATEX!$B$13:$Q$43,3,FALSE)</f>
        <v>NutraChem</v>
      </c>
      <c r="M56" s="263" t="str">
        <f>VLOOKUP($A56,DATEX!$B$13:$Q$43,5,FALSE)</f>
        <v>Dry</v>
      </c>
      <c r="N56" s="264">
        <f>C56*VLOOKUP(A56,DATEX!$B$13:$W$43,19,FALSE)+D56*VLOOKUP(A56,DATEX!$B$13:$W$43,22,FALSE)</f>
        <v>750</v>
      </c>
      <c r="O56" s="293">
        <f>MAX(100,ROUNDUP(((SUM(N56:N57)/H56-SUM(N56:N57))/8.33),-1))</f>
        <v>120</v>
      </c>
      <c r="P56" s="266" t="str">
        <f>VLOOKUP($A56,DATEX!$B$13:$T$43,18,FALSE)</f>
        <v>Ambient</v>
      </c>
      <c r="Q56" s="267">
        <f>VLOOKUP($A56,DATEX!$B$13:$T$43,17,FALSE)</f>
        <v>0.55000000000000004</v>
      </c>
      <c r="R56" s="294"/>
      <c r="S56" s="213" t="s">
        <v>128</v>
      </c>
      <c r="T56" s="74" t="s">
        <v>126</v>
      </c>
      <c r="U56" s="74" t="s">
        <v>127</v>
      </c>
      <c r="V56" s="74"/>
      <c r="W56" s="75"/>
    </row>
    <row r="57" spans="1:23" s="39" customFormat="1" ht="27.95" customHeight="1">
      <c r="A57" s="77">
        <v>8</v>
      </c>
      <c r="B57" s="224">
        <f>MAX(B$14:B56)+0.1</f>
        <v>19.200000000000003</v>
      </c>
      <c r="C57" s="291">
        <v>0</v>
      </c>
      <c r="D57" s="291">
        <v>1</v>
      </c>
      <c r="E57" s="292">
        <f>VLOOKUP($A57,DATEX!$B$13:$Q$43,12,FALSE)</f>
        <v>50</v>
      </c>
      <c r="F57" s="263" t="str">
        <f>VLOOKUP($A57,DATEX!$B$13:$Q$43,13,FALSE)</f>
        <v>lb.</v>
      </c>
      <c r="G57" s="196" t="str">
        <f>IF(C57&gt;1,VLOOKUP($A57,DATEX!$B$13:$Q$43,15,FALSE),VLOOKUP($A57,DATEX!$B$13:$Q$43,14,FALSE))</f>
        <v>bag</v>
      </c>
      <c r="H57" s="266">
        <f>VLOOKUP($A57,DATEX!$B$13:$Q$43,16,FALSE)</f>
        <v>0.45</v>
      </c>
      <c r="I57" s="262" t="str">
        <f>VLOOKUP($A57,DATEX!$B$13:$Q$43,4,FALSE)</f>
        <v>Anhydrous Citric Acid</v>
      </c>
      <c r="J57" s="263" t="str">
        <f>IF(C57&gt;0,"("&amp;TEXT(C57,"0")&amp;") "&amp;TEXT(E57,"0,0.00")&amp;" "&amp;F57&amp;" "&amp;G57&amp;" (Full)","("&amp;TEXT(N57/E57,"0.00")&amp;") "&amp;TEXT(E57,"0,0.00")&amp;" "&amp;F57&amp;" "&amp;G57&amp;" (Partial)")</f>
        <v>(0.69) 50.00 lb. bag (Partial)</v>
      </c>
      <c r="K57" s="263" t="str">
        <f>VLOOKUP($A57,DATEX!$B$13:$Q$43,2,FALSE)</f>
        <v>MECCITRIC</v>
      </c>
      <c r="L57" s="263" t="str">
        <f>VLOOKUP($A57,DATEX!$B$13:$Q$43,3,FALSE)</f>
        <v>NutraChem</v>
      </c>
      <c r="M57" s="263" t="str">
        <f>VLOOKUP($A57,DATEX!$B$13:$Q$43,5,FALSE)</f>
        <v>Dry</v>
      </c>
      <c r="N57" s="264">
        <f>C57*VLOOKUP(A57,DATEX!$B$13:$W$43,19,FALSE)+D57*VLOOKUP(A57,DATEX!$B$13:$W$43,22,FALSE)</f>
        <v>34.348727362410614</v>
      </c>
      <c r="O57" s="295">
        <v>0</v>
      </c>
      <c r="P57" s="296" t="s">
        <v>34</v>
      </c>
      <c r="Q57" s="297" t="s">
        <v>34</v>
      </c>
      <c r="R57" s="294"/>
      <c r="S57" s="213" t="s">
        <v>128</v>
      </c>
      <c r="T57" s="223" t="s">
        <v>34</v>
      </c>
      <c r="U57" s="223" t="s">
        <v>34</v>
      </c>
      <c r="V57" s="74"/>
      <c r="W57" s="75"/>
    </row>
    <row r="58" spans="1:23" s="39" customFormat="1" ht="27.95" customHeight="1">
      <c r="A58" s="77"/>
      <c r="B58" s="225">
        <f>ROUNDDOWN(MAX(B$14:B57)+1,0)</f>
        <v>20</v>
      </c>
      <c r="C58" s="65"/>
      <c r="D58" s="65"/>
      <c r="E58" s="108"/>
      <c r="F58" s="108"/>
      <c r="G58" s="197"/>
      <c r="H58" s="112"/>
      <c r="I58" s="76" t="str">
        <f>"Rinse and push. Meter in "&amp;P59&amp;" water to mixer.  Turn on mixer for 2 minutes.  Transfer into batch tank."</f>
        <v>Rinse and push. Meter in Ambient water to mixer.  Turn on mixer for 2 minutes.  Transfer into batch tank.</v>
      </c>
      <c r="J58" s="65"/>
      <c r="K58" s="65"/>
      <c r="L58" s="65"/>
      <c r="M58" s="112"/>
      <c r="N58" s="108"/>
      <c r="O58" s="222"/>
      <c r="P58" s="65"/>
      <c r="Q58" s="214"/>
      <c r="S58" s="212"/>
      <c r="T58" s="72"/>
      <c r="U58" s="72"/>
      <c r="V58" s="73"/>
      <c r="W58" s="67"/>
    </row>
    <row r="59" spans="1:23" s="39" customFormat="1" ht="27.95" customHeight="1">
      <c r="A59" s="77">
        <v>1</v>
      </c>
      <c r="B59" s="224">
        <f>MAX(B$14:B58)+0.1</f>
        <v>20.100000000000001</v>
      </c>
      <c r="C59" s="291"/>
      <c r="D59" s="291"/>
      <c r="E59" s="292"/>
      <c r="F59" s="263"/>
      <c r="G59" s="196"/>
      <c r="H59" s="266"/>
      <c r="I59" s="262" t="str">
        <f>VLOOKUP($A59,DATEX!$B$13:$Q$43,4,FALSE)</f>
        <v>Purified RO Treated Water</v>
      </c>
      <c r="J59" s="263"/>
      <c r="K59" s="263"/>
      <c r="L59" s="263"/>
      <c r="M59" s="263" t="str">
        <f>VLOOKUP($A59,DATEX!$B$13:$Q$43,5,FALSE)</f>
        <v>Liquid</v>
      </c>
      <c r="N59" s="264">
        <v>0</v>
      </c>
      <c r="O59" s="265">
        <v>100</v>
      </c>
      <c r="P59" s="266" t="str">
        <f>VLOOKUP($A59,DATEX!$B$13:$T$43,18,FALSE)</f>
        <v>Ambient</v>
      </c>
      <c r="Q59" s="267">
        <f>VLOOKUP($A59,DATEX!$B$13:$T$43,17,FALSE)</f>
        <v>0.45</v>
      </c>
      <c r="R59" s="294"/>
      <c r="S59" s="215" t="s">
        <v>34</v>
      </c>
      <c r="T59" s="74" t="s">
        <v>126</v>
      </c>
      <c r="U59" s="74" t="s">
        <v>127</v>
      </c>
      <c r="V59" s="223" t="s">
        <v>34</v>
      </c>
      <c r="W59" s="75"/>
    </row>
    <row r="60" spans="1:23" s="39" customFormat="1" ht="27.95" customHeight="1">
      <c r="A60" s="77"/>
      <c r="B60" s="225">
        <f>ROUNDDOWN(MAX(B$14:B59)+1,0)</f>
        <v>21</v>
      </c>
      <c r="C60" s="65"/>
      <c r="D60" s="65"/>
      <c r="E60" s="108"/>
      <c r="F60" s="108"/>
      <c r="G60" s="197"/>
      <c r="H60" s="112"/>
      <c r="I60" s="76" t="str">
        <f>"Meter in "&amp;P61&amp;" water to mixer, then add ingredient(s) below into mixer and mix until thoroughly dissolved.  Visually inspect to verify the material is fully dissolved.  Transfer into batch tank."</f>
        <v>Meter in Ambient water to mixer, then add ingredient(s) below into mixer and mix until thoroughly dissolved.  Visually inspect to verify the material is fully dissolved.  Transfer into batch tank.</v>
      </c>
      <c r="J60" s="65"/>
      <c r="K60" s="65"/>
      <c r="L60" s="65"/>
      <c r="M60" s="112"/>
      <c r="N60" s="108"/>
      <c r="O60" s="222"/>
      <c r="P60" s="65"/>
      <c r="Q60" s="214"/>
      <c r="S60" s="212"/>
      <c r="T60" s="72"/>
      <c r="U60" s="72"/>
      <c r="V60" s="73"/>
      <c r="W60" s="67"/>
    </row>
    <row r="61" spans="1:23" s="39" customFormat="1" ht="27.95" customHeight="1">
      <c r="A61" s="77">
        <v>9</v>
      </c>
      <c r="B61" s="224">
        <f>MAX(B$14:B60)+0.1</f>
        <v>21.1</v>
      </c>
      <c r="C61" s="291">
        <v>6</v>
      </c>
      <c r="D61" s="291">
        <v>0</v>
      </c>
      <c r="E61" s="292">
        <f>VLOOKUP($A61,DATEX!$B$13:$Q$43,12,FALSE)</f>
        <v>20</v>
      </c>
      <c r="F61" s="263" t="str">
        <f>VLOOKUP($A61,DATEX!$B$13:$Q$43,13,FALSE)</f>
        <v>kg</v>
      </c>
      <c r="G61" s="196" t="str">
        <f>IF(C61&gt;1,VLOOKUP($A61,DATEX!$B$13:$Q$43,15,FALSE),VLOOKUP($A61,DATEX!$B$13:$Q$43,14,FALSE))</f>
        <v>pails</v>
      </c>
      <c r="H61" s="266">
        <f>VLOOKUP($A61,DATEX!$B$13:$Q$43,16,FALSE)</f>
        <v>0.6</v>
      </c>
      <c r="I61" s="262" t="str">
        <f>VLOOKUP($A61,DATEX!$B$13:$Q$43,4,FALSE)</f>
        <v>Sucralose (25% Solution)</v>
      </c>
      <c r="J61" s="263" t="str">
        <f>IF(C61&gt;0,"("&amp;TEXT(C61,"0")&amp;") "&amp;TEXT(E61,"0,0.00")&amp;" "&amp;F61&amp;" "&amp;G61&amp;" (Full)","("&amp;TEXT(N61/E61,"0.00")&amp;") "&amp;TEXT(E61,"0,0.00")&amp;" "&amp;F61&amp;" "&amp;G61&amp;" (Partial)")</f>
        <v>(6) 20.00 kg pails (Full)</v>
      </c>
      <c r="K61" s="263" t="str">
        <f>VLOOKUP($A61,DATEX!$B$13:$Q$43,2,FALSE)</f>
        <v>LSU001</v>
      </c>
      <c r="L61" s="263" t="str">
        <f>VLOOKUP($A61,DATEX!$B$13:$Q$43,3,FALSE)</f>
        <v>Prinova</v>
      </c>
      <c r="M61" s="263" t="str">
        <f>VLOOKUP($A61,DATEX!$B$13:$Q$43,5,FALSE)</f>
        <v>Liquid</v>
      </c>
      <c r="N61" s="264">
        <f>C61*VLOOKUP(A61,DATEX!$B$13:$W$43,19,FALSE)+D61*VLOOKUP(A61,DATEX!$B$13:$W$43,22,FALSE)</f>
        <v>264.55471462185307</v>
      </c>
      <c r="O61" s="293">
        <f>MAX(100,ROUNDUP(((SUM(N61:N63)/H61-SUM(N61:N63))/8.33),-1))</f>
        <v>100</v>
      </c>
      <c r="P61" s="266" t="str">
        <f>VLOOKUP($A61,DATEX!$B$13:$T$43,18,FALSE)</f>
        <v>Ambient</v>
      </c>
      <c r="Q61" s="267">
        <f>VLOOKUP($A61,DATEX!$B$13:$T$43,17,FALSE)</f>
        <v>0.45</v>
      </c>
      <c r="R61" s="294"/>
      <c r="S61" s="213" t="s">
        <v>128</v>
      </c>
      <c r="T61" s="74" t="s">
        <v>126</v>
      </c>
      <c r="U61" s="74" t="s">
        <v>127</v>
      </c>
      <c r="V61" s="74"/>
      <c r="W61" s="75"/>
    </row>
    <row r="62" spans="1:23" s="39" customFormat="1" ht="27.95" customHeight="1">
      <c r="A62" s="77">
        <v>9</v>
      </c>
      <c r="B62" s="224">
        <f>MAX(B$14:B59)+0.1</f>
        <v>20.200000000000003</v>
      </c>
      <c r="C62" s="291">
        <v>0</v>
      </c>
      <c r="D62" s="291">
        <v>1</v>
      </c>
      <c r="E62" s="292">
        <f>VLOOKUP($A62,DATEX!$B$13:$Q$43,12,FALSE)</f>
        <v>20</v>
      </c>
      <c r="F62" s="263" t="str">
        <f>VLOOKUP($A62,DATEX!$B$13:$Q$43,13,FALSE)</f>
        <v>kg</v>
      </c>
      <c r="G62" s="196" t="str">
        <f>IF(C62&gt;1,VLOOKUP($A62,DATEX!$B$13:$Q$43,15,FALSE),VLOOKUP($A62,DATEX!$B$13:$Q$43,14,FALSE))</f>
        <v>pail</v>
      </c>
      <c r="H62" s="266">
        <f>VLOOKUP($A62,DATEX!$B$13:$Q$43,16,FALSE)</f>
        <v>0.6</v>
      </c>
      <c r="I62" s="262" t="str">
        <f>VLOOKUP($A62,DATEX!$B$13:$Q$43,4,FALSE)</f>
        <v>Sucralose (25% Solution)</v>
      </c>
      <c r="J62" s="263" t="str">
        <f t="shared" ref="J62" si="3">IF(C62&gt;0,"("&amp;TEXT(C62,"0")&amp;") "&amp;TEXT(E62,"0,0.00")&amp;" "&amp;F62&amp;" "&amp;G62&amp;" (Full)","("&amp;TEXT(N62/E62,"0.00")&amp;") "&amp;TEXT(E62,"0,0.00")&amp;" "&amp;F62&amp;" "&amp;G62&amp;" (Partial)")</f>
        <v>(0.42) 20.00 kg pail (Partial)</v>
      </c>
      <c r="K62" s="263" t="str">
        <f>VLOOKUP($A62,DATEX!$B$13:$Q$43,2,FALSE)</f>
        <v>LSU001</v>
      </c>
      <c r="L62" s="263" t="str">
        <f>VLOOKUP($A62,DATEX!$B$13:$Q$43,3,FALSE)</f>
        <v>Prinova</v>
      </c>
      <c r="M62" s="263" t="str">
        <f>VLOOKUP($A62,DATEX!$B$13:$Q$43,5,FALSE)</f>
        <v>Liquid</v>
      </c>
      <c r="N62" s="264">
        <f>C62*VLOOKUP(A62,DATEX!$B$13:$W$43,19,FALSE)+D62*VLOOKUP(A62,DATEX!$B$13:$W$43,22,FALSE)</f>
        <v>8.3301283003588651</v>
      </c>
      <c r="O62" s="295">
        <v>0</v>
      </c>
      <c r="P62" s="296" t="s">
        <v>34</v>
      </c>
      <c r="Q62" s="297" t="s">
        <v>34</v>
      </c>
      <c r="R62" s="294"/>
      <c r="S62" s="213" t="s">
        <v>128</v>
      </c>
      <c r="T62" s="223" t="s">
        <v>34</v>
      </c>
      <c r="U62" s="223" t="s">
        <v>34</v>
      </c>
      <c r="V62" s="74"/>
      <c r="W62" s="75"/>
    </row>
    <row r="63" spans="1:23" s="39" customFormat="1" ht="27.95" customHeight="1">
      <c r="A63" s="77">
        <v>10</v>
      </c>
      <c r="B63" s="224">
        <f>MAX(B$14:B61)+0.1</f>
        <v>21.200000000000003</v>
      </c>
      <c r="C63" s="291">
        <v>0</v>
      </c>
      <c r="D63" s="291">
        <v>1</v>
      </c>
      <c r="E63" s="292">
        <f>VLOOKUP($A63,DATEX!$B$13:$Q$43,12,FALSE)</f>
        <v>24</v>
      </c>
      <c r="F63" s="263" t="str">
        <f>VLOOKUP($A63,DATEX!$B$13:$Q$43,13,FALSE)</f>
        <v>lb.</v>
      </c>
      <c r="G63" s="196" t="str">
        <f>IF(C63&gt;1,VLOOKUP($A63,DATEX!$B$13:$Q$43,15,FALSE),VLOOKUP($A63,DATEX!$B$13:$Q$43,14,FALSE))</f>
        <v>pail</v>
      </c>
      <c r="H63" s="266">
        <f>VLOOKUP($A63,DATEX!$B$13:$Q$43,16,FALSE)</f>
        <v>0.6</v>
      </c>
      <c r="I63" s="262" t="str">
        <f>VLOOKUP($A63,DATEX!$B$13:$Q$43,4,FALSE)</f>
        <v>Candy Note Flavor C-1085</v>
      </c>
      <c r="J63" s="263" t="str">
        <f>IF(C63&gt;0,"("&amp;TEXT(C63,"0")&amp;") "&amp;TEXT(E63,"0,0.00")&amp;" "&amp;F63&amp;" "&amp;G63&amp;" (Full)","("&amp;TEXT(N63/E63,"0.00")&amp;") "&amp;TEXT(E63,"0,0.00")&amp;" "&amp;F63&amp;" "&amp;G63&amp;" (Partial)")</f>
        <v>(0.80) 24.00 lb. pail (Partial)</v>
      </c>
      <c r="K63" s="263" t="str">
        <f>VLOOKUP($A63,DATEX!$B$13:$Q$43,2,FALSE)</f>
        <v>C-1085</v>
      </c>
      <c r="L63" s="263" t="str">
        <f>VLOOKUP($A63,DATEX!$B$13:$Q$43,3,FALSE)</f>
        <v>AFF</v>
      </c>
      <c r="M63" s="263" t="str">
        <f>VLOOKUP($A63,DATEX!$B$13:$Q$43,5,FALSE)</f>
        <v>Liquid</v>
      </c>
      <c r="N63" s="264">
        <f>C63*VLOOKUP(A63,DATEX!$B$13:$W$43,19,FALSE)+D63*VLOOKUP(A63,DATEX!$B$13:$W$43,22,FALSE)</f>
        <v>19.17588404059703</v>
      </c>
      <c r="O63" s="295">
        <v>0</v>
      </c>
      <c r="P63" s="296" t="s">
        <v>34</v>
      </c>
      <c r="Q63" s="297" t="s">
        <v>34</v>
      </c>
      <c r="R63" s="294"/>
      <c r="S63" s="213" t="s">
        <v>128</v>
      </c>
      <c r="T63" s="223" t="s">
        <v>34</v>
      </c>
      <c r="U63" s="223" t="s">
        <v>34</v>
      </c>
      <c r="V63" s="74"/>
      <c r="W63" s="75"/>
    </row>
    <row r="64" spans="1:23" s="39" customFormat="1" ht="27.95" customHeight="1">
      <c r="A64" s="77"/>
      <c r="B64" s="225">
        <f>ROUNDDOWN(MAX(B$14:B63)+1,0)</f>
        <v>22</v>
      </c>
      <c r="C64" s="65"/>
      <c r="D64" s="65"/>
      <c r="E64" s="108"/>
      <c r="F64" s="108"/>
      <c r="G64" s="197"/>
      <c r="H64" s="112"/>
      <c r="I64" s="76" t="str">
        <f>"Rinse and push. Meter in "&amp;P65&amp;" water to mixer.  Turn on mixer for 2 minutes.  Transfer into batch tank."</f>
        <v>Rinse and push. Meter in Ambient water to mixer.  Turn on mixer for 2 minutes.  Transfer into batch tank.</v>
      </c>
      <c r="J64" s="65"/>
      <c r="K64" s="65"/>
      <c r="L64" s="65"/>
      <c r="M64" s="112"/>
      <c r="N64" s="108"/>
      <c r="O64" s="222"/>
      <c r="P64" s="65"/>
      <c r="Q64" s="214"/>
      <c r="S64" s="212"/>
      <c r="T64" s="72"/>
      <c r="U64" s="72"/>
      <c r="V64" s="73"/>
      <c r="W64" s="67"/>
    </row>
    <row r="65" spans="1:28" s="39" customFormat="1" ht="27.95" customHeight="1">
      <c r="A65" s="77">
        <v>1</v>
      </c>
      <c r="B65" s="224">
        <f>MAX(B$14:B64)+0.1</f>
        <v>22.1</v>
      </c>
      <c r="C65" s="291"/>
      <c r="D65" s="291"/>
      <c r="E65" s="292"/>
      <c r="F65" s="263"/>
      <c r="G65" s="196"/>
      <c r="H65" s="266"/>
      <c r="I65" s="262" t="str">
        <f>VLOOKUP($A65,DATEX!$B$13:$Q$43,4,FALSE)</f>
        <v>Purified RO Treated Water</v>
      </c>
      <c r="J65" s="263"/>
      <c r="K65" s="263"/>
      <c r="L65" s="263"/>
      <c r="M65" s="263" t="str">
        <f>VLOOKUP($A65,DATEX!$B$13:$Q$43,5,FALSE)</f>
        <v>Liquid</v>
      </c>
      <c r="N65" s="264">
        <v>0</v>
      </c>
      <c r="O65" s="265">
        <v>100</v>
      </c>
      <c r="P65" s="266" t="str">
        <f>VLOOKUP($A65,DATEX!$B$13:$T$43,18,FALSE)</f>
        <v>Ambient</v>
      </c>
      <c r="Q65" s="267">
        <f>VLOOKUP($A65,DATEX!$B$13:$T$43,17,FALSE)</f>
        <v>0.45</v>
      </c>
      <c r="R65" s="294"/>
      <c r="S65" s="215" t="s">
        <v>34</v>
      </c>
      <c r="T65" s="74" t="s">
        <v>126</v>
      </c>
      <c r="U65" s="74" t="s">
        <v>127</v>
      </c>
      <c r="V65" s="223" t="s">
        <v>34</v>
      </c>
      <c r="W65" s="75"/>
    </row>
    <row r="66" spans="1:28" s="39" customFormat="1" ht="27.95" customHeight="1">
      <c r="A66" s="77"/>
      <c r="B66" s="225">
        <f>ROUNDDOWN(MAX(B$14:B65)+1,0)</f>
        <v>23</v>
      </c>
      <c r="C66" s="65"/>
      <c r="D66" s="65"/>
      <c r="E66" s="108"/>
      <c r="F66" s="108"/>
      <c r="G66" s="197"/>
      <c r="H66" s="112"/>
      <c r="I66" s="76" t="str">
        <f>"Meter in "&amp;P67&amp;" water to mixer, then add ingredient(s) below into mixer and mix until thoroughly dissolved.  Visually inspect to verify the material is fully dissolved.  Transfer into batch tank."</f>
        <v>Meter in Ambient water to mixer, then add ingredient(s) below into mixer and mix until thoroughly dissolved.  Visually inspect to verify the material is fully dissolved.  Transfer into batch tank.</v>
      </c>
      <c r="J66" s="65"/>
      <c r="K66" s="65"/>
      <c r="L66" s="65"/>
      <c r="M66" s="112"/>
      <c r="N66" s="108"/>
      <c r="O66" s="222"/>
      <c r="P66" s="65"/>
      <c r="Q66" s="214"/>
      <c r="S66" s="212"/>
      <c r="T66" s="72"/>
      <c r="U66" s="72"/>
      <c r="V66" s="73"/>
      <c r="W66" s="67"/>
    </row>
    <row r="67" spans="1:28" s="39" customFormat="1" ht="27.95" customHeight="1">
      <c r="A67" s="77">
        <v>11</v>
      </c>
      <c r="B67" s="224">
        <f>MAX(B$14:B66)+0.1</f>
        <v>23.1</v>
      </c>
      <c r="C67" s="291">
        <v>6</v>
      </c>
      <c r="D67" s="291">
        <v>0</v>
      </c>
      <c r="E67" s="292">
        <f>VLOOKUP($A67,DATEX!$B$13:$Q$43,12,FALSE)</f>
        <v>35</v>
      </c>
      <c r="F67" s="263" t="str">
        <f>VLOOKUP($A67,DATEX!$B$13:$Q$43,13,FALSE)</f>
        <v>lb.</v>
      </c>
      <c r="G67" s="196" t="str">
        <f>IF(C67&gt;1,VLOOKUP($A67,DATEX!$B$13:$Q$43,15,FALSE),VLOOKUP($A67,DATEX!$B$13:$Q$43,14,FALSE))</f>
        <v>pails</v>
      </c>
      <c r="H67" s="266">
        <f>VLOOKUP($A67,DATEX!$B$13:$Q$43,16,FALSE)</f>
        <v>0.6</v>
      </c>
      <c r="I67" s="262" t="str">
        <f>VLOOKUP($A67,DATEX!$B$13:$Q$43,4,FALSE)</f>
        <v>Khaotic Flavor K-085</v>
      </c>
      <c r="J67" s="263" t="str">
        <f>IF(C67&gt;0,"("&amp;TEXT(C67,"0")&amp;") "&amp;TEXT(E67,"0,0.00")&amp;" "&amp;F67&amp;" "&amp;G67&amp;" (Full)","("&amp;TEXT(N67/E67,"0.00")&amp;") "&amp;TEXT(E67,"0,0.00")&amp;" "&amp;F67&amp;" "&amp;G67&amp;" (Partial)")</f>
        <v>(6) 35.00 lb. pails (Full)</v>
      </c>
      <c r="K67" s="263" t="str">
        <f>VLOOKUP($A67,DATEX!$B$13:$Q$43,2,FALSE)</f>
        <v>K-085</v>
      </c>
      <c r="L67" s="263" t="str">
        <f>VLOOKUP($A67,DATEX!$B$13:$Q$43,3,FALSE)</f>
        <v>AFF</v>
      </c>
      <c r="M67" s="263" t="str">
        <f>VLOOKUP($A67,DATEX!$B$13:$Q$43,5,FALSE)</f>
        <v>Liquid</v>
      </c>
      <c r="N67" s="264">
        <f>C67*VLOOKUP(A67,DATEX!$B$13:$W$43,19,FALSE)+D67*VLOOKUP(A67,DATEX!$B$13:$W$43,22,FALSE)</f>
        <v>210</v>
      </c>
      <c r="O67" s="293">
        <f>MAX(100,ROUNDUP(((SUM(N67:N68)/H67-SUM(N67:N68))/8.33),-1))</f>
        <v>100</v>
      </c>
      <c r="P67" s="266" t="str">
        <f>VLOOKUP($A67,DATEX!$B$13:$T$43,18,FALSE)</f>
        <v>Ambient</v>
      </c>
      <c r="Q67" s="267">
        <f>VLOOKUP($A67,DATEX!$B$13:$T$43,17,FALSE)</f>
        <v>0.25</v>
      </c>
      <c r="R67" s="294"/>
      <c r="S67" s="213" t="s">
        <v>128</v>
      </c>
      <c r="T67" s="74" t="s">
        <v>126</v>
      </c>
      <c r="U67" s="74" t="s">
        <v>127</v>
      </c>
      <c r="V67" s="74"/>
      <c r="W67" s="75"/>
    </row>
    <row r="68" spans="1:28" s="39" customFormat="1" ht="27.95" customHeight="1">
      <c r="A68" s="77">
        <v>11</v>
      </c>
      <c r="B68" s="224">
        <f>MAX(B$14:B65)+0.1</f>
        <v>22.200000000000003</v>
      </c>
      <c r="C68" s="291">
        <v>0</v>
      </c>
      <c r="D68" s="291">
        <v>1</v>
      </c>
      <c r="E68" s="292">
        <f>VLOOKUP($A68,DATEX!$B$13:$Q$43,12,FALSE)</f>
        <v>35</v>
      </c>
      <c r="F68" s="263" t="str">
        <f>VLOOKUP($A68,DATEX!$B$13:$Q$43,13,FALSE)</f>
        <v>lb.</v>
      </c>
      <c r="G68" s="196" t="str">
        <f>IF(C68&gt;1,VLOOKUP($A68,DATEX!$B$13:$Q$43,15,FALSE),VLOOKUP($A68,DATEX!$B$13:$Q$43,14,FALSE))</f>
        <v>pail</v>
      </c>
      <c r="H68" s="266">
        <f>VLOOKUP($A68,DATEX!$B$13:$Q$43,16,FALSE)</f>
        <v>0.6</v>
      </c>
      <c r="I68" s="262" t="str">
        <f>VLOOKUP($A68,DATEX!$B$13:$Q$43,4,FALSE)</f>
        <v>Khaotic Flavor K-085</v>
      </c>
      <c r="J68" s="263" t="str">
        <f t="shared" ref="J68" si="4">IF(C68&gt;0,"("&amp;TEXT(C68,"0")&amp;") "&amp;TEXT(E68,"0,0.00")&amp;" "&amp;F68&amp;" "&amp;G68&amp;" (Full)","("&amp;TEXT(N68/E68,"0.00")&amp;") "&amp;TEXT(E68,"0,0.00")&amp;" "&amp;F68&amp;" "&amp;G68&amp;" (Partial)")</f>
        <v>(0.27) 35.00 lb. pail (Partial)</v>
      </c>
      <c r="K68" s="263" t="str">
        <f>VLOOKUP($A68,DATEX!$B$13:$Q$43,2,FALSE)</f>
        <v>K-085</v>
      </c>
      <c r="L68" s="263" t="str">
        <f>VLOOKUP($A68,DATEX!$B$13:$Q$43,3,FALSE)</f>
        <v>AFF</v>
      </c>
      <c r="M68" s="263" t="str">
        <f>VLOOKUP($A68,DATEX!$B$13:$Q$43,5,FALSE)</f>
        <v>Liquid</v>
      </c>
      <c r="N68" s="264">
        <f>C68*VLOOKUP(A68,DATEX!$B$13:$W$43,19,FALSE)+D68*VLOOKUP(A68,DATEX!$B$13:$W$43,22,FALSE)</f>
        <v>9.3507097612068435</v>
      </c>
      <c r="O68" s="295">
        <v>0</v>
      </c>
      <c r="P68" s="296" t="s">
        <v>34</v>
      </c>
      <c r="Q68" s="297" t="s">
        <v>34</v>
      </c>
      <c r="R68" s="294"/>
      <c r="S68" s="213" t="s">
        <v>128</v>
      </c>
      <c r="T68" s="223" t="s">
        <v>34</v>
      </c>
      <c r="U68" s="223" t="s">
        <v>34</v>
      </c>
      <c r="V68" s="74"/>
      <c r="W68" s="75"/>
    </row>
    <row r="69" spans="1:28" s="39" customFormat="1" ht="27.95" customHeight="1">
      <c r="A69" s="77"/>
      <c r="B69" s="225">
        <f>ROUNDDOWN(MAX(B$14:B68)+1,0)</f>
        <v>24</v>
      </c>
      <c r="C69" s="65"/>
      <c r="D69" s="65"/>
      <c r="E69" s="108"/>
      <c r="F69" s="108"/>
      <c r="G69" s="197"/>
      <c r="H69" s="112"/>
      <c r="I69" s="76" t="str">
        <f>"Rinse and push. Meter in "&amp;P70&amp;" water to mixer.  Turn on mixer for 2 minutes.  Transfer into batch tank."</f>
        <v>Rinse and push. Meter in Ambient water to mixer.  Turn on mixer for 2 minutes.  Transfer into batch tank.</v>
      </c>
      <c r="J69" s="65"/>
      <c r="K69" s="65"/>
      <c r="L69" s="65"/>
      <c r="M69" s="112"/>
      <c r="N69" s="108"/>
      <c r="O69" s="222"/>
      <c r="P69" s="65"/>
      <c r="Q69" s="214"/>
      <c r="S69" s="212"/>
      <c r="T69" s="72"/>
      <c r="U69" s="72"/>
      <c r="V69" s="73"/>
      <c r="W69" s="67"/>
    </row>
    <row r="70" spans="1:28" s="39" customFormat="1" ht="27.95" customHeight="1">
      <c r="A70" s="77">
        <v>1</v>
      </c>
      <c r="B70" s="224">
        <f>MAX(B$14:B69)+0.1</f>
        <v>24.1</v>
      </c>
      <c r="C70" s="291"/>
      <c r="D70" s="291"/>
      <c r="E70" s="292"/>
      <c r="F70" s="263"/>
      <c r="G70" s="196"/>
      <c r="H70" s="266"/>
      <c r="I70" s="262" t="str">
        <f>VLOOKUP($A70,DATEX!$B$13:$Q$43,4,FALSE)</f>
        <v>Purified RO Treated Water</v>
      </c>
      <c r="J70" s="263"/>
      <c r="K70" s="263"/>
      <c r="L70" s="263"/>
      <c r="M70" s="263" t="str">
        <f>VLOOKUP($A70,DATEX!$B$13:$Q$43,5,FALSE)</f>
        <v>Liquid</v>
      </c>
      <c r="N70" s="264">
        <v>0</v>
      </c>
      <c r="O70" s="265">
        <v>100</v>
      </c>
      <c r="P70" s="266" t="str">
        <f>VLOOKUP($A70,DATEX!$B$13:$T$43,18,FALSE)</f>
        <v>Ambient</v>
      </c>
      <c r="Q70" s="267">
        <f>VLOOKUP($A70,DATEX!$B$13:$T$43,17,FALSE)</f>
        <v>0.45</v>
      </c>
      <c r="R70" s="294"/>
      <c r="S70" s="215" t="s">
        <v>34</v>
      </c>
      <c r="T70" s="74" t="s">
        <v>126</v>
      </c>
      <c r="U70" s="74" t="s">
        <v>127</v>
      </c>
      <c r="V70" s="223" t="s">
        <v>34</v>
      </c>
      <c r="W70" s="75"/>
    </row>
    <row r="71" spans="1:28" s="39" customFormat="1" ht="27.95" customHeight="1">
      <c r="A71" s="77"/>
      <c r="B71" s="288">
        <f>ROUNDDOWN(MAX(B$14:B70)+1,0)</f>
        <v>25</v>
      </c>
      <c r="C71" s="181"/>
      <c r="D71" s="181"/>
      <c r="E71" s="243"/>
      <c r="F71" s="243"/>
      <c r="G71" s="244"/>
      <c r="H71" s="245"/>
      <c r="I71" s="289" t="str">
        <f>"Meter in "&amp;P72&amp;" water directly to batch tank to finish batch."</f>
        <v>Meter in Ambient water directly to batch tank to finish batch.</v>
      </c>
      <c r="J71" s="181"/>
      <c r="K71" s="181"/>
      <c r="L71" s="181"/>
      <c r="M71" s="245"/>
      <c r="N71" s="243"/>
      <c r="O71" s="246"/>
      <c r="P71" s="181"/>
      <c r="Q71" s="247"/>
      <c r="R71" s="248"/>
      <c r="S71" s="249"/>
      <c r="T71" s="250"/>
      <c r="U71" s="250"/>
      <c r="V71" s="251"/>
      <c r="W71" s="252"/>
    </row>
    <row r="72" spans="1:28" s="39" customFormat="1" ht="27.95" customHeight="1">
      <c r="A72" s="77">
        <v>1</v>
      </c>
      <c r="B72" s="224">
        <f>MAX(B$14:B71)+0.1</f>
        <v>25.1</v>
      </c>
      <c r="C72" s="291"/>
      <c r="D72" s="291"/>
      <c r="E72" s="292"/>
      <c r="F72" s="263"/>
      <c r="G72" s="196"/>
      <c r="H72" s="266"/>
      <c r="I72" s="262" t="str">
        <f>VLOOKUP($A72,DATEX!$B$13:$Q$43,4,FALSE)</f>
        <v>Purified RO Treated Water</v>
      </c>
      <c r="J72" s="263"/>
      <c r="K72" s="263"/>
      <c r="L72" s="263"/>
      <c r="M72" s="263" t="str">
        <f>VLOOKUP($A72,DATEX!$B$13:$Q$43,5,FALSE)</f>
        <v>Liquid</v>
      </c>
      <c r="N72" s="264">
        <v>0</v>
      </c>
      <c r="O72" s="293">
        <f>O10</f>
        <v>1431.1970254652397</v>
      </c>
      <c r="P72" s="266" t="str">
        <f>VLOOKUP($A72,DATEX!$B$13:$T$43,18,FALSE)</f>
        <v>Ambient</v>
      </c>
      <c r="Q72" s="267">
        <f>VLOOKUP($A72,DATEX!$B$13:$T$43,17,FALSE)</f>
        <v>0.45</v>
      </c>
      <c r="R72" s="294"/>
      <c r="S72" s="215" t="s">
        <v>34</v>
      </c>
      <c r="T72" s="74" t="s">
        <v>126</v>
      </c>
      <c r="U72" s="74" t="s">
        <v>127</v>
      </c>
      <c r="V72" s="74"/>
      <c r="W72" s="75"/>
    </row>
    <row r="73" spans="1:28" s="39" customFormat="1" ht="30.95" customHeight="1">
      <c r="A73" s="77"/>
      <c r="B73" s="225">
        <f>ROUNDDOWN(MAX(B$14:B72)+1,0)</f>
        <v>26</v>
      </c>
      <c r="C73" s="65"/>
      <c r="D73" s="65"/>
      <c r="E73" s="65"/>
      <c r="F73" s="65"/>
      <c r="G73" s="65"/>
      <c r="H73" s="112"/>
      <c r="I73" s="76" t="s">
        <v>129</v>
      </c>
      <c r="J73" s="65"/>
      <c r="K73" s="65"/>
      <c r="L73" s="65"/>
      <c r="M73" s="65"/>
      <c r="N73" s="108"/>
      <c r="O73" s="108"/>
      <c r="P73" s="108"/>
      <c r="Q73" s="229"/>
      <c r="R73" s="192"/>
      <c r="S73" s="226"/>
      <c r="T73" s="65"/>
      <c r="U73" s="65"/>
      <c r="V73" s="66"/>
      <c r="W73" s="67"/>
      <c r="AA73" s="77"/>
      <c r="AB73" s="77"/>
    </row>
    <row r="74" spans="1:28" s="39" customFormat="1" ht="30.95" customHeight="1">
      <c r="A74" s="77"/>
      <c r="B74" s="225">
        <f>ROUNDDOWN(MAX(B$14:B73)+1,0)</f>
        <v>27</v>
      </c>
      <c r="C74" s="68"/>
      <c r="D74" s="68"/>
      <c r="E74" s="68"/>
      <c r="F74" s="68"/>
      <c r="G74" s="68"/>
      <c r="H74" s="206"/>
      <c r="I74" s="290" t="s">
        <v>130</v>
      </c>
      <c r="J74" s="69"/>
      <c r="K74" s="69"/>
      <c r="L74" s="69"/>
      <c r="M74" s="69"/>
      <c r="N74" s="110"/>
      <c r="O74" s="110"/>
      <c r="P74" s="110"/>
      <c r="Q74" s="230"/>
      <c r="R74" s="192"/>
      <c r="S74" s="227"/>
      <c r="T74" s="69"/>
      <c r="U74" s="69"/>
      <c r="V74" s="70"/>
      <c r="W74" s="71"/>
    </row>
    <row r="75" spans="1:28" s="39" customFormat="1" ht="30.95" customHeight="1">
      <c r="A75" s="77"/>
      <c r="B75" s="228"/>
      <c r="C75" s="123"/>
      <c r="D75" s="56"/>
      <c r="E75" s="55"/>
      <c r="F75" s="55"/>
      <c r="G75" s="55"/>
      <c r="H75" s="55"/>
      <c r="I75" s="56"/>
      <c r="J75" s="56"/>
      <c r="K75" s="55"/>
      <c r="L75" s="55"/>
      <c r="M75" s="55"/>
      <c r="N75" s="124">
        <f>SUM(N8:N72)</f>
        <v>113431.86262507061</v>
      </c>
      <c r="O75" s="125" t="s">
        <v>131</v>
      </c>
      <c r="P75" s="240" t="s">
        <v>132</v>
      </c>
      <c r="R75" s="207"/>
      <c r="W75" s="77"/>
    </row>
    <row r="76" spans="1:28" s="39" customFormat="1" ht="30.95" customHeight="1">
      <c r="A76" s="77"/>
      <c r="B76" s="78" t="s">
        <v>81</v>
      </c>
      <c r="C76" s="126"/>
      <c r="D76" s="126"/>
      <c r="E76" s="127"/>
      <c r="F76" s="127"/>
      <c r="G76" s="127"/>
      <c r="H76" s="127"/>
      <c r="I76" s="78"/>
      <c r="J76" s="78"/>
      <c r="K76" s="78" t="s">
        <v>133</v>
      </c>
      <c r="L76" s="78" t="s">
        <v>134</v>
      </c>
      <c r="M76" s="241"/>
      <c r="N76" s="128">
        <f>'MASTER - Batch Overview'!C17</f>
        <v>12000</v>
      </c>
      <c r="O76" s="129" t="s">
        <v>135</v>
      </c>
      <c r="P76" s="240" t="s">
        <v>136</v>
      </c>
      <c r="R76" s="207"/>
      <c r="AA76" s="77"/>
      <c r="AB76" s="77"/>
    </row>
    <row r="77" spans="1:28" s="39" customFormat="1" ht="30.95" customHeight="1">
      <c r="A77" s="77"/>
      <c r="B77" s="77"/>
      <c r="H77" s="77"/>
      <c r="I77" s="183"/>
      <c r="W77" s="183"/>
      <c r="AA77" s="77"/>
      <c r="AB77" s="77"/>
    </row>
    <row r="78" spans="1:28" s="39" customFormat="1" ht="18" customHeight="1">
      <c r="A78" s="77"/>
      <c r="B78" s="77"/>
      <c r="H78" s="77"/>
      <c r="AA78" s="77"/>
      <c r="AB78" s="77"/>
    </row>
    <row r="79" spans="1:28" s="39" customFormat="1" ht="20.100000000000001" customHeight="1">
      <c r="A79" s="77"/>
      <c r="B79" s="77"/>
      <c r="H79" s="77"/>
      <c r="AA79" s="77"/>
      <c r="AB79" s="77"/>
    </row>
    <row r="80" spans="1:28" s="39" customFormat="1" ht="20.100000000000001" customHeight="1">
      <c r="A80" s="77"/>
      <c r="B80" s="77"/>
      <c r="C80" s="77"/>
      <c r="D80" s="77"/>
      <c r="E80" s="77"/>
      <c r="F80" s="77"/>
      <c r="G80" s="77"/>
      <c r="H80" s="77"/>
      <c r="AA80" s="77"/>
      <c r="AB80" s="77"/>
    </row>
    <row r="81" spans="1:28" s="39" customFormat="1" ht="20.100000000000001" customHeight="1">
      <c r="A81" s="77"/>
      <c r="B81" s="77"/>
      <c r="C81" s="77"/>
      <c r="D81" s="77"/>
      <c r="E81" s="77"/>
      <c r="F81" s="77"/>
      <c r="G81" s="77"/>
      <c r="H81" s="77"/>
      <c r="AA81" s="77"/>
      <c r="AB81" s="77"/>
    </row>
    <row r="82" spans="1:28" s="39" customFormat="1" ht="20.100000000000001" customHeight="1">
      <c r="A82" s="77"/>
      <c r="B82" s="77"/>
      <c r="C82" s="77"/>
      <c r="D82" s="77"/>
      <c r="E82" s="77"/>
      <c r="F82" s="77"/>
      <c r="G82" s="77"/>
      <c r="H82" s="77"/>
      <c r="AA82" s="77"/>
      <c r="AB82" s="77"/>
    </row>
    <row r="83" spans="1:28" s="39" customFormat="1" ht="20.100000000000001" customHeight="1">
      <c r="A83" s="77"/>
      <c r="B83" s="77"/>
      <c r="C83" s="77"/>
      <c r="D83" s="77"/>
      <c r="E83" s="77"/>
      <c r="F83" s="77"/>
      <c r="G83" s="77"/>
      <c r="H83" s="77"/>
      <c r="AA83" s="77"/>
      <c r="AB83" s="77"/>
    </row>
    <row r="84" spans="1:28" s="39" customFormat="1" ht="20.100000000000001" customHeight="1">
      <c r="A84" s="77"/>
      <c r="B84" s="77"/>
      <c r="C84" s="77"/>
      <c r="D84" s="77"/>
      <c r="E84" s="77"/>
      <c r="F84" s="77"/>
      <c r="G84" s="77"/>
      <c r="H84" s="77"/>
      <c r="I84" s="77"/>
      <c r="AA84" s="77"/>
      <c r="AB84" s="77"/>
    </row>
    <row r="85" spans="1:28" s="39" customFormat="1" ht="20.100000000000001" customHeight="1">
      <c r="A85" s="77"/>
      <c r="B85" s="77"/>
      <c r="C85" s="77"/>
      <c r="D85" s="77"/>
      <c r="E85" s="77"/>
      <c r="F85" s="77"/>
      <c r="G85" s="77"/>
      <c r="H85" s="77"/>
      <c r="I85" s="77"/>
      <c r="AA85" s="77"/>
      <c r="AB85" s="77"/>
    </row>
    <row r="86" spans="1:28" s="39" customFormat="1" ht="20.100000000000001" customHeight="1">
      <c r="A86" s="77"/>
      <c r="B86" s="77"/>
      <c r="C86" s="183"/>
      <c r="D86" s="183"/>
      <c r="E86" s="183"/>
      <c r="F86" s="183"/>
      <c r="G86" s="183"/>
      <c r="H86" s="182"/>
      <c r="I86" s="183"/>
      <c r="J86" s="183"/>
      <c r="K86" s="183"/>
      <c r="L86" s="183"/>
      <c r="M86" s="183"/>
      <c r="AA86" s="77"/>
      <c r="AB86" s="77"/>
    </row>
    <row r="87" spans="1:28" s="39" customFormat="1" ht="20.100000000000001" customHeight="1">
      <c r="A87" s="77"/>
      <c r="B87" s="77"/>
      <c r="C87" s="183"/>
      <c r="D87" s="183"/>
      <c r="E87" s="183"/>
      <c r="F87" s="183"/>
      <c r="G87" s="183"/>
      <c r="H87" s="182"/>
      <c r="I87" s="183"/>
      <c r="J87" s="183"/>
      <c r="K87" s="183"/>
      <c r="L87" s="183"/>
      <c r="M87" s="183"/>
      <c r="AA87" s="77"/>
      <c r="AB87" s="77"/>
    </row>
    <row r="88" spans="1:28" s="39" customFormat="1" ht="20.100000000000001" customHeight="1">
      <c r="A88" s="77"/>
      <c r="B88" s="77"/>
      <c r="C88" s="183"/>
      <c r="D88" s="183"/>
      <c r="E88" s="183"/>
      <c r="F88" s="183"/>
      <c r="G88" s="183"/>
      <c r="H88" s="182"/>
      <c r="I88" s="183"/>
      <c r="J88" s="183"/>
      <c r="K88" s="183"/>
      <c r="L88" s="183"/>
      <c r="M88" s="183"/>
      <c r="AA88" s="77"/>
      <c r="AB88" s="77"/>
    </row>
    <row r="89" spans="1:28" s="39" customFormat="1" ht="20.100000000000001" customHeight="1">
      <c r="A89" s="77"/>
      <c r="B89" s="77"/>
      <c r="C89" s="183"/>
      <c r="D89" s="183"/>
      <c r="E89" s="183"/>
      <c r="F89" s="183"/>
      <c r="G89" s="183"/>
      <c r="H89" s="182"/>
      <c r="I89" s="183"/>
      <c r="J89" s="183"/>
      <c r="K89" s="183"/>
      <c r="L89" s="183"/>
      <c r="M89" s="183"/>
      <c r="AA89" s="77"/>
      <c r="AB89" s="77"/>
    </row>
    <row r="90" spans="1:28" s="39" customFormat="1" ht="20.100000000000001" customHeight="1">
      <c r="A90" s="77"/>
      <c r="B90" s="77"/>
      <c r="C90" s="183"/>
      <c r="D90" s="183"/>
      <c r="E90" s="183"/>
      <c r="F90" s="183"/>
      <c r="G90" s="183"/>
      <c r="H90" s="182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AA90" s="77"/>
      <c r="AB90" s="77"/>
    </row>
    <row r="91" spans="1:28" s="39" customFormat="1" ht="20.100000000000001" customHeight="1">
      <c r="A91" s="77"/>
      <c r="B91" s="77"/>
      <c r="C91" s="183"/>
      <c r="D91" s="183"/>
      <c r="E91" s="183"/>
      <c r="F91" s="183"/>
      <c r="G91" s="183"/>
      <c r="H91" s="182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AA91" s="77"/>
      <c r="AB91" s="77"/>
    </row>
    <row r="92" spans="1:28" s="39" customFormat="1" ht="20.100000000000001" customHeight="1">
      <c r="A92" s="77"/>
      <c r="B92" s="77"/>
      <c r="C92" s="183"/>
      <c r="D92" s="183"/>
      <c r="E92" s="183"/>
      <c r="F92" s="183"/>
      <c r="G92" s="183"/>
      <c r="H92" s="182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AA92" s="77"/>
      <c r="AB92" s="77"/>
    </row>
    <row r="93" spans="1:28">
      <c r="B93" s="77"/>
      <c r="C93" s="183"/>
      <c r="D93" s="183"/>
      <c r="E93" s="183"/>
      <c r="F93" s="183"/>
      <c r="G93" s="183"/>
      <c r="K93" s="183"/>
      <c r="L93" s="183"/>
      <c r="M93" s="183"/>
      <c r="S93" s="39"/>
      <c r="T93" s="39"/>
      <c r="U93" s="39"/>
      <c r="V93" s="39"/>
      <c r="W93" s="39"/>
    </row>
    <row r="94" spans="1:28">
      <c r="B94" s="77"/>
      <c r="C94" s="183"/>
      <c r="D94" s="183"/>
      <c r="E94" s="183"/>
      <c r="F94" s="183"/>
      <c r="G94" s="183"/>
      <c r="K94" s="183"/>
      <c r="L94" s="183"/>
      <c r="M94" s="183"/>
      <c r="S94" s="39"/>
      <c r="T94" s="39"/>
      <c r="U94" s="39"/>
      <c r="V94" s="39"/>
      <c r="W94" s="39"/>
    </row>
    <row r="95" spans="1:28">
      <c r="B95" s="77"/>
      <c r="C95" s="183"/>
      <c r="D95" s="183"/>
      <c r="E95" s="183"/>
      <c r="F95" s="183"/>
      <c r="G95" s="183"/>
      <c r="K95" s="183"/>
      <c r="L95" s="183"/>
      <c r="M95" s="183"/>
      <c r="S95" s="39"/>
      <c r="T95" s="39"/>
      <c r="U95" s="39"/>
      <c r="V95" s="39"/>
      <c r="W95" s="39"/>
    </row>
    <row r="96" spans="1:28">
      <c r="B96" s="77"/>
      <c r="C96" s="183"/>
      <c r="D96" s="183"/>
      <c r="E96" s="183"/>
      <c r="F96" s="183"/>
      <c r="G96" s="183"/>
      <c r="K96" s="183"/>
      <c r="L96" s="183"/>
      <c r="M96" s="183"/>
      <c r="S96" s="39"/>
      <c r="T96" s="39"/>
      <c r="U96" s="39"/>
      <c r="V96" s="39"/>
      <c r="W96" s="39"/>
    </row>
    <row r="97" spans="3:13">
      <c r="C97" s="183"/>
      <c r="D97" s="183"/>
      <c r="E97" s="183"/>
      <c r="F97" s="183"/>
      <c r="G97" s="183"/>
      <c r="K97" s="183"/>
      <c r="L97" s="183"/>
      <c r="M97" s="183"/>
    </row>
  </sheetData>
  <mergeCells count="3">
    <mergeCell ref="K2:Q2"/>
    <mergeCell ref="K3:Q3"/>
    <mergeCell ref="I2:J3"/>
  </mergeCells>
  <conditionalFormatting sqref="T9">
    <cfRule type="cellIs" dxfId="0" priority="1" operator="notEqual">
      <formula>0</formula>
    </cfRule>
  </conditionalFormatting>
  <printOptions horizontalCentered="1"/>
  <pageMargins left="0.25" right="0.25" top="0.75" bottom="0.75" header="0.3" footer="0.3"/>
  <pageSetup paperSize="3" scale="54" fitToHeight="0" orientation="landscape" horizontalDpi="0" verticalDpi="0"/>
  <headerFooter>
    <oddFooter>&amp;L&amp;"-,Bold" Confidential</oddFooter>
  </headerFooter>
  <ignoredErrors>
    <ignoredError sqref="B23:K23 B52:K53 B25 E25:K25 B55:K55 B54 E54:K54 B60:K60 B59 E59:K59 B66:K66 B65 E65:K65 B71:K71 B70 E70:K70 B73:K76 B72 E72:K72 B16:H16 J16:K16 B17:I17 K17 B18:K19 C50:K50 B51 E51:K51 C22:K22 C24:K24 B57:K58 B56 D56:K56 B63:K64 B61 D61:K61 B69:K69 B68:K68 B67 D67:K6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D049-6065-DF4F-964C-918718B69770}">
  <sheetPr>
    <tabColor rgb="FF2362AA"/>
    <pageSetUpPr fitToPage="1"/>
  </sheetPr>
  <dimension ref="A1:AJ43"/>
  <sheetViews>
    <sheetView showGridLines="0" zoomScale="50" zoomScaleNormal="100" workbookViewId="0">
      <selection activeCell="E2" sqref="E2:J2"/>
    </sheetView>
  </sheetViews>
  <sheetFormatPr defaultColWidth="10.875" defaultRowHeight="15"/>
  <cols>
    <col min="1" max="1" width="3.625" style="1" customWidth="1"/>
    <col min="2" max="2" width="6.625" style="1" customWidth="1"/>
    <col min="3" max="4" width="43.375" style="2" customWidth="1"/>
    <col min="5" max="5" width="96.5" style="2" customWidth="1"/>
    <col min="6" max="6" width="24.5" style="1" customWidth="1"/>
    <col min="7" max="7" width="4.875" style="1" customWidth="1"/>
    <col min="8" max="8" width="6.625" style="1" customWidth="1"/>
    <col min="9" max="10" width="43.375" style="2" customWidth="1"/>
    <col min="11" max="11" width="96.5" style="1" customWidth="1"/>
    <col min="12" max="12" width="24.5" style="1" customWidth="1"/>
    <col min="13" max="13" width="4.875" style="1" customWidth="1"/>
    <col min="14" max="14" width="38.875" style="2" customWidth="1"/>
    <col min="15" max="15" width="34.375" style="2" customWidth="1"/>
    <col min="16" max="16" width="58.875" style="1" customWidth="1"/>
    <col min="17" max="17" width="18.875" style="1" customWidth="1"/>
    <col min="18" max="24" width="22.625" style="1" customWidth="1"/>
    <col min="25" max="25" width="11.375" style="1" customWidth="1"/>
    <col min="26" max="26" width="23.125" style="4" customWidth="1"/>
    <col min="27" max="27" width="19.875" style="4" customWidth="1"/>
    <col min="28" max="29" width="13.625" style="5" customWidth="1"/>
    <col min="30" max="31" width="10.875" style="4"/>
    <col min="32" max="32" width="11.5" style="4" bestFit="1" customWidth="1"/>
    <col min="33" max="16384" width="10.875" style="1"/>
  </cols>
  <sheetData>
    <row r="1" spans="1:36" ht="16.5">
      <c r="A1" s="4"/>
      <c r="B1" s="4"/>
      <c r="C1" s="5"/>
      <c r="D1" s="5"/>
      <c r="E1" s="5"/>
      <c r="F1" s="4"/>
      <c r="G1" s="4"/>
      <c r="H1" s="4"/>
      <c r="I1" s="5"/>
      <c r="J1" s="5"/>
      <c r="K1" s="4"/>
      <c r="L1" s="4"/>
      <c r="M1" s="4"/>
      <c r="N1" s="5"/>
      <c r="O1" s="5"/>
      <c r="P1" s="4"/>
      <c r="Q1" s="4"/>
      <c r="R1" s="4"/>
      <c r="S1" s="4"/>
      <c r="T1" s="4"/>
      <c r="U1" s="4"/>
      <c r="V1" s="4"/>
      <c r="W1" s="4"/>
      <c r="X1" s="4"/>
      <c r="Y1" s="4"/>
      <c r="AG1" s="6"/>
      <c r="AH1" s="6"/>
      <c r="AI1" s="6"/>
      <c r="AJ1" s="6"/>
    </row>
    <row r="2" spans="1:36" ht="36.950000000000003" customHeight="1">
      <c r="A2" s="4"/>
      <c r="B2" s="345" t="s">
        <v>0</v>
      </c>
      <c r="C2" s="345"/>
      <c r="D2" s="345"/>
      <c r="E2" s="346" t="str">
        <f>"Batch Lot Tracking - "&amp;'MASTER - Batch Overview'!C10</f>
        <v>Batch Lot Tracking - BXX.X.XXXX</v>
      </c>
      <c r="F2" s="346"/>
      <c r="G2" s="346"/>
      <c r="H2" s="346"/>
      <c r="I2" s="346"/>
      <c r="J2" s="346"/>
      <c r="K2" s="130"/>
      <c r="L2" s="130"/>
      <c r="M2" s="130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53"/>
      <c r="AC2" s="53"/>
      <c r="AG2" s="6"/>
      <c r="AH2" s="6"/>
      <c r="AI2" s="6"/>
      <c r="AJ2" s="6"/>
    </row>
    <row r="3" spans="1:36" s="8" customFormat="1" ht="36.950000000000003" customHeight="1">
      <c r="A3" s="7"/>
      <c r="B3" s="345"/>
      <c r="C3" s="345"/>
      <c r="D3" s="345"/>
      <c r="E3" s="347" t="str">
        <f>'MASTER - Batch Overview'!D3</f>
        <v>Monster Energy - Khaotic - 6/28/24</v>
      </c>
      <c r="F3" s="347"/>
      <c r="G3" s="347"/>
      <c r="H3" s="347"/>
      <c r="I3" s="347"/>
      <c r="J3" s="347"/>
      <c r="K3" s="131"/>
      <c r="L3" s="131"/>
      <c r="M3" s="131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54"/>
      <c r="AC3" s="54"/>
      <c r="AD3" s="7"/>
      <c r="AE3" s="7"/>
      <c r="AG3" s="6"/>
      <c r="AH3" s="6"/>
      <c r="AI3" s="6"/>
      <c r="AJ3" s="6"/>
    </row>
    <row r="4" spans="1:36" s="8" customFormat="1" ht="30" customHeight="1">
      <c r="A4" s="7"/>
      <c r="B4" s="7"/>
      <c r="C4" s="64"/>
      <c r="D4" s="64"/>
      <c r="E4" s="54"/>
      <c r="F4" s="54"/>
      <c r="G4" s="54"/>
      <c r="H4" s="7"/>
      <c r="I4" s="54"/>
      <c r="J4" s="54"/>
      <c r="K4" s="54"/>
      <c r="L4" s="54"/>
      <c r="M4" s="54"/>
      <c r="N4" s="54"/>
      <c r="O4" s="54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54"/>
      <c r="AC4" s="54"/>
      <c r="AD4" s="7"/>
      <c r="AE4" s="7"/>
      <c r="AG4" s="6"/>
      <c r="AH4" s="6"/>
      <c r="AI4" s="6"/>
      <c r="AJ4" s="6"/>
    </row>
    <row r="5" spans="1:36" s="8" customFormat="1" ht="30" customHeight="1">
      <c r="A5" s="7"/>
      <c r="B5" s="7"/>
      <c r="C5" s="64"/>
      <c r="D5" s="64"/>
      <c r="E5" s="64"/>
      <c r="F5" s="64"/>
      <c r="G5" s="54"/>
      <c r="H5" s="7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40"/>
      <c r="Y5" s="40"/>
      <c r="Z5" s="40"/>
      <c r="AA5" s="40"/>
      <c r="AB5" s="54"/>
      <c r="AC5" s="54"/>
      <c r="AD5" s="7"/>
      <c r="AE5" s="7"/>
      <c r="AG5" s="6"/>
      <c r="AH5" s="6"/>
      <c r="AI5" s="6"/>
      <c r="AJ5" s="6"/>
    </row>
    <row r="6" spans="1:36" s="132" customFormat="1" ht="30" customHeight="1">
      <c r="C6" s="133" t="s">
        <v>115</v>
      </c>
      <c r="D6" s="133" t="s">
        <v>116</v>
      </c>
      <c r="E6" s="133" t="s">
        <v>137</v>
      </c>
      <c r="F6" s="134" t="s">
        <v>138</v>
      </c>
      <c r="I6" s="133" t="s">
        <v>115</v>
      </c>
      <c r="J6" s="133" t="s">
        <v>116</v>
      </c>
      <c r="K6" s="133" t="s">
        <v>137</v>
      </c>
      <c r="L6" s="134" t="s">
        <v>138</v>
      </c>
      <c r="N6" s="135"/>
      <c r="O6" s="135"/>
      <c r="P6" s="135"/>
      <c r="Q6" s="135"/>
      <c r="AB6" s="136"/>
      <c r="AC6" s="136"/>
    </row>
    <row r="7" spans="1:36" s="137" customFormat="1" ht="30" customHeight="1">
      <c r="B7" s="298">
        <v>2</v>
      </c>
      <c r="C7" s="138" t="str">
        <f>VLOOKUP($B7,DATEX!$B$13:$K$28,2,FALSE)</f>
        <v>MECLSUCROSE</v>
      </c>
      <c r="D7" s="139" t="str">
        <f>VLOOKUP($B7,DATEX!$B$13:$K$28,3,FALSE)</f>
        <v>Batory Foods</v>
      </c>
      <c r="E7" s="139" t="str">
        <f>VLOOKUP($B7,DATEX!$B$13:$K$28,4,FALSE)</f>
        <v>Liquid Sucrose 66.5° Brix</v>
      </c>
      <c r="F7" s="140">
        <f>VLOOKUP($B7,DATEX!$B$13:$K$28,10,FALSE)</f>
        <v>31706.715737124556</v>
      </c>
      <c r="G7" s="132"/>
      <c r="H7" s="298">
        <v>5</v>
      </c>
      <c r="I7" s="141">
        <f>VLOOKUP($H7,DATEX!$B$13:$K$28,2,FALSE)</f>
        <v>274011</v>
      </c>
      <c r="J7" s="142" t="str">
        <f>VLOOKUP($H7,DATEX!$B$13:$K$28,3,FALSE)</f>
        <v>Ningbo Wanglong</v>
      </c>
      <c r="K7" s="142" t="str">
        <f>VLOOKUP($H7,DATEX!$B$13:$K$28,4,FALSE)</f>
        <v>Potassium Sorbate</v>
      </c>
      <c r="L7" s="143">
        <f>VLOOKUP($H7,DATEX!$B$13:$K$28,10,FALSE)</f>
        <v>137.62093413128787</v>
      </c>
      <c r="N7" s="144"/>
      <c r="O7" s="144"/>
      <c r="P7" s="144"/>
      <c r="Q7" s="144"/>
      <c r="AB7" s="145"/>
      <c r="AC7" s="145"/>
    </row>
    <row r="8" spans="1:36" s="39" customFormat="1" ht="11.1" customHeight="1">
      <c r="D8" s="132"/>
      <c r="E8" s="132"/>
      <c r="F8" s="132"/>
      <c r="G8" s="132"/>
      <c r="J8" s="132"/>
      <c r="K8" s="132"/>
      <c r="L8" s="132"/>
      <c r="M8" s="8"/>
      <c r="N8" s="2"/>
      <c r="O8" s="2"/>
      <c r="P8" s="2"/>
      <c r="Q8" s="2"/>
      <c r="R8" s="8"/>
      <c r="S8" s="8"/>
      <c r="T8" s="8"/>
      <c r="U8" s="8"/>
      <c r="V8" s="8"/>
      <c r="W8" s="8"/>
      <c r="X8" s="8"/>
    </row>
    <row r="9" spans="1:36" s="39" customFormat="1" ht="30" customHeight="1">
      <c r="C9" s="344" t="s">
        <v>139</v>
      </c>
      <c r="D9" s="344"/>
      <c r="E9" s="134" t="s">
        <v>140</v>
      </c>
      <c r="F9" s="134" t="s">
        <v>141</v>
      </c>
      <c r="G9" s="132"/>
      <c r="I9" s="344" t="s">
        <v>139</v>
      </c>
      <c r="J9" s="344"/>
      <c r="K9" s="134" t="s">
        <v>140</v>
      </c>
      <c r="L9" s="134" t="s">
        <v>141</v>
      </c>
      <c r="M9" s="8"/>
      <c r="N9" s="2"/>
      <c r="O9" s="2"/>
      <c r="P9" s="2"/>
      <c r="Q9" s="2"/>
      <c r="R9" s="8"/>
      <c r="S9" s="8"/>
      <c r="T9" s="8"/>
      <c r="U9" s="8"/>
      <c r="V9" s="8"/>
      <c r="W9" s="8"/>
      <c r="X9" s="8"/>
    </row>
    <row r="10" spans="1:36" s="6" customFormat="1" ht="44.1" customHeight="1">
      <c r="C10" s="146" t="s">
        <v>142</v>
      </c>
      <c r="D10" s="147"/>
      <c r="E10" s="147"/>
      <c r="F10" s="148"/>
      <c r="G10" s="132"/>
      <c r="I10" s="146" t="s">
        <v>142</v>
      </c>
      <c r="J10" s="147"/>
      <c r="K10" s="147"/>
      <c r="L10" s="149"/>
      <c r="N10" s="2"/>
      <c r="O10" s="2"/>
      <c r="P10" s="2"/>
      <c r="Q10" s="2"/>
      <c r="R10" s="8"/>
      <c r="S10" s="8"/>
      <c r="T10" s="8"/>
      <c r="U10" s="8"/>
      <c r="V10" s="8"/>
      <c r="W10" s="8"/>
      <c r="X10" s="8"/>
      <c r="AB10" s="9"/>
      <c r="AC10" s="9"/>
    </row>
    <row r="11" spans="1:36" s="6" customFormat="1" ht="44.1" customHeight="1">
      <c r="C11" s="150" t="s">
        <v>143</v>
      </c>
      <c r="D11" s="151"/>
      <c r="E11" s="151"/>
      <c r="F11" s="152"/>
      <c r="G11" s="132"/>
      <c r="I11" s="150" t="s">
        <v>143</v>
      </c>
      <c r="J11" s="151"/>
      <c r="K11" s="151"/>
      <c r="L11" s="153"/>
      <c r="N11" s="2"/>
      <c r="O11" s="2"/>
      <c r="P11" s="2"/>
      <c r="Q11" s="2"/>
      <c r="R11" s="8"/>
      <c r="S11" s="8"/>
      <c r="T11" s="8"/>
      <c r="U11" s="8"/>
      <c r="V11" s="8"/>
      <c r="W11" s="8"/>
      <c r="X11" s="8"/>
      <c r="AB11" s="9"/>
      <c r="AC11" s="9"/>
    </row>
    <row r="12" spans="1:36" s="6" customFormat="1" ht="44.1" customHeight="1">
      <c r="C12" s="150" t="s">
        <v>144</v>
      </c>
      <c r="D12" s="151"/>
      <c r="E12" s="151"/>
      <c r="F12" s="152"/>
      <c r="G12" s="132"/>
      <c r="I12" s="150" t="s">
        <v>144</v>
      </c>
      <c r="J12" s="151"/>
      <c r="K12" s="151"/>
      <c r="L12" s="153"/>
      <c r="N12" s="2"/>
      <c r="O12" s="2"/>
      <c r="P12" s="2"/>
      <c r="Q12" s="2"/>
      <c r="R12" s="8"/>
      <c r="S12" s="8"/>
      <c r="T12" s="8"/>
      <c r="U12" s="8"/>
      <c r="V12" s="8"/>
      <c r="W12" s="8"/>
      <c r="X12" s="8"/>
      <c r="AB12" s="9"/>
      <c r="AC12" s="9"/>
    </row>
    <row r="13" spans="1:36" s="6" customFormat="1" ht="44.1" customHeight="1">
      <c r="C13" s="150" t="s">
        <v>145</v>
      </c>
      <c r="D13" s="151"/>
      <c r="E13" s="151"/>
      <c r="F13" s="152"/>
      <c r="G13" s="132"/>
      <c r="I13" s="150" t="s">
        <v>145</v>
      </c>
      <c r="J13" s="151"/>
      <c r="K13" s="151"/>
      <c r="L13" s="153"/>
      <c r="N13" s="2"/>
      <c r="O13" s="2"/>
      <c r="P13" s="2"/>
      <c r="Q13" s="2"/>
      <c r="R13" s="8"/>
      <c r="S13" s="8"/>
      <c r="T13" s="8"/>
      <c r="U13" s="8"/>
      <c r="V13" s="8"/>
      <c r="W13" s="8"/>
      <c r="X13" s="8"/>
      <c r="AB13" s="9"/>
      <c r="AC13" s="9"/>
    </row>
    <row r="14" spans="1:36" s="6" customFormat="1" ht="44.1" customHeight="1">
      <c r="C14" s="150" t="s">
        <v>146</v>
      </c>
      <c r="D14" s="151"/>
      <c r="E14" s="151"/>
      <c r="F14" s="152"/>
      <c r="G14" s="132"/>
      <c r="I14" s="150" t="s">
        <v>146</v>
      </c>
      <c r="J14" s="151"/>
      <c r="K14" s="151"/>
      <c r="L14" s="153"/>
      <c r="N14" s="2"/>
      <c r="R14" s="8"/>
      <c r="S14" s="8"/>
      <c r="T14" s="8"/>
      <c r="U14" s="8"/>
      <c r="V14" s="8"/>
      <c r="W14" s="8"/>
      <c r="X14" s="8"/>
    </row>
    <row r="15" spans="1:36" s="39" customFormat="1" ht="44.1" customHeight="1">
      <c r="C15" s="154" t="s">
        <v>147</v>
      </c>
      <c r="D15" s="155"/>
      <c r="E15" s="155"/>
      <c r="F15" s="156"/>
      <c r="G15" s="132"/>
      <c r="I15" s="154" t="s">
        <v>147</v>
      </c>
      <c r="J15" s="155"/>
      <c r="K15" s="155"/>
      <c r="L15" s="157"/>
      <c r="N15" s="2"/>
      <c r="R15" s="8"/>
      <c r="S15" s="8"/>
      <c r="T15" s="8"/>
      <c r="U15" s="8"/>
      <c r="V15" s="8"/>
      <c r="W15" s="8"/>
      <c r="X15" s="8"/>
    </row>
    <row r="16" spans="1:36" s="132" customFormat="1" ht="44.1" customHeight="1">
      <c r="C16" s="158" t="s">
        <v>148</v>
      </c>
      <c r="E16" s="159" t="s">
        <v>149</v>
      </c>
      <c r="F16" s="160"/>
      <c r="I16" s="158" t="s">
        <v>148</v>
      </c>
      <c r="K16" s="159" t="s">
        <v>149</v>
      </c>
      <c r="L16" s="161"/>
      <c r="N16" s="135"/>
      <c r="O16" s="135"/>
      <c r="P16" s="135"/>
      <c r="Q16" s="135"/>
    </row>
    <row r="17" spans="2:24" s="39" customFormat="1" ht="18.95" customHeight="1">
      <c r="C17" s="132"/>
      <c r="D17" s="132"/>
      <c r="E17" s="132"/>
      <c r="F17" s="132"/>
      <c r="G17" s="132"/>
      <c r="I17" s="132"/>
      <c r="J17" s="132"/>
      <c r="K17" s="132"/>
      <c r="L17" s="132"/>
      <c r="M17" s="8"/>
      <c r="N17" s="2"/>
      <c r="O17" s="2"/>
      <c r="P17" s="2"/>
      <c r="Q17" s="2"/>
      <c r="R17" s="8"/>
      <c r="S17" s="8"/>
      <c r="T17" s="8"/>
      <c r="U17" s="8"/>
      <c r="V17" s="8"/>
      <c r="W17" s="8"/>
      <c r="X17" s="8"/>
    </row>
    <row r="18" spans="2:24" s="132" customFormat="1" ht="30" customHeight="1">
      <c r="C18" s="133" t="s">
        <v>115</v>
      </c>
      <c r="D18" s="133" t="s">
        <v>116</v>
      </c>
      <c r="E18" s="133" t="s">
        <v>137</v>
      </c>
      <c r="F18" s="134" t="s">
        <v>138</v>
      </c>
      <c r="I18" s="133" t="s">
        <v>115</v>
      </c>
      <c r="J18" s="133" t="s">
        <v>116</v>
      </c>
      <c r="K18" s="133" t="s">
        <v>137</v>
      </c>
      <c r="L18" s="134" t="s">
        <v>138</v>
      </c>
      <c r="N18" s="135"/>
      <c r="O18" s="135"/>
      <c r="P18" s="135"/>
      <c r="Q18" s="135"/>
    </row>
    <row r="19" spans="2:24" s="137" customFormat="1" ht="30" customHeight="1">
      <c r="B19" s="298">
        <v>3</v>
      </c>
      <c r="C19" s="162" t="str">
        <f>VLOOKUP($B19,DATEX!$B$13:$K$28,2,FALSE)</f>
        <v>MECDEXTROSE</v>
      </c>
      <c r="D19" s="142" t="str">
        <f>VLOOKUP($B19,DATEX!$B$13:$K$28,3,FALSE)</f>
        <v>Redox</v>
      </c>
      <c r="E19" s="142" t="str">
        <f>VLOOKUP($B19,DATEX!$B$13:$K$28,4,FALSE)</f>
        <v>Dextrose Monohydrate</v>
      </c>
      <c r="F19" s="143">
        <f>VLOOKUP($B19,DATEX!$B$13:$K$28,10,FALSE)</f>
        <v>4575.7441800205415</v>
      </c>
      <c r="G19" s="132"/>
      <c r="H19" s="298">
        <v>6</v>
      </c>
      <c r="I19" s="163" t="str">
        <f>VLOOKUP($H19,DATEX!$B$13:$K$28,2,FALSE)</f>
        <v>MECCAFFEINE</v>
      </c>
      <c r="J19" s="139" t="str">
        <f>VLOOKUP($H19,DATEX!$B$13:$K$28,3,FALSE)</f>
        <v>Hebei Guangxiang</v>
      </c>
      <c r="K19" s="139" t="str">
        <f>VLOOKUP($H19,DATEX!$B$13:$K$28,4,FALSE)</f>
        <v>Synthetic Caffeine</v>
      </c>
      <c r="L19" s="140">
        <f>VLOOKUP($H19,DATEX!$B$13:$K$28,10,FALSE)</f>
        <v>135.39377932623415</v>
      </c>
      <c r="N19" s="144"/>
      <c r="O19" s="144"/>
      <c r="P19" s="144"/>
      <c r="Q19" s="144"/>
    </row>
    <row r="20" spans="2:24" s="39" customFormat="1" ht="11.1" customHeight="1">
      <c r="D20" s="132"/>
      <c r="E20" s="132"/>
      <c r="F20" s="132"/>
      <c r="G20" s="132"/>
      <c r="J20" s="132"/>
      <c r="K20" s="132"/>
      <c r="L20" s="132"/>
      <c r="M20" s="8"/>
      <c r="N20" s="2"/>
      <c r="O20" s="2"/>
      <c r="P20" s="2"/>
      <c r="Q20" s="2"/>
      <c r="R20" s="8"/>
      <c r="S20" s="8"/>
      <c r="T20" s="8"/>
      <c r="U20" s="8"/>
      <c r="V20" s="8"/>
      <c r="W20" s="8"/>
      <c r="X20" s="8"/>
    </row>
    <row r="21" spans="2:24" s="39" customFormat="1" ht="30" customHeight="1">
      <c r="C21" s="344" t="s">
        <v>139</v>
      </c>
      <c r="D21" s="344"/>
      <c r="E21" s="134" t="s">
        <v>140</v>
      </c>
      <c r="F21" s="134" t="s">
        <v>141</v>
      </c>
      <c r="G21" s="132"/>
      <c r="I21" s="344" t="s">
        <v>139</v>
      </c>
      <c r="J21" s="344"/>
      <c r="K21" s="134" t="s">
        <v>140</v>
      </c>
      <c r="L21" s="134" t="s">
        <v>141</v>
      </c>
      <c r="M21" s="8"/>
      <c r="N21" s="2"/>
      <c r="O21" s="2"/>
      <c r="P21" s="2"/>
      <c r="Q21" s="2"/>
      <c r="R21" s="8"/>
      <c r="S21" s="8"/>
      <c r="T21" s="8"/>
      <c r="U21" s="8"/>
      <c r="V21" s="8"/>
      <c r="W21" s="8"/>
      <c r="X21" s="8"/>
    </row>
    <row r="22" spans="2:24" s="39" customFormat="1" ht="44.1" customHeight="1">
      <c r="C22" s="146" t="s">
        <v>142</v>
      </c>
      <c r="D22" s="147"/>
      <c r="E22" s="147"/>
      <c r="F22" s="149"/>
      <c r="G22" s="132"/>
      <c r="I22" s="146" t="s">
        <v>142</v>
      </c>
      <c r="J22" s="147"/>
      <c r="K22" s="147"/>
      <c r="L22" s="148"/>
      <c r="M22" s="8"/>
      <c r="N22" s="2"/>
      <c r="O22" s="2"/>
      <c r="P22" s="2"/>
      <c r="Q22" s="2"/>
      <c r="R22" s="8"/>
      <c r="S22" s="8"/>
      <c r="T22" s="8"/>
      <c r="U22" s="8"/>
      <c r="V22" s="8"/>
      <c r="W22" s="8"/>
      <c r="X22" s="8"/>
    </row>
    <row r="23" spans="2:24" s="39" customFormat="1" ht="44.1" customHeight="1">
      <c r="C23" s="150" t="s">
        <v>143</v>
      </c>
      <c r="D23" s="151"/>
      <c r="E23" s="151"/>
      <c r="F23" s="153"/>
      <c r="G23" s="132"/>
      <c r="I23" s="150" t="s">
        <v>143</v>
      </c>
      <c r="J23" s="151"/>
      <c r="K23" s="151"/>
      <c r="L23" s="152"/>
      <c r="M23" s="8"/>
      <c r="N23" s="2"/>
      <c r="O23" s="2"/>
      <c r="P23" s="2"/>
      <c r="Q23" s="2"/>
      <c r="R23" s="8"/>
      <c r="S23" s="8"/>
      <c r="T23" s="8"/>
      <c r="U23" s="8"/>
      <c r="V23" s="8"/>
      <c r="W23" s="8"/>
      <c r="X23" s="8"/>
    </row>
    <row r="24" spans="2:24" s="39" customFormat="1" ht="44.1" customHeight="1">
      <c r="C24" s="150" t="s">
        <v>144</v>
      </c>
      <c r="D24" s="151"/>
      <c r="E24" s="151"/>
      <c r="F24" s="153"/>
      <c r="G24" s="132"/>
      <c r="I24" s="150" t="s">
        <v>144</v>
      </c>
      <c r="J24" s="151"/>
      <c r="K24" s="151"/>
      <c r="L24" s="152"/>
      <c r="M24" s="8"/>
      <c r="N24" s="2"/>
      <c r="O24" s="2"/>
      <c r="P24" s="2"/>
      <c r="Q24" s="2"/>
      <c r="R24" s="8"/>
      <c r="S24" s="8"/>
      <c r="T24" s="8"/>
      <c r="U24" s="8"/>
      <c r="V24" s="8"/>
      <c r="W24" s="8"/>
      <c r="X24" s="8"/>
    </row>
    <row r="25" spans="2:24" s="39" customFormat="1" ht="44.1" customHeight="1">
      <c r="C25" s="150" t="s">
        <v>145</v>
      </c>
      <c r="D25" s="151"/>
      <c r="E25" s="151"/>
      <c r="F25" s="153"/>
      <c r="G25" s="132"/>
      <c r="I25" s="150" t="s">
        <v>145</v>
      </c>
      <c r="J25" s="151"/>
      <c r="K25" s="151"/>
      <c r="L25" s="152"/>
      <c r="M25" s="8"/>
      <c r="N25" s="2"/>
      <c r="O25" s="2"/>
      <c r="P25" s="2"/>
      <c r="Q25" s="2"/>
      <c r="R25" s="8"/>
      <c r="S25" s="8"/>
      <c r="T25" s="8"/>
      <c r="U25" s="8"/>
      <c r="V25" s="8"/>
      <c r="W25" s="8"/>
      <c r="X25" s="8"/>
    </row>
    <row r="26" spans="2:24" s="39" customFormat="1" ht="44.1" customHeight="1">
      <c r="C26" s="150" t="s">
        <v>146</v>
      </c>
      <c r="D26" s="151"/>
      <c r="E26" s="151"/>
      <c r="F26" s="153"/>
      <c r="G26" s="132"/>
      <c r="I26" s="150" t="s">
        <v>146</v>
      </c>
      <c r="J26" s="151"/>
      <c r="K26" s="151"/>
      <c r="L26" s="152"/>
      <c r="M26" s="8"/>
      <c r="N26" s="2"/>
      <c r="O26" s="2"/>
      <c r="P26" s="2"/>
      <c r="Q26" s="2"/>
      <c r="R26" s="8"/>
      <c r="S26" s="8"/>
      <c r="T26" s="8"/>
      <c r="U26" s="8"/>
      <c r="V26" s="8"/>
      <c r="W26" s="8"/>
      <c r="X26" s="8"/>
    </row>
    <row r="27" spans="2:24" s="39" customFormat="1" ht="44.1" customHeight="1">
      <c r="C27" s="154" t="s">
        <v>147</v>
      </c>
      <c r="D27" s="155"/>
      <c r="E27" s="155"/>
      <c r="F27" s="157"/>
      <c r="G27" s="132"/>
      <c r="I27" s="154" t="s">
        <v>147</v>
      </c>
      <c r="J27" s="155"/>
      <c r="K27" s="155"/>
      <c r="L27" s="156"/>
      <c r="M27" s="8"/>
      <c r="N27" s="2"/>
      <c r="O27" s="2"/>
      <c r="P27" s="2"/>
      <c r="Q27" s="2"/>
      <c r="R27" s="8"/>
      <c r="S27" s="8"/>
      <c r="T27" s="8"/>
      <c r="U27" s="8"/>
      <c r="V27" s="8"/>
      <c r="W27" s="8"/>
      <c r="X27" s="8"/>
    </row>
    <row r="28" spans="2:24" s="132" customFormat="1" ht="44.1" customHeight="1">
      <c r="C28" s="158" t="s">
        <v>148</v>
      </c>
      <c r="E28" s="159" t="s">
        <v>149</v>
      </c>
      <c r="F28" s="161"/>
      <c r="I28" s="158" t="s">
        <v>148</v>
      </c>
      <c r="K28" s="159" t="s">
        <v>149</v>
      </c>
      <c r="L28" s="160"/>
      <c r="N28" s="135"/>
      <c r="O28" s="135"/>
      <c r="P28" s="135"/>
      <c r="Q28" s="135"/>
    </row>
    <row r="29" spans="2:24" s="39" customFormat="1" ht="18.95" customHeight="1">
      <c r="C29" s="132"/>
      <c r="D29" s="132"/>
      <c r="E29" s="132"/>
      <c r="F29" s="132"/>
      <c r="G29" s="132"/>
      <c r="I29" s="132"/>
      <c r="J29" s="132"/>
      <c r="K29" s="132"/>
      <c r="L29" s="132"/>
      <c r="M29" s="8"/>
      <c r="N29" s="2"/>
      <c r="O29" s="2"/>
      <c r="P29" s="2"/>
      <c r="Q29" s="2"/>
      <c r="R29" s="8"/>
      <c r="S29" s="8"/>
      <c r="T29" s="8"/>
      <c r="U29" s="8"/>
      <c r="V29" s="8"/>
      <c r="W29" s="8"/>
      <c r="X29" s="8"/>
    </row>
    <row r="30" spans="2:24" s="132" customFormat="1" ht="30" customHeight="1">
      <c r="C30" s="133" t="s">
        <v>115</v>
      </c>
      <c r="D30" s="133" t="s">
        <v>116</v>
      </c>
      <c r="E30" s="133" t="s">
        <v>137</v>
      </c>
      <c r="F30" s="134" t="s">
        <v>138</v>
      </c>
      <c r="I30" s="133" t="s">
        <v>115</v>
      </c>
      <c r="J30" s="133" t="s">
        <v>116</v>
      </c>
      <c r="K30" s="133" t="s">
        <v>137</v>
      </c>
      <c r="L30" s="134" t="s">
        <v>138</v>
      </c>
      <c r="M30" s="135"/>
      <c r="N30" s="135"/>
      <c r="O30" s="135"/>
      <c r="P30" s="135"/>
      <c r="Q30" s="135"/>
    </row>
    <row r="31" spans="2:24" s="137" customFormat="1" ht="30" customHeight="1">
      <c r="B31" s="298">
        <v>4</v>
      </c>
      <c r="C31" s="138" t="str">
        <f>VLOOKUP($B31,DATEX!$B$13:$K$28,2,FALSE)</f>
        <v>070460</v>
      </c>
      <c r="D31" s="139" t="str">
        <f>VLOOKUP($B31,DATEX!$B$13:$K$28,3,FALSE)</f>
        <v>AFF</v>
      </c>
      <c r="E31" s="139" t="str">
        <f>VLOOKUP($B31,DATEX!$B$13:$K$28,4,FALSE)</f>
        <v>Khaos Juice Base 070460</v>
      </c>
      <c r="F31" s="140">
        <f>VLOOKUP($B31,DATEX!$B$13:$K$28,10,FALSE)</f>
        <v>16867.247962187692</v>
      </c>
      <c r="G31" s="132"/>
      <c r="H31" s="298">
        <v>7</v>
      </c>
      <c r="I31" s="162" t="str">
        <f>VLOOKUP($H31,DATEX!$B$13:$K$28,2,FALSE)</f>
        <v>RE18934/C</v>
      </c>
      <c r="J31" s="142" t="str">
        <f>VLOOKUP($H31,DATEX!$B$13:$K$28,3,FALSE)</f>
        <v>Glanbia Nutritional</v>
      </c>
      <c r="K31" s="142" t="str">
        <f>VLOOKUP($H31,DATEX!$B$13:$K$28,4,FALSE)</f>
        <v>Monster Blend RE18934/C</v>
      </c>
      <c r="L31" s="143">
        <f>VLOOKUP($H31,DATEX!$B$13:$K$28,10,FALSE)</f>
        <v>1809.5086460684504</v>
      </c>
      <c r="M31" s="144"/>
      <c r="N31" s="144"/>
      <c r="O31" s="144"/>
      <c r="P31" s="144"/>
      <c r="Q31" s="144"/>
    </row>
    <row r="32" spans="2:24" s="39" customFormat="1" ht="11.1" customHeight="1">
      <c r="D32" s="132"/>
      <c r="E32" s="132"/>
      <c r="F32" s="132"/>
      <c r="G32" s="132"/>
      <c r="J32" s="132"/>
      <c r="K32" s="132"/>
      <c r="L32" s="132"/>
      <c r="M32" s="2"/>
      <c r="N32" s="2"/>
      <c r="O32" s="2"/>
      <c r="P32" s="2"/>
      <c r="Q32" s="2"/>
      <c r="R32" s="8"/>
      <c r="S32" s="8"/>
      <c r="T32" s="8"/>
      <c r="U32" s="8"/>
      <c r="V32" s="8"/>
      <c r="W32" s="8"/>
      <c r="X32" s="8"/>
    </row>
    <row r="33" spans="3:24" s="39" customFormat="1" ht="30" customHeight="1">
      <c r="C33" s="344" t="s">
        <v>139</v>
      </c>
      <c r="D33" s="344"/>
      <c r="E33" s="134" t="s">
        <v>140</v>
      </c>
      <c r="F33" s="134" t="s">
        <v>141</v>
      </c>
      <c r="G33" s="132"/>
      <c r="I33" s="344" t="s">
        <v>139</v>
      </c>
      <c r="J33" s="344"/>
      <c r="K33" s="134" t="s">
        <v>140</v>
      </c>
      <c r="L33" s="134" t="s">
        <v>141</v>
      </c>
      <c r="M33" s="2"/>
      <c r="N33" s="2"/>
      <c r="O33" s="2"/>
      <c r="P33" s="2"/>
      <c r="Q33" s="2"/>
      <c r="R33" s="8"/>
      <c r="S33" s="8"/>
      <c r="T33" s="8"/>
      <c r="U33" s="8"/>
      <c r="V33" s="8"/>
      <c r="W33" s="8"/>
      <c r="X33" s="8"/>
    </row>
    <row r="34" spans="3:24" s="39" customFormat="1" ht="44.1" customHeight="1">
      <c r="C34" s="146" t="s">
        <v>142</v>
      </c>
      <c r="D34" s="147"/>
      <c r="E34" s="147"/>
      <c r="F34" s="148"/>
      <c r="G34" s="132"/>
      <c r="I34" s="146" t="s">
        <v>142</v>
      </c>
      <c r="J34" s="147"/>
      <c r="K34" s="147"/>
      <c r="L34" s="149"/>
      <c r="M34" s="2"/>
      <c r="N34" s="2"/>
      <c r="O34" s="2"/>
      <c r="P34" s="2"/>
      <c r="Q34" s="2"/>
      <c r="R34" s="8"/>
      <c r="S34" s="8"/>
      <c r="T34" s="8"/>
      <c r="U34" s="8"/>
      <c r="V34" s="8"/>
      <c r="W34" s="8"/>
      <c r="X34" s="8"/>
    </row>
    <row r="35" spans="3:24" s="39" customFormat="1" ht="44.1" customHeight="1">
      <c r="C35" s="150" t="s">
        <v>143</v>
      </c>
      <c r="D35" s="151"/>
      <c r="E35" s="151"/>
      <c r="F35" s="152"/>
      <c r="G35" s="132"/>
      <c r="I35" s="150" t="s">
        <v>143</v>
      </c>
      <c r="J35" s="151"/>
      <c r="K35" s="151"/>
      <c r="L35" s="153"/>
      <c r="M35" s="2"/>
      <c r="N35" s="2"/>
      <c r="O35" s="2"/>
      <c r="P35" s="2"/>
      <c r="Q35" s="2"/>
      <c r="R35" s="8"/>
      <c r="S35" s="8"/>
      <c r="T35" s="8"/>
      <c r="U35" s="8"/>
      <c r="V35" s="8"/>
      <c r="W35" s="8"/>
      <c r="X35" s="8"/>
    </row>
    <row r="36" spans="3:24" s="39" customFormat="1" ht="44.1" customHeight="1">
      <c r="C36" s="150" t="s">
        <v>144</v>
      </c>
      <c r="D36" s="151"/>
      <c r="E36" s="151"/>
      <c r="F36" s="152"/>
      <c r="G36" s="132"/>
      <c r="I36" s="150" t="s">
        <v>144</v>
      </c>
      <c r="J36" s="151"/>
      <c r="K36" s="151"/>
      <c r="L36" s="153"/>
      <c r="M36" s="2"/>
      <c r="N36" s="2"/>
      <c r="O36" s="2"/>
      <c r="P36" s="2"/>
      <c r="Q36" s="2"/>
      <c r="R36" s="8"/>
      <c r="S36" s="8"/>
      <c r="T36" s="8"/>
      <c r="U36" s="8"/>
      <c r="V36" s="8"/>
      <c r="W36" s="8"/>
      <c r="X36" s="8"/>
    </row>
    <row r="37" spans="3:24" s="39" customFormat="1" ht="44.1" customHeight="1">
      <c r="C37" s="150" t="s">
        <v>145</v>
      </c>
      <c r="D37" s="151"/>
      <c r="E37" s="151"/>
      <c r="F37" s="152"/>
      <c r="G37" s="132"/>
      <c r="I37" s="150" t="s">
        <v>145</v>
      </c>
      <c r="J37" s="151"/>
      <c r="K37" s="151"/>
      <c r="L37" s="153"/>
      <c r="M37" s="2"/>
      <c r="N37" s="2"/>
      <c r="O37" s="2"/>
      <c r="P37" s="2"/>
      <c r="Q37" s="2"/>
      <c r="R37" s="8"/>
      <c r="S37" s="8"/>
      <c r="T37" s="8"/>
      <c r="U37" s="8"/>
      <c r="V37" s="8"/>
      <c r="W37" s="8"/>
      <c r="X37" s="8"/>
    </row>
    <row r="38" spans="3:24" s="39" customFormat="1" ht="44.1" customHeight="1">
      <c r="C38" s="150" t="s">
        <v>146</v>
      </c>
      <c r="D38" s="151"/>
      <c r="E38" s="151"/>
      <c r="F38" s="152"/>
      <c r="G38" s="132"/>
      <c r="I38" s="150" t="s">
        <v>146</v>
      </c>
      <c r="J38" s="151"/>
      <c r="K38" s="151"/>
      <c r="L38" s="153"/>
      <c r="M38" s="2"/>
      <c r="N38" s="2"/>
      <c r="O38" s="2"/>
      <c r="P38" s="2"/>
      <c r="Q38" s="2"/>
      <c r="R38" s="8"/>
      <c r="S38" s="8"/>
      <c r="T38" s="8"/>
      <c r="U38" s="8"/>
      <c r="V38" s="8"/>
      <c r="W38" s="8"/>
      <c r="X38" s="8"/>
    </row>
    <row r="39" spans="3:24" s="39" customFormat="1" ht="44.1" customHeight="1">
      <c r="C39" s="154" t="s">
        <v>147</v>
      </c>
      <c r="D39" s="155"/>
      <c r="E39" s="155"/>
      <c r="F39" s="156"/>
      <c r="G39" s="132"/>
      <c r="I39" s="154" t="s">
        <v>147</v>
      </c>
      <c r="J39" s="155"/>
      <c r="K39" s="155"/>
      <c r="L39" s="157"/>
      <c r="M39" s="2"/>
      <c r="N39" s="2"/>
      <c r="O39" s="2"/>
      <c r="P39" s="2"/>
      <c r="Q39" s="2"/>
      <c r="R39" s="8"/>
      <c r="S39" s="8"/>
      <c r="T39" s="8"/>
      <c r="U39" s="8"/>
      <c r="V39" s="8"/>
      <c r="W39" s="8"/>
      <c r="X39" s="8"/>
    </row>
    <row r="40" spans="3:24" s="132" customFormat="1" ht="44.1" customHeight="1">
      <c r="C40" s="158" t="s">
        <v>148</v>
      </c>
      <c r="E40" s="159" t="s">
        <v>149</v>
      </c>
      <c r="F40" s="160"/>
      <c r="I40" s="158" t="s">
        <v>148</v>
      </c>
      <c r="K40" s="159" t="s">
        <v>149</v>
      </c>
      <c r="L40" s="161"/>
      <c r="M40" s="135"/>
      <c r="N40" s="135"/>
      <c r="O40" s="135"/>
      <c r="P40" s="135"/>
      <c r="Q40" s="135"/>
    </row>
    <row r="41" spans="3:24" ht="78.95" customHeight="1">
      <c r="C41" s="164" t="s">
        <v>81</v>
      </c>
      <c r="D41" s="165"/>
      <c r="E41" s="164" t="s">
        <v>150</v>
      </c>
      <c r="F41" s="164"/>
      <c r="G41" s="166"/>
      <c r="I41" s="164" t="s">
        <v>86</v>
      </c>
      <c r="J41" s="165"/>
      <c r="K41" s="164" t="s">
        <v>150</v>
      </c>
      <c r="L41" s="164"/>
      <c r="M41" s="2"/>
      <c r="P41" s="2"/>
      <c r="Q41" s="2"/>
    </row>
    <row r="42" spans="3:24" ht="25.5">
      <c r="C42" s="135"/>
      <c r="D42" s="135"/>
      <c r="E42" s="135"/>
      <c r="F42" s="166"/>
      <c r="G42" s="166"/>
      <c r="I42" s="135"/>
      <c r="J42" s="135"/>
      <c r="K42" s="135"/>
      <c r="L42" s="135"/>
    </row>
    <row r="43" spans="3:24">
      <c r="K43" s="2"/>
      <c r="L43" s="2"/>
    </row>
  </sheetData>
  <mergeCells count="9">
    <mergeCell ref="C33:D33"/>
    <mergeCell ref="I33:J33"/>
    <mergeCell ref="B2:D3"/>
    <mergeCell ref="C9:D9"/>
    <mergeCell ref="I9:J9"/>
    <mergeCell ref="C21:D21"/>
    <mergeCell ref="I21:J21"/>
    <mergeCell ref="E2:J2"/>
    <mergeCell ref="E3:J3"/>
  </mergeCells>
  <printOptions horizontalCentered="1"/>
  <pageMargins left="0.25" right="0.25" top="0.75" bottom="0.75" header="0.3" footer="0.3"/>
  <pageSetup scale="45" orientation="landscape" horizontalDpi="0" verticalDpi="0"/>
  <headerFooter>
    <oddFooter>&amp;L&amp;"-,Bold" Confidential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0E3F-FB97-6245-AEF7-BDDF6AD8E259}">
  <sheetPr>
    <tabColor rgb="FF2362AA"/>
    <pageSetUpPr fitToPage="1"/>
  </sheetPr>
  <dimension ref="A1:AJ43"/>
  <sheetViews>
    <sheetView showGridLines="0" zoomScale="50" zoomScaleNormal="100" workbookViewId="0">
      <selection activeCell="I28" sqref="I28"/>
    </sheetView>
  </sheetViews>
  <sheetFormatPr defaultColWidth="10.875" defaultRowHeight="15"/>
  <cols>
    <col min="1" max="1" width="3.625" style="1" customWidth="1"/>
    <col min="2" max="2" width="6.625" style="1" customWidth="1"/>
    <col min="3" max="4" width="43.375" style="2" customWidth="1"/>
    <col min="5" max="5" width="96.5" style="2" customWidth="1"/>
    <col min="6" max="6" width="24.5" style="1" customWidth="1"/>
    <col min="7" max="7" width="4.875" style="1" customWidth="1"/>
    <col min="8" max="8" width="6.625" style="1" customWidth="1"/>
    <col min="9" max="10" width="43.375" style="2" customWidth="1"/>
    <col min="11" max="11" width="96.5" style="1" customWidth="1"/>
    <col min="12" max="12" width="24.5" style="1" customWidth="1"/>
    <col min="13" max="13" width="4.875" style="1" customWidth="1"/>
    <col min="14" max="14" width="38.875" style="2" customWidth="1"/>
    <col min="15" max="15" width="34.375" style="2" customWidth="1"/>
    <col min="16" max="16" width="58.875" style="1" customWidth="1"/>
    <col min="17" max="17" width="18.875" style="1" customWidth="1"/>
    <col min="18" max="24" width="22.625" style="1" customWidth="1"/>
    <col min="25" max="25" width="11.375" style="1" customWidth="1"/>
    <col min="26" max="26" width="23.125" style="4" customWidth="1"/>
    <col min="27" max="27" width="19.875" style="4" customWidth="1"/>
    <col min="28" max="29" width="13.625" style="5" customWidth="1"/>
    <col min="30" max="31" width="10.875" style="4"/>
    <col min="32" max="32" width="11.5" style="4" bestFit="1" customWidth="1"/>
    <col min="33" max="16384" width="10.875" style="1"/>
  </cols>
  <sheetData>
    <row r="1" spans="1:36" ht="16.5">
      <c r="A1" s="4"/>
      <c r="B1" s="4"/>
      <c r="C1" s="5"/>
      <c r="D1" s="5"/>
      <c r="E1" s="5"/>
      <c r="F1" s="4"/>
      <c r="G1" s="4"/>
      <c r="H1" s="4"/>
      <c r="I1" s="5"/>
      <c r="J1" s="5"/>
      <c r="K1" s="4"/>
      <c r="L1" s="4"/>
      <c r="M1" s="4"/>
      <c r="N1" s="5"/>
      <c r="O1" s="5"/>
      <c r="P1" s="4"/>
      <c r="Q1" s="4"/>
      <c r="R1" s="4"/>
      <c r="S1" s="4"/>
      <c r="T1" s="4"/>
      <c r="U1" s="4"/>
      <c r="V1" s="4"/>
      <c r="W1" s="4"/>
      <c r="X1" s="4"/>
      <c r="Y1" s="4"/>
      <c r="AG1" s="6"/>
      <c r="AH1" s="6"/>
      <c r="AI1" s="6"/>
      <c r="AJ1" s="6"/>
    </row>
    <row r="2" spans="1:36" ht="36.950000000000003" customHeight="1">
      <c r="A2" s="4"/>
      <c r="B2" s="345" t="s">
        <v>0</v>
      </c>
      <c r="C2" s="345"/>
      <c r="D2" s="345"/>
      <c r="E2" s="346" t="str">
        <f>"Batch Lot Tracking - "&amp;'MASTER - Batch Overview'!C10</f>
        <v>Batch Lot Tracking - BXX.X.XXXX</v>
      </c>
      <c r="F2" s="346"/>
      <c r="G2" s="346"/>
      <c r="H2" s="346"/>
      <c r="I2" s="346"/>
      <c r="J2" s="346"/>
      <c r="K2" s="130"/>
      <c r="L2" s="130"/>
      <c r="M2" s="130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53"/>
      <c r="AC2" s="53"/>
      <c r="AG2" s="6"/>
      <c r="AH2" s="6"/>
      <c r="AI2" s="6"/>
      <c r="AJ2" s="6"/>
    </row>
    <row r="3" spans="1:36" s="8" customFormat="1" ht="36.950000000000003" customHeight="1">
      <c r="A3" s="7"/>
      <c r="B3" s="345"/>
      <c r="C3" s="345"/>
      <c r="D3" s="345"/>
      <c r="E3" s="347" t="str">
        <f>'MASTER - Batch Overview'!D3</f>
        <v>Monster Energy - Khaotic - 6/28/24</v>
      </c>
      <c r="F3" s="347"/>
      <c r="G3" s="347"/>
      <c r="H3" s="347"/>
      <c r="I3" s="347"/>
      <c r="J3" s="347"/>
      <c r="K3" s="131"/>
      <c r="L3" s="131"/>
      <c r="M3" s="131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54"/>
      <c r="AC3" s="54"/>
      <c r="AD3" s="7"/>
      <c r="AE3" s="7"/>
      <c r="AG3" s="6"/>
      <c r="AH3" s="6"/>
      <c r="AI3" s="6"/>
      <c r="AJ3" s="6"/>
    </row>
    <row r="4" spans="1:36" s="8" customFormat="1" ht="30" customHeight="1">
      <c r="A4" s="7"/>
      <c r="B4" s="7"/>
      <c r="C4" s="64"/>
      <c r="D4" s="64"/>
      <c r="E4" s="54"/>
      <c r="F4" s="54"/>
      <c r="G4" s="54"/>
      <c r="H4" s="7"/>
      <c r="I4" s="54"/>
      <c r="J4" s="54"/>
      <c r="K4" s="54"/>
      <c r="L4" s="54"/>
      <c r="M4" s="54"/>
      <c r="N4" s="54"/>
      <c r="O4" s="54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54"/>
      <c r="AC4" s="54"/>
      <c r="AD4" s="7"/>
      <c r="AE4" s="7"/>
      <c r="AG4" s="6"/>
      <c r="AH4" s="6"/>
      <c r="AI4" s="6"/>
      <c r="AJ4" s="6"/>
    </row>
    <row r="5" spans="1:36" s="8" customFormat="1" ht="30" customHeight="1">
      <c r="A5" s="7"/>
      <c r="B5" s="7"/>
      <c r="C5" s="64"/>
      <c r="D5" s="64"/>
      <c r="E5" s="64"/>
      <c r="F5" s="64"/>
      <c r="G5" s="54"/>
      <c r="H5" s="7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40"/>
      <c r="Y5" s="40"/>
      <c r="Z5" s="40"/>
      <c r="AA5" s="40"/>
      <c r="AB5" s="54"/>
      <c r="AC5" s="54"/>
      <c r="AD5" s="7"/>
      <c r="AE5" s="7"/>
      <c r="AG5" s="6"/>
      <c r="AH5" s="6"/>
      <c r="AI5" s="6"/>
      <c r="AJ5" s="6"/>
    </row>
    <row r="6" spans="1:36" s="132" customFormat="1" ht="30" customHeight="1">
      <c r="C6" s="133" t="s">
        <v>115</v>
      </c>
      <c r="D6" s="133" t="s">
        <v>116</v>
      </c>
      <c r="E6" s="133" t="s">
        <v>137</v>
      </c>
      <c r="F6" s="134" t="s">
        <v>138</v>
      </c>
      <c r="I6" s="133" t="s">
        <v>115</v>
      </c>
      <c r="J6" s="133" t="s">
        <v>116</v>
      </c>
      <c r="K6" s="133" t="s">
        <v>137</v>
      </c>
      <c r="L6" s="134" t="s">
        <v>138</v>
      </c>
      <c r="N6" s="135"/>
      <c r="O6" s="135"/>
      <c r="P6" s="135"/>
      <c r="Q6" s="135"/>
      <c r="AB6" s="136"/>
      <c r="AC6" s="136"/>
    </row>
    <row r="7" spans="1:36" s="137" customFormat="1" ht="30" customHeight="1">
      <c r="B7" s="298">
        <v>8</v>
      </c>
      <c r="C7" s="138" t="str">
        <f>VLOOKUP($B7,DATEX!$B$13:$K$28,2,FALSE)</f>
        <v>MECCITRIC</v>
      </c>
      <c r="D7" s="139" t="str">
        <f>VLOOKUP($B7,DATEX!$B$13:$K$28,3,FALSE)</f>
        <v>NutraChem</v>
      </c>
      <c r="E7" s="139" t="str">
        <f>VLOOKUP($B7,DATEX!$B$13:$K$28,4,FALSE)</f>
        <v>Anhydrous Citric Acid</v>
      </c>
      <c r="F7" s="140">
        <f>VLOOKUP($B7,DATEX!$B$13:$K$28,10,FALSE)</f>
        <v>784.34872736241061</v>
      </c>
      <c r="G7" s="132"/>
      <c r="H7" s="298">
        <v>11</v>
      </c>
      <c r="I7" s="141" t="str">
        <f>VLOOKUP($H7,DATEX!$B$13:$K$28,2,FALSE)</f>
        <v>K-085</v>
      </c>
      <c r="J7" s="142" t="str">
        <f>VLOOKUP($H7,DATEX!$B$13:$K$28,3,FALSE)</f>
        <v>AFF</v>
      </c>
      <c r="K7" s="142" t="str">
        <f>VLOOKUP($H7,DATEX!$B$13:$K$28,4,FALSE)</f>
        <v>Khaotic Flavor K-085</v>
      </c>
      <c r="L7" s="143">
        <f>VLOOKUP($H7,DATEX!$B$13:$K$28,10,FALSE)</f>
        <v>219.35070976120684</v>
      </c>
      <c r="N7" s="144"/>
      <c r="O7" s="144"/>
      <c r="P7" s="144"/>
      <c r="Q7" s="144"/>
      <c r="AB7" s="145"/>
      <c r="AC7" s="145"/>
    </row>
    <row r="8" spans="1:36" s="39" customFormat="1" ht="11.1" customHeight="1">
      <c r="D8" s="132"/>
      <c r="E8" s="132"/>
      <c r="F8" s="132"/>
      <c r="G8" s="132"/>
      <c r="J8" s="132"/>
      <c r="K8" s="132"/>
      <c r="L8" s="132"/>
      <c r="M8" s="8"/>
      <c r="N8" s="2"/>
      <c r="O8" s="2"/>
      <c r="P8" s="2"/>
      <c r="Q8" s="2"/>
      <c r="R8" s="8"/>
      <c r="S8" s="8"/>
      <c r="T8" s="8"/>
      <c r="U8" s="8"/>
      <c r="V8" s="8"/>
      <c r="W8" s="8"/>
      <c r="X8" s="8"/>
    </row>
    <row r="9" spans="1:36" s="39" customFormat="1" ht="30" customHeight="1">
      <c r="C9" s="344" t="s">
        <v>139</v>
      </c>
      <c r="D9" s="344"/>
      <c r="E9" s="134" t="s">
        <v>140</v>
      </c>
      <c r="F9" s="134" t="s">
        <v>141</v>
      </c>
      <c r="G9" s="132"/>
      <c r="I9" s="344" t="s">
        <v>139</v>
      </c>
      <c r="J9" s="344"/>
      <c r="K9" s="134" t="s">
        <v>140</v>
      </c>
      <c r="L9" s="134" t="s">
        <v>141</v>
      </c>
      <c r="M9" s="8"/>
      <c r="N9" s="2"/>
      <c r="O9" s="2"/>
      <c r="P9" s="2"/>
      <c r="Q9" s="2"/>
      <c r="R9" s="8"/>
      <c r="S9" s="8"/>
      <c r="T9" s="8"/>
      <c r="U9" s="8"/>
      <c r="V9" s="8"/>
      <c r="W9" s="8"/>
      <c r="X9" s="8"/>
    </row>
    <row r="10" spans="1:36" s="6" customFormat="1" ht="44.1" customHeight="1">
      <c r="C10" s="146" t="s">
        <v>142</v>
      </c>
      <c r="D10" s="147"/>
      <c r="E10" s="147"/>
      <c r="F10" s="148"/>
      <c r="G10" s="132"/>
      <c r="I10" s="146" t="s">
        <v>142</v>
      </c>
      <c r="J10" s="147"/>
      <c r="K10" s="147"/>
      <c r="L10" s="149"/>
      <c r="N10" s="2"/>
      <c r="O10" s="2"/>
      <c r="P10" s="2"/>
      <c r="Q10" s="2"/>
      <c r="R10" s="8"/>
      <c r="S10" s="8"/>
      <c r="T10" s="8"/>
      <c r="U10" s="8"/>
      <c r="V10" s="8"/>
      <c r="W10" s="8"/>
      <c r="X10" s="8"/>
      <c r="AB10" s="9"/>
      <c r="AC10" s="9"/>
    </row>
    <row r="11" spans="1:36" s="6" customFormat="1" ht="44.1" customHeight="1">
      <c r="C11" s="150" t="s">
        <v>143</v>
      </c>
      <c r="D11" s="151"/>
      <c r="E11" s="151"/>
      <c r="F11" s="152"/>
      <c r="G11" s="132"/>
      <c r="I11" s="150" t="s">
        <v>143</v>
      </c>
      <c r="J11" s="151"/>
      <c r="K11" s="151"/>
      <c r="L11" s="153"/>
      <c r="N11" s="2"/>
      <c r="O11" s="2"/>
      <c r="P11" s="2"/>
      <c r="Q11" s="2"/>
      <c r="R11" s="8"/>
      <c r="S11" s="8"/>
      <c r="T11" s="8"/>
      <c r="U11" s="8"/>
      <c r="V11" s="8"/>
      <c r="W11" s="8"/>
      <c r="X11" s="8"/>
      <c r="AB11" s="9"/>
      <c r="AC11" s="9"/>
    </row>
    <row r="12" spans="1:36" s="6" customFormat="1" ht="44.1" customHeight="1">
      <c r="C12" s="150" t="s">
        <v>144</v>
      </c>
      <c r="D12" s="151"/>
      <c r="E12" s="151"/>
      <c r="F12" s="152"/>
      <c r="G12" s="132"/>
      <c r="I12" s="150" t="s">
        <v>144</v>
      </c>
      <c r="J12" s="151"/>
      <c r="K12" s="151"/>
      <c r="L12" s="153"/>
      <c r="N12" s="2"/>
      <c r="O12" s="2"/>
      <c r="P12" s="2"/>
      <c r="Q12" s="2"/>
      <c r="R12" s="8"/>
      <c r="S12" s="8"/>
      <c r="T12" s="8"/>
      <c r="U12" s="8"/>
      <c r="V12" s="8"/>
      <c r="W12" s="8"/>
      <c r="X12" s="8"/>
      <c r="AB12" s="9"/>
      <c r="AC12" s="9"/>
    </row>
    <row r="13" spans="1:36" s="6" customFormat="1" ht="44.1" customHeight="1">
      <c r="C13" s="150" t="s">
        <v>145</v>
      </c>
      <c r="D13" s="151"/>
      <c r="E13" s="151"/>
      <c r="F13" s="152"/>
      <c r="G13" s="132"/>
      <c r="I13" s="150" t="s">
        <v>145</v>
      </c>
      <c r="J13" s="151"/>
      <c r="K13" s="151"/>
      <c r="L13" s="153"/>
      <c r="N13" s="2"/>
      <c r="O13" s="2"/>
      <c r="P13" s="2"/>
      <c r="Q13" s="2"/>
      <c r="R13" s="8"/>
      <c r="S13" s="8"/>
      <c r="T13" s="8"/>
      <c r="U13" s="8"/>
      <c r="V13" s="8"/>
      <c r="W13" s="8"/>
      <c r="X13" s="8"/>
      <c r="AB13" s="9"/>
      <c r="AC13" s="9"/>
    </row>
    <row r="14" spans="1:36" s="6" customFormat="1" ht="44.1" customHeight="1">
      <c r="C14" s="150" t="s">
        <v>146</v>
      </c>
      <c r="D14" s="151"/>
      <c r="E14" s="151"/>
      <c r="F14" s="152"/>
      <c r="G14" s="132"/>
      <c r="I14" s="150" t="s">
        <v>146</v>
      </c>
      <c r="J14" s="151"/>
      <c r="K14" s="151"/>
      <c r="L14" s="153"/>
      <c r="N14" s="2"/>
      <c r="R14" s="8"/>
      <c r="S14" s="8"/>
      <c r="T14" s="8"/>
      <c r="U14" s="8"/>
      <c r="V14" s="8"/>
      <c r="W14" s="8"/>
      <c r="X14" s="8"/>
    </row>
    <row r="15" spans="1:36" s="39" customFormat="1" ht="44.1" customHeight="1">
      <c r="C15" s="154" t="s">
        <v>147</v>
      </c>
      <c r="D15" s="155"/>
      <c r="E15" s="155"/>
      <c r="F15" s="156"/>
      <c r="G15" s="132"/>
      <c r="I15" s="154" t="s">
        <v>147</v>
      </c>
      <c r="J15" s="155"/>
      <c r="K15" s="155"/>
      <c r="L15" s="157"/>
      <c r="N15" s="2"/>
      <c r="R15" s="8"/>
      <c r="S15" s="8"/>
      <c r="T15" s="8"/>
      <c r="U15" s="8"/>
      <c r="V15" s="8"/>
      <c r="W15" s="8"/>
      <c r="X15" s="8"/>
    </row>
    <row r="16" spans="1:36" s="132" customFormat="1" ht="44.1" customHeight="1">
      <c r="C16" s="158" t="s">
        <v>148</v>
      </c>
      <c r="E16" s="159" t="s">
        <v>149</v>
      </c>
      <c r="F16" s="160"/>
      <c r="I16" s="158" t="s">
        <v>148</v>
      </c>
      <c r="K16" s="159" t="s">
        <v>149</v>
      </c>
      <c r="L16" s="161"/>
      <c r="N16" s="135"/>
      <c r="O16" s="135"/>
      <c r="P16" s="135"/>
      <c r="Q16" s="135"/>
    </row>
    <row r="17" spans="2:24" s="39" customFormat="1" ht="18.95" customHeight="1">
      <c r="C17" s="132"/>
      <c r="D17" s="132"/>
      <c r="E17" s="132"/>
      <c r="F17" s="132"/>
      <c r="G17" s="132"/>
      <c r="I17" s="132"/>
      <c r="J17" s="132"/>
      <c r="K17" s="132"/>
      <c r="L17" s="132"/>
      <c r="M17" s="8"/>
      <c r="N17" s="2"/>
      <c r="O17" s="2"/>
      <c r="P17" s="2"/>
      <c r="Q17" s="2"/>
      <c r="R17" s="8"/>
      <c r="S17" s="8"/>
      <c r="T17" s="8"/>
      <c r="U17" s="8"/>
      <c r="V17" s="8"/>
      <c r="W17" s="8"/>
      <c r="X17" s="8"/>
    </row>
    <row r="18" spans="2:24" s="132" customFormat="1" ht="30" customHeight="1">
      <c r="C18" s="133" t="s">
        <v>115</v>
      </c>
      <c r="D18" s="133" t="s">
        <v>116</v>
      </c>
      <c r="E18" s="133" t="s">
        <v>137</v>
      </c>
      <c r="F18" s="134" t="s">
        <v>138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</row>
    <row r="19" spans="2:24" s="137" customFormat="1" ht="30" customHeight="1">
      <c r="B19" s="298">
        <v>9</v>
      </c>
      <c r="C19" s="162" t="str">
        <f>VLOOKUP($B19,DATEX!$B$13:$K$28,2,FALSE)</f>
        <v>LSU001</v>
      </c>
      <c r="D19" s="142" t="str">
        <f>VLOOKUP($B19,DATEX!$B$13:$K$28,3,FALSE)</f>
        <v>Prinova</v>
      </c>
      <c r="E19" s="142" t="str">
        <f>VLOOKUP($B19,DATEX!$B$13:$K$28,4,FALSE)</f>
        <v>Sucralose (25% Solution)</v>
      </c>
      <c r="F19" s="143">
        <f>VLOOKUP($B19,DATEX!$B$13:$K$28,10,FALSE)</f>
        <v>272.88484292221193</v>
      </c>
      <c r="G19" s="132"/>
      <c r="H19" s="135"/>
      <c r="I19" s="135"/>
      <c r="J19" s="135"/>
      <c r="K19" s="135"/>
      <c r="L19" s="135"/>
      <c r="M19" s="135"/>
      <c r="N19" s="135"/>
      <c r="O19" s="144"/>
      <c r="P19" s="144"/>
      <c r="Q19" s="144"/>
    </row>
    <row r="20" spans="2:24" s="39" customFormat="1" ht="11.1" customHeight="1">
      <c r="D20" s="132"/>
      <c r="E20" s="132"/>
      <c r="F20" s="132"/>
      <c r="G20" s="132"/>
      <c r="H20" s="135"/>
      <c r="I20" s="135"/>
      <c r="J20" s="135"/>
      <c r="K20" s="135"/>
      <c r="L20" s="135"/>
      <c r="M20" s="135"/>
      <c r="N20" s="135"/>
      <c r="O20" s="2"/>
      <c r="P20" s="2"/>
      <c r="Q20" s="2"/>
      <c r="R20" s="8"/>
      <c r="S20" s="8"/>
      <c r="T20" s="8"/>
      <c r="U20" s="8"/>
      <c r="V20" s="8"/>
      <c r="W20" s="8"/>
      <c r="X20" s="8"/>
    </row>
    <row r="21" spans="2:24" s="39" customFormat="1" ht="30" customHeight="1">
      <c r="C21" s="344" t="s">
        <v>139</v>
      </c>
      <c r="D21" s="344"/>
      <c r="E21" s="134" t="s">
        <v>140</v>
      </c>
      <c r="F21" s="134" t="s">
        <v>141</v>
      </c>
      <c r="G21" s="132"/>
      <c r="H21" s="135"/>
      <c r="I21" s="135"/>
      <c r="J21" s="135"/>
      <c r="K21" s="135"/>
      <c r="L21" s="135"/>
      <c r="M21" s="135"/>
      <c r="N21" s="135"/>
      <c r="O21" s="2"/>
      <c r="P21" s="2"/>
      <c r="Q21" s="2"/>
      <c r="R21" s="8"/>
      <c r="S21" s="8"/>
      <c r="T21" s="8"/>
      <c r="U21" s="8"/>
      <c r="V21" s="8"/>
      <c r="W21" s="8"/>
      <c r="X21" s="8"/>
    </row>
    <row r="22" spans="2:24" s="39" customFormat="1" ht="44.1" customHeight="1">
      <c r="C22" s="146" t="s">
        <v>142</v>
      </c>
      <c r="D22" s="147"/>
      <c r="E22" s="147"/>
      <c r="F22" s="149"/>
      <c r="G22" s="132"/>
      <c r="H22" s="135"/>
      <c r="I22" s="135"/>
      <c r="J22" s="135"/>
      <c r="K22" s="135"/>
      <c r="L22" s="135"/>
      <c r="M22" s="135"/>
      <c r="N22" s="135"/>
      <c r="O22" s="2"/>
      <c r="P22" s="2"/>
      <c r="Q22" s="2"/>
      <c r="R22" s="8"/>
      <c r="S22" s="8"/>
      <c r="T22" s="8"/>
      <c r="U22" s="8"/>
      <c r="V22" s="8"/>
      <c r="W22" s="8"/>
      <c r="X22" s="8"/>
    </row>
    <row r="23" spans="2:24" s="39" customFormat="1" ht="44.1" customHeight="1">
      <c r="C23" s="150" t="s">
        <v>143</v>
      </c>
      <c r="D23" s="151"/>
      <c r="E23" s="151"/>
      <c r="F23" s="153"/>
      <c r="G23" s="132"/>
      <c r="H23" s="135"/>
      <c r="I23" s="135"/>
      <c r="J23" s="135"/>
      <c r="K23" s="135"/>
      <c r="L23" s="135"/>
      <c r="M23" s="135"/>
      <c r="N23" s="135"/>
      <c r="O23" s="2"/>
      <c r="P23" s="2"/>
      <c r="Q23" s="2"/>
      <c r="R23" s="8"/>
      <c r="S23" s="8"/>
      <c r="T23" s="8"/>
      <c r="U23" s="8"/>
      <c r="V23" s="8"/>
      <c r="W23" s="8"/>
      <c r="X23" s="8"/>
    </row>
    <row r="24" spans="2:24" s="39" customFormat="1" ht="44.1" customHeight="1">
      <c r="C24" s="150" t="s">
        <v>144</v>
      </c>
      <c r="D24" s="151"/>
      <c r="E24" s="151"/>
      <c r="F24" s="153"/>
      <c r="G24" s="132"/>
      <c r="H24" s="135"/>
      <c r="I24" s="135"/>
      <c r="J24" s="135"/>
      <c r="K24" s="135"/>
      <c r="L24" s="135"/>
      <c r="M24" s="135"/>
      <c r="N24" s="135"/>
      <c r="O24" s="2"/>
      <c r="P24" s="2"/>
      <c r="Q24" s="2"/>
      <c r="R24" s="8"/>
      <c r="S24" s="8"/>
      <c r="T24" s="8"/>
      <c r="U24" s="8"/>
      <c r="V24" s="8"/>
      <c r="W24" s="8"/>
      <c r="X24" s="8"/>
    </row>
    <row r="25" spans="2:24" s="39" customFormat="1" ht="44.1" customHeight="1">
      <c r="C25" s="150" t="s">
        <v>145</v>
      </c>
      <c r="D25" s="151"/>
      <c r="E25" s="151"/>
      <c r="F25" s="153"/>
      <c r="G25" s="132"/>
      <c r="H25" s="135"/>
      <c r="I25" s="135"/>
      <c r="J25" s="135"/>
      <c r="K25" s="135"/>
      <c r="L25" s="135"/>
      <c r="M25" s="135"/>
      <c r="N25" s="135"/>
      <c r="O25" s="2"/>
      <c r="P25" s="2"/>
      <c r="Q25" s="2"/>
      <c r="R25" s="8"/>
      <c r="S25" s="8"/>
      <c r="T25" s="8"/>
      <c r="U25" s="8"/>
      <c r="V25" s="8"/>
      <c r="W25" s="8"/>
      <c r="X25" s="8"/>
    </row>
    <row r="26" spans="2:24" s="39" customFormat="1" ht="44.1" customHeight="1">
      <c r="C26" s="150" t="s">
        <v>146</v>
      </c>
      <c r="D26" s="151"/>
      <c r="E26" s="151"/>
      <c r="F26" s="153"/>
      <c r="G26" s="132"/>
      <c r="H26" s="135"/>
      <c r="I26" s="135"/>
      <c r="J26" s="135"/>
      <c r="K26" s="135"/>
      <c r="L26" s="135"/>
      <c r="M26" s="135"/>
      <c r="N26" s="135"/>
      <c r="O26" s="2"/>
      <c r="P26" s="2"/>
      <c r="Q26" s="2"/>
      <c r="R26" s="8"/>
      <c r="S26" s="8"/>
      <c r="T26" s="8"/>
      <c r="U26" s="8"/>
      <c r="V26" s="8"/>
      <c r="W26" s="8"/>
      <c r="X26" s="8"/>
    </row>
    <row r="27" spans="2:24" s="39" customFormat="1" ht="44.1" customHeight="1">
      <c r="C27" s="154" t="s">
        <v>147</v>
      </c>
      <c r="D27" s="155"/>
      <c r="E27" s="155"/>
      <c r="F27" s="157"/>
      <c r="G27" s="132"/>
      <c r="H27" s="135"/>
      <c r="I27" s="135"/>
      <c r="J27" s="135"/>
      <c r="K27" s="135"/>
      <c r="L27" s="135"/>
      <c r="M27" s="135"/>
      <c r="N27" s="135"/>
      <c r="O27" s="2"/>
      <c r="P27" s="2"/>
      <c r="Q27" s="2"/>
      <c r="R27" s="8"/>
      <c r="S27" s="8"/>
      <c r="T27" s="8"/>
      <c r="U27" s="8"/>
      <c r="V27" s="8"/>
      <c r="W27" s="8"/>
      <c r="X27" s="8"/>
    </row>
    <row r="28" spans="2:24" s="132" customFormat="1" ht="44.1" customHeight="1">
      <c r="C28" s="158" t="s">
        <v>148</v>
      </c>
      <c r="E28" s="159" t="s">
        <v>149</v>
      </c>
      <c r="F28" s="161"/>
      <c r="H28" s="135"/>
      <c r="I28" s="135"/>
      <c r="J28" s="135"/>
      <c r="K28" s="135"/>
      <c r="L28" s="135"/>
      <c r="M28" s="135"/>
      <c r="N28" s="135"/>
      <c r="O28" s="135"/>
      <c r="P28" s="135"/>
      <c r="Q28" s="135"/>
    </row>
    <row r="29" spans="2:24" s="39" customFormat="1" ht="18.95" customHeight="1">
      <c r="C29" s="132"/>
      <c r="D29" s="132"/>
      <c r="E29" s="132"/>
      <c r="F29" s="132"/>
      <c r="G29" s="132"/>
      <c r="H29" s="135"/>
      <c r="I29" s="135"/>
      <c r="J29" s="135"/>
      <c r="K29" s="135"/>
      <c r="L29" s="135"/>
      <c r="M29" s="135"/>
      <c r="N29" s="135"/>
      <c r="O29" s="2"/>
      <c r="P29" s="2"/>
      <c r="Q29" s="2"/>
      <c r="R29" s="8"/>
      <c r="S29" s="8"/>
      <c r="T29" s="8"/>
      <c r="U29" s="8"/>
      <c r="V29" s="8"/>
      <c r="W29" s="8"/>
      <c r="X29" s="8"/>
    </row>
    <row r="30" spans="2:24" s="132" customFormat="1" ht="30" customHeight="1">
      <c r="C30" s="133" t="s">
        <v>115</v>
      </c>
      <c r="D30" s="133" t="s">
        <v>116</v>
      </c>
      <c r="E30" s="133" t="s">
        <v>137</v>
      </c>
      <c r="F30" s="134" t="s">
        <v>138</v>
      </c>
      <c r="H30" s="135"/>
      <c r="I30" s="135"/>
      <c r="J30" s="135"/>
      <c r="K30" s="135"/>
      <c r="L30" s="135"/>
      <c r="M30" s="135"/>
      <c r="N30" s="135"/>
      <c r="O30" s="135"/>
      <c r="P30" s="135"/>
      <c r="Q30" s="135"/>
    </row>
    <row r="31" spans="2:24" s="137" customFormat="1" ht="30" customHeight="1">
      <c r="B31" s="298">
        <v>10</v>
      </c>
      <c r="C31" s="138" t="str">
        <f>VLOOKUP($B31,DATEX!$B$13:$K$28,2,FALSE)</f>
        <v>C-1085</v>
      </c>
      <c r="D31" s="139" t="str">
        <f>VLOOKUP($B31,DATEX!$B$13:$K$28,3,FALSE)</f>
        <v>AFF</v>
      </c>
      <c r="E31" s="139" t="str">
        <f>VLOOKUP($B31,DATEX!$B$13:$K$28,4,FALSE)</f>
        <v>Candy Note Flavor C-1085</v>
      </c>
      <c r="F31" s="140">
        <f>VLOOKUP($B31,DATEX!$B$13:$K$28,10,FALSE)</f>
        <v>19.17588404059703</v>
      </c>
      <c r="G31" s="132"/>
      <c r="H31" s="135"/>
      <c r="I31" s="135"/>
      <c r="J31" s="135"/>
      <c r="K31" s="135"/>
      <c r="L31" s="135"/>
      <c r="M31" s="135"/>
      <c r="N31" s="135"/>
      <c r="O31" s="144"/>
      <c r="P31" s="144"/>
      <c r="Q31" s="144"/>
    </row>
    <row r="32" spans="2:24" s="39" customFormat="1" ht="11.1" customHeight="1">
      <c r="D32" s="132"/>
      <c r="E32" s="132"/>
      <c r="F32" s="132"/>
      <c r="G32" s="132"/>
      <c r="H32" s="135"/>
      <c r="I32" s="135"/>
      <c r="J32" s="135"/>
      <c r="K32" s="135"/>
      <c r="L32" s="135"/>
      <c r="M32" s="135"/>
      <c r="N32" s="135"/>
      <c r="O32" s="2"/>
      <c r="P32" s="2"/>
      <c r="Q32" s="2"/>
      <c r="R32" s="8"/>
      <c r="S32" s="8"/>
      <c r="T32" s="8"/>
      <c r="U32" s="8"/>
      <c r="V32" s="8"/>
      <c r="W32" s="8"/>
      <c r="X32" s="8"/>
    </row>
    <row r="33" spans="3:24" s="39" customFormat="1" ht="30" customHeight="1">
      <c r="C33" s="344" t="s">
        <v>139</v>
      </c>
      <c r="D33" s="344"/>
      <c r="E33" s="134" t="s">
        <v>140</v>
      </c>
      <c r="F33" s="134" t="s">
        <v>141</v>
      </c>
      <c r="G33" s="132"/>
      <c r="H33" s="135"/>
      <c r="I33" s="135"/>
      <c r="J33" s="135"/>
      <c r="K33" s="135"/>
      <c r="L33" s="135"/>
      <c r="M33" s="135"/>
      <c r="N33" s="135"/>
      <c r="O33" s="2"/>
      <c r="P33" s="2"/>
      <c r="Q33" s="2"/>
      <c r="R33" s="8"/>
      <c r="S33" s="8"/>
      <c r="T33" s="8"/>
      <c r="U33" s="8"/>
      <c r="V33" s="8"/>
      <c r="W33" s="8"/>
      <c r="X33" s="8"/>
    </row>
    <row r="34" spans="3:24" s="39" customFormat="1" ht="44.1" customHeight="1">
      <c r="C34" s="146" t="s">
        <v>142</v>
      </c>
      <c r="D34" s="147"/>
      <c r="E34" s="147"/>
      <c r="F34" s="148"/>
      <c r="G34" s="132"/>
      <c r="H34" s="135"/>
      <c r="I34" s="135"/>
      <c r="J34" s="135"/>
      <c r="K34" s="135"/>
      <c r="L34" s="135"/>
      <c r="M34" s="135"/>
      <c r="N34" s="135"/>
      <c r="O34" s="2"/>
      <c r="P34" s="2"/>
      <c r="Q34" s="2"/>
      <c r="R34" s="8"/>
      <c r="S34" s="8"/>
      <c r="T34" s="8"/>
      <c r="U34" s="8"/>
      <c r="V34" s="8"/>
      <c r="W34" s="8"/>
      <c r="X34" s="8"/>
    </row>
    <row r="35" spans="3:24" s="39" customFormat="1" ht="44.1" customHeight="1">
      <c r="C35" s="150" t="s">
        <v>143</v>
      </c>
      <c r="D35" s="151"/>
      <c r="E35" s="151"/>
      <c r="F35" s="152"/>
      <c r="G35" s="132"/>
      <c r="H35" s="135"/>
      <c r="I35" s="135"/>
      <c r="J35" s="135"/>
      <c r="K35" s="135"/>
      <c r="L35" s="135"/>
      <c r="M35" s="135"/>
      <c r="N35" s="135"/>
      <c r="O35" s="2"/>
      <c r="P35" s="2"/>
      <c r="Q35" s="2"/>
      <c r="R35" s="8"/>
      <c r="S35" s="8"/>
      <c r="T35" s="8"/>
      <c r="U35" s="8"/>
      <c r="V35" s="8"/>
      <c r="W35" s="8"/>
      <c r="X35" s="8"/>
    </row>
    <row r="36" spans="3:24" s="39" customFormat="1" ht="44.1" customHeight="1">
      <c r="C36" s="150" t="s">
        <v>144</v>
      </c>
      <c r="D36" s="151"/>
      <c r="E36" s="151"/>
      <c r="F36" s="152"/>
      <c r="G36" s="132"/>
      <c r="H36" s="135"/>
      <c r="I36" s="135"/>
      <c r="J36" s="135"/>
      <c r="K36" s="135"/>
      <c r="L36" s="135"/>
      <c r="M36" s="135"/>
      <c r="N36" s="135"/>
      <c r="O36" s="2"/>
      <c r="P36" s="2"/>
      <c r="Q36" s="2"/>
      <c r="R36" s="8"/>
      <c r="S36" s="8"/>
      <c r="T36" s="8"/>
      <c r="U36" s="8"/>
      <c r="V36" s="8"/>
      <c r="W36" s="8"/>
      <c r="X36" s="8"/>
    </row>
    <row r="37" spans="3:24" s="39" customFormat="1" ht="44.1" customHeight="1">
      <c r="C37" s="150" t="s">
        <v>145</v>
      </c>
      <c r="D37" s="151"/>
      <c r="E37" s="151"/>
      <c r="F37" s="152"/>
      <c r="G37" s="132"/>
      <c r="H37" s="135"/>
      <c r="I37" s="135"/>
      <c r="J37" s="135"/>
      <c r="K37" s="135"/>
      <c r="L37" s="135"/>
      <c r="M37" s="135"/>
      <c r="N37" s="135"/>
      <c r="O37" s="2"/>
      <c r="P37" s="2"/>
      <c r="Q37" s="2"/>
      <c r="R37" s="8"/>
      <c r="S37" s="8"/>
      <c r="T37" s="8"/>
      <c r="U37" s="8"/>
      <c r="V37" s="8"/>
      <c r="W37" s="8"/>
      <c r="X37" s="8"/>
    </row>
    <row r="38" spans="3:24" s="39" customFormat="1" ht="44.1" customHeight="1">
      <c r="C38" s="150" t="s">
        <v>146</v>
      </c>
      <c r="D38" s="151"/>
      <c r="E38" s="151"/>
      <c r="F38" s="152"/>
      <c r="G38" s="132"/>
      <c r="H38" s="135"/>
      <c r="I38" s="135"/>
      <c r="J38" s="135"/>
      <c r="K38" s="135"/>
      <c r="L38" s="135"/>
      <c r="M38" s="135"/>
      <c r="N38" s="135"/>
      <c r="O38" s="2"/>
      <c r="P38" s="2"/>
      <c r="Q38" s="2"/>
      <c r="R38" s="8"/>
      <c r="S38" s="8"/>
      <c r="T38" s="8"/>
      <c r="U38" s="8"/>
      <c r="V38" s="8"/>
      <c r="W38" s="8"/>
      <c r="X38" s="8"/>
    </row>
    <row r="39" spans="3:24" s="39" customFormat="1" ht="44.1" customHeight="1">
      <c r="C39" s="154" t="s">
        <v>147</v>
      </c>
      <c r="D39" s="155"/>
      <c r="E39" s="155"/>
      <c r="F39" s="156"/>
      <c r="G39" s="132"/>
      <c r="H39" s="135"/>
      <c r="I39" s="135"/>
      <c r="J39" s="135"/>
      <c r="K39" s="135"/>
      <c r="L39" s="135"/>
      <c r="M39" s="135"/>
      <c r="N39" s="135"/>
      <c r="O39" s="2"/>
      <c r="P39" s="2"/>
      <c r="Q39" s="2"/>
      <c r="R39" s="8"/>
      <c r="S39" s="8"/>
      <c r="T39" s="8"/>
      <c r="U39" s="8"/>
      <c r="V39" s="8"/>
      <c r="W39" s="8"/>
      <c r="X39" s="8"/>
    </row>
    <row r="40" spans="3:24" s="132" customFormat="1" ht="44.1" customHeight="1">
      <c r="C40" s="158" t="s">
        <v>148</v>
      </c>
      <c r="E40" s="159" t="s">
        <v>149</v>
      </c>
      <c r="F40" s="160"/>
      <c r="H40" s="135"/>
      <c r="I40" s="135"/>
      <c r="J40" s="135"/>
      <c r="K40" s="135"/>
      <c r="L40" s="135"/>
      <c r="M40" s="135"/>
      <c r="N40" s="135"/>
      <c r="O40" s="135"/>
      <c r="P40" s="135"/>
      <c r="Q40" s="135"/>
    </row>
    <row r="41" spans="3:24" ht="78.95" customHeight="1">
      <c r="C41" s="164" t="s">
        <v>81</v>
      </c>
      <c r="D41" s="165"/>
      <c r="E41" s="164" t="s">
        <v>150</v>
      </c>
      <c r="F41" s="164"/>
      <c r="G41" s="166"/>
      <c r="I41" s="164" t="s">
        <v>86</v>
      </c>
      <c r="J41" s="165"/>
      <c r="K41" s="164" t="s">
        <v>150</v>
      </c>
      <c r="L41" s="164"/>
      <c r="M41" s="2"/>
      <c r="P41" s="2"/>
      <c r="Q41" s="2"/>
    </row>
    <row r="42" spans="3:24" ht="25.5">
      <c r="C42" s="135"/>
      <c r="D42" s="135"/>
      <c r="E42" s="135"/>
      <c r="F42" s="166"/>
      <c r="G42" s="166"/>
      <c r="I42" s="135"/>
      <c r="J42" s="135"/>
      <c r="K42" s="135"/>
      <c r="L42" s="135"/>
    </row>
    <row r="43" spans="3:24">
      <c r="K43" s="2"/>
      <c r="L43" s="2"/>
    </row>
  </sheetData>
  <mergeCells count="7">
    <mergeCell ref="C33:D33"/>
    <mergeCell ref="B2:D3"/>
    <mergeCell ref="E2:J2"/>
    <mergeCell ref="E3:J3"/>
    <mergeCell ref="C9:D9"/>
    <mergeCell ref="I9:J9"/>
    <mergeCell ref="C21:D21"/>
  </mergeCells>
  <printOptions horizontalCentered="1"/>
  <pageMargins left="0.25" right="0.25" top="0.75" bottom="0.75" header="0.3" footer="0.3"/>
  <pageSetup scale="45" orientation="landscape" horizontalDpi="0" verticalDpi="0"/>
  <headerFooter>
    <oddFooter>&amp;L&amp;"-,Bold" 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96D6-3903-F146-93FB-36E98AA7CD1A}">
  <sheetPr>
    <tabColor rgb="FFFF0000"/>
    <pageSetUpPr fitToPage="1"/>
  </sheetPr>
  <dimension ref="B2:Z45"/>
  <sheetViews>
    <sheetView zoomScaleNormal="100" workbookViewId="0">
      <selection activeCell="A20" sqref="A20:XFD20"/>
    </sheetView>
  </sheetViews>
  <sheetFormatPr defaultColWidth="11" defaultRowHeight="15.75"/>
  <cols>
    <col min="1" max="1" width="3.625" customWidth="1"/>
    <col min="2" max="2" width="25.625" bestFit="1" customWidth="1"/>
    <col min="3" max="4" width="17.125" customWidth="1"/>
    <col min="5" max="5" width="46.875" customWidth="1"/>
    <col min="6" max="8" width="11.125" customWidth="1"/>
    <col min="10" max="10" width="11.375" bestFit="1" customWidth="1"/>
    <col min="11" max="11" width="13.5" bestFit="1" customWidth="1"/>
    <col min="12" max="12" width="3.125" customWidth="1"/>
    <col min="18" max="19" width="15.5" bestFit="1" customWidth="1"/>
    <col min="20" max="20" width="14.875" customWidth="1"/>
    <col min="21" max="21" width="12.625" bestFit="1" customWidth="1"/>
    <col min="22" max="22" width="12.625" customWidth="1"/>
    <col min="24" max="24" width="2.625" customWidth="1"/>
  </cols>
  <sheetData>
    <row r="2" spans="2:26">
      <c r="B2" t="s">
        <v>151</v>
      </c>
      <c r="C2" s="101" t="s">
        <v>152</v>
      </c>
    </row>
    <row r="3" spans="2:26">
      <c r="B3" t="s">
        <v>137</v>
      </c>
      <c r="C3" s="101" t="s">
        <v>153</v>
      </c>
    </row>
    <row r="4" spans="2:26">
      <c r="B4" t="s">
        <v>28</v>
      </c>
      <c r="C4" s="101" t="s">
        <v>154</v>
      </c>
    </row>
    <row r="5" spans="2:26">
      <c r="B5" t="s">
        <v>155</v>
      </c>
      <c r="C5" s="312">
        <v>44293</v>
      </c>
      <c r="E5" s="87"/>
      <c r="F5" s="87"/>
      <c r="G5" s="87"/>
      <c r="H5" s="87"/>
    </row>
    <row r="6" spans="2:26">
      <c r="B6" t="s">
        <v>156</v>
      </c>
      <c r="C6" s="312">
        <v>44293</v>
      </c>
      <c r="E6" s="87"/>
      <c r="F6" s="87"/>
      <c r="G6" s="87"/>
      <c r="H6" s="87"/>
    </row>
    <row r="7" spans="2:26">
      <c r="B7" t="s">
        <v>157</v>
      </c>
      <c r="C7" s="313">
        <v>1921.914</v>
      </c>
      <c r="E7" s="88"/>
      <c r="F7" s="88"/>
      <c r="G7" s="88"/>
      <c r="H7" s="88"/>
    </row>
    <row r="8" spans="2:26">
      <c r="B8" t="s">
        <v>158</v>
      </c>
      <c r="C8" s="313">
        <v>3</v>
      </c>
      <c r="E8" s="88"/>
      <c r="F8" s="88"/>
      <c r="G8" s="88"/>
      <c r="H8" s="88"/>
    </row>
    <row r="9" spans="2:26">
      <c r="B9" t="s">
        <v>159</v>
      </c>
      <c r="C9" s="174">
        <f>C7*(1+C8)</f>
        <v>7687.6559999999999</v>
      </c>
      <c r="E9" s="88"/>
      <c r="F9" s="88"/>
      <c r="G9" s="88"/>
      <c r="H9" s="88"/>
    </row>
    <row r="10" spans="2:26">
      <c r="B10" t="s">
        <v>160</v>
      </c>
      <c r="C10" s="175">
        <f>'MASTER - Batch Instructions'!N76</f>
        <v>12000</v>
      </c>
      <c r="E10" s="88"/>
      <c r="F10" s="88"/>
      <c r="G10" s="88"/>
      <c r="H10" s="88"/>
    </row>
    <row r="11" spans="2:26">
      <c r="J11" s="173" t="s">
        <v>161</v>
      </c>
      <c r="K11" s="173" t="s">
        <v>162</v>
      </c>
      <c r="Y11" s="173" t="s">
        <v>163</v>
      </c>
      <c r="Z11" s="173" t="s">
        <v>101</v>
      </c>
    </row>
    <row r="12" spans="2:26">
      <c r="B12" s="90" t="s">
        <v>164</v>
      </c>
      <c r="C12" s="90" t="s">
        <v>115</v>
      </c>
      <c r="D12" s="90" t="s">
        <v>116</v>
      </c>
      <c r="E12" s="90" t="s">
        <v>165</v>
      </c>
      <c r="F12" s="90" t="s">
        <v>117</v>
      </c>
      <c r="G12" s="90" t="s">
        <v>166</v>
      </c>
      <c r="H12" s="90" t="s">
        <v>167</v>
      </c>
      <c r="I12" s="90" t="s">
        <v>168</v>
      </c>
      <c r="J12" s="173" t="s">
        <v>169</v>
      </c>
      <c r="K12" s="173" t="s">
        <v>170</v>
      </c>
      <c r="M12" s="168" t="s">
        <v>171</v>
      </c>
      <c r="N12" s="168" t="s">
        <v>8</v>
      </c>
      <c r="O12" s="168" t="s">
        <v>117</v>
      </c>
      <c r="P12" s="168" t="s">
        <v>172</v>
      </c>
      <c r="Q12" s="168" t="s">
        <v>112</v>
      </c>
      <c r="R12" s="168" t="s">
        <v>173</v>
      </c>
      <c r="S12" s="168" t="s">
        <v>174</v>
      </c>
      <c r="T12" s="168" t="s">
        <v>175</v>
      </c>
      <c r="U12" s="168" t="s">
        <v>176</v>
      </c>
      <c r="V12" s="168" t="s">
        <v>177</v>
      </c>
      <c r="W12" s="168" t="s">
        <v>178</v>
      </c>
      <c r="Y12" s="173" t="s">
        <v>179</v>
      </c>
      <c r="Z12" s="173" t="s">
        <v>180</v>
      </c>
    </row>
    <row r="13" spans="2:26">
      <c r="B13" s="95">
        <v>1</v>
      </c>
      <c r="E13" t="s">
        <v>181</v>
      </c>
      <c r="F13" t="s">
        <v>182</v>
      </c>
      <c r="H13" s="167">
        <v>8.33</v>
      </c>
      <c r="I13" s="172">
        <f>8.33*1094.0811</f>
        <v>9113.6955630000011</v>
      </c>
      <c r="J13" s="176">
        <f t="shared" ref="J13:J24" si="0">I13/$C$7</f>
        <v>4.7419892685104541</v>
      </c>
      <c r="K13" s="176">
        <f t="shared" ref="K13:K39" si="1">J13*C$10</f>
        <v>56903.871222125446</v>
      </c>
      <c r="M13" s="177"/>
      <c r="N13" s="101"/>
      <c r="O13" s="101"/>
      <c r="P13" s="101"/>
      <c r="Q13" s="178"/>
      <c r="R13" s="195">
        <v>0.45</v>
      </c>
      <c r="S13" s="194" t="s">
        <v>183</v>
      </c>
      <c r="T13" s="170">
        <f>IF(M13&gt;0,IF(N13="kg",CONVERT(M13,"kg","lbm"),M13),0)</f>
        <v>0</v>
      </c>
      <c r="Y13" s="169">
        <f>SUMIF('MASTER - Batch Instructions'!$A$15:$A$199,DATEX!B13,'MASTER - Batch Instructions'!$N$15:$N$199)</f>
        <v>0</v>
      </c>
      <c r="Z13" s="169"/>
    </row>
    <row r="14" spans="2:26">
      <c r="B14" s="95">
        <v>2</v>
      </c>
      <c r="C14" s="95" t="s">
        <v>184</v>
      </c>
      <c r="D14" s="95" t="s">
        <v>185</v>
      </c>
      <c r="E14" t="s">
        <v>186</v>
      </c>
      <c r="F14" s="95" t="s">
        <v>182</v>
      </c>
      <c r="G14" s="318">
        <f>K14/11.053</f>
        <v>2868.6072321654351</v>
      </c>
      <c r="H14" s="167"/>
      <c r="I14" s="172">
        <f>11.053*459.4347</f>
        <v>5078.1317391000002</v>
      </c>
      <c r="J14" s="176">
        <f t="shared" si="0"/>
        <v>2.6422263114270463</v>
      </c>
      <c r="K14" s="176">
        <f t="shared" si="1"/>
        <v>31706.715737124556</v>
      </c>
      <c r="M14" s="177">
        <v>1</v>
      </c>
      <c r="N14" s="101" t="s">
        <v>187</v>
      </c>
      <c r="O14" s="101" t="s">
        <v>188</v>
      </c>
      <c r="P14" s="101" t="s">
        <v>188</v>
      </c>
      <c r="Q14" s="178"/>
      <c r="R14" s="195">
        <v>0.55000000000000004</v>
      </c>
      <c r="S14" s="194" t="s">
        <v>183</v>
      </c>
      <c r="T14" s="170">
        <f t="shared" ref="T14:T20" si="2">IF(M14&gt;0,IF(N14="kg",CONVERT(M14,"kg","lbm"),M14),0)</f>
        <v>1</v>
      </c>
      <c r="U14" s="180">
        <f>ROUNDDOWN(K14/T14,0)</f>
        <v>31706</v>
      </c>
      <c r="V14" s="171">
        <f>(K14-(U14*T14))/T14</f>
        <v>0.71573712455574423</v>
      </c>
      <c r="W14" s="179">
        <f>K14-(U14*T14)</f>
        <v>0.71573712455574423</v>
      </c>
      <c r="Y14" s="169">
        <f>SUMIF('MASTER - Batch Instructions'!$A$15:$A$199,DATEX!B14,'MASTER - Batch Instructions'!$N$15:$N$199)</f>
        <v>31706.715737124556</v>
      </c>
      <c r="Z14" s="169">
        <f>K14-Y14</f>
        <v>0</v>
      </c>
    </row>
    <row r="15" spans="2:26">
      <c r="B15" s="95">
        <v>3</v>
      </c>
      <c r="C15" s="316" t="s">
        <v>189</v>
      </c>
      <c r="D15" s="95" t="s">
        <v>190</v>
      </c>
      <c r="E15" t="s">
        <v>191</v>
      </c>
      <c r="F15" s="95" t="s">
        <v>192</v>
      </c>
      <c r="G15" s="95"/>
      <c r="H15" s="95"/>
      <c r="I15" s="172">
        <v>732.84889999999996</v>
      </c>
      <c r="J15" s="176">
        <f t="shared" si="0"/>
        <v>0.3813120150017118</v>
      </c>
      <c r="K15" s="176">
        <f t="shared" si="1"/>
        <v>4575.7441800205415</v>
      </c>
      <c r="M15" s="177">
        <v>907.5</v>
      </c>
      <c r="N15" s="101" t="s">
        <v>193</v>
      </c>
      <c r="O15" s="101" t="s">
        <v>194</v>
      </c>
      <c r="P15" s="101" t="s">
        <v>195</v>
      </c>
      <c r="Q15" s="178">
        <v>0.5</v>
      </c>
      <c r="R15" s="195">
        <v>0.55000000000000004</v>
      </c>
      <c r="S15" s="194" t="s">
        <v>196</v>
      </c>
      <c r="T15" s="170">
        <f t="shared" si="2"/>
        <v>2000.6950293277641</v>
      </c>
      <c r="U15" s="180">
        <f t="shared" ref="U15:U20" si="3">ROUNDDOWN(K15/T15,0)</f>
        <v>2</v>
      </c>
      <c r="V15" s="171">
        <f t="shared" ref="V15:V23" si="4">(K15-(U15*T15))/T15</f>
        <v>0.28707729711209257</v>
      </c>
      <c r="W15" s="179">
        <f t="shared" ref="W15:W20" si="5">K15-(U15*T15)</f>
        <v>574.35412136501327</v>
      </c>
      <c r="Y15" s="169">
        <f>SUMIF('MASTER - Batch Instructions'!$A$15:$A$199,DATEX!B15,'MASTER - Batch Instructions'!$N$15:$N$199)</f>
        <v>4575.7441800205415</v>
      </c>
      <c r="Z15" s="169">
        <f t="shared" ref="Z15:Z42" si="6">K15-Y15</f>
        <v>0</v>
      </c>
    </row>
    <row r="16" spans="2:26">
      <c r="B16" s="95">
        <v>4</v>
      </c>
      <c r="C16" s="117" t="s">
        <v>197</v>
      </c>
      <c r="D16" s="95" t="s">
        <v>198</v>
      </c>
      <c r="E16" t="s">
        <v>199</v>
      </c>
      <c r="F16" s="95" t="s">
        <v>182</v>
      </c>
      <c r="G16" s="95"/>
      <c r="H16" s="95"/>
      <c r="I16" s="172">
        <v>2701.45</v>
      </c>
      <c r="J16" s="176">
        <f t="shared" si="0"/>
        <v>1.4056039968489744</v>
      </c>
      <c r="K16" s="176">
        <f t="shared" si="1"/>
        <v>16867.247962187692</v>
      </c>
      <c r="M16" s="177">
        <v>2701.45</v>
      </c>
      <c r="N16" s="101" t="s">
        <v>187</v>
      </c>
      <c r="O16" s="101" t="s">
        <v>200</v>
      </c>
      <c r="P16" s="101" t="s">
        <v>201</v>
      </c>
      <c r="Q16" s="178">
        <v>1</v>
      </c>
      <c r="R16" s="195">
        <v>0.45</v>
      </c>
      <c r="S16" s="194" t="s">
        <v>80</v>
      </c>
      <c r="T16" s="170">
        <f t="shared" si="2"/>
        <v>2701.45</v>
      </c>
      <c r="U16" s="180">
        <f t="shared" si="3"/>
        <v>6</v>
      </c>
      <c r="V16" s="171">
        <f t="shared" si="4"/>
        <v>0.24377573606311168</v>
      </c>
      <c r="W16" s="179">
        <f t="shared" si="5"/>
        <v>658.54796218769297</v>
      </c>
      <c r="Y16" s="169">
        <f>SUMIF('MASTER - Batch Instructions'!$A$15:$A$199,DATEX!B16,'MASTER - Batch Instructions'!$N$15:$N$199)</f>
        <v>16867.247962187692</v>
      </c>
      <c r="Z16" s="169">
        <f t="shared" si="6"/>
        <v>0</v>
      </c>
    </row>
    <row r="17" spans="2:26">
      <c r="B17" s="95">
        <v>5</v>
      </c>
      <c r="C17" s="116">
        <v>274011</v>
      </c>
      <c r="D17" t="s">
        <v>202</v>
      </c>
      <c r="E17" t="s">
        <v>203</v>
      </c>
      <c r="F17" s="95" t="s">
        <v>192</v>
      </c>
      <c r="G17" s="95"/>
      <c r="H17" s="95"/>
      <c r="I17" s="172">
        <v>22.0413</v>
      </c>
      <c r="J17" s="176">
        <f t="shared" si="0"/>
        <v>1.1468411177607322E-2</v>
      </c>
      <c r="K17" s="176">
        <f t="shared" si="1"/>
        <v>137.62093413128787</v>
      </c>
      <c r="M17" s="177">
        <v>25</v>
      </c>
      <c r="N17" s="101" t="s">
        <v>193</v>
      </c>
      <c r="O17" s="101" t="s">
        <v>204</v>
      </c>
      <c r="P17" s="101" t="s">
        <v>205</v>
      </c>
      <c r="Q17" s="178">
        <v>0.2</v>
      </c>
      <c r="R17" s="195">
        <v>0.55000000000000004</v>
      </c>
      <c r="S17" s="194" t="s">
        <v>183</v>
      </c>
      <c r="T17" s="170">
        <f t="shared" si="2"/>
        <v>55.115565546219393</v>
      </c>
      <c r="U17" s="180">
        <f t="shared" si="3"/>
        <v>2</v>
      </c>
      <c r="V17" s="171">
        <f t="shared" si="4"/>
        <v>0.49695222696899027</v>
      </c>
      <c r="W17" s="179">
        <f t="shared" si="5"/>
        <v>27.389803038849081</v>
      </c>
      <c r="Y17" s="169">
        <f>SUMIF('MASTER - Batch Instructions'!$A$15:$A$199,DATEX!B17,'MASTER - Batch Instructions'!$N$15:$N$199)</f>
        <v>137.62093413128787</v>
      </c>
      <c r="Z17" s="169">
        <f t="shared" si="6"/>
        <v>0</v>
      </c>
    </row>
    <row r="18" spans="2:26">
      <c r="B18" s="95">
        <v>6</v>
      </c>
      <c r="C18" s="95" t="s">
        <v>206</v>
      </c>
      <c r="D18" s="95" t="s">
        <v>207</v>
      </c>
      <c r="E18" t="s">
        <v>208</v>
      </c>
      <c r="F18" s="95" t="s">
        <v>192</v>
      </c>
      <c r="G18" s="95"/>
      <c r="H18" s="95"/>
      <c r="I18" s="172">
        <v>21.6846</v>
      </c>
      <c r="J18" s="176">
        <f t="shared" si="0"/>
        <v>1.1282814943852847E-2</v>
      </c>
      <c r="K18" s="176">
        <f t="shared" si="1"/>
        <v>135.39377932623415</v>
      </c>
      <c r="M18" s="177">
        <v>20</v>
      </c>
      <c r="N18" s="101" t="s">
        <v>193</v>
      </c>
      <c r="O18" s="101" t="s">
        <v>209</v>
      </c>
      <c r="P18" s="101" t="s">
        <v>210</v>
      </c>
      <c r="Q18" s="178">
        <v>0.2</v>
      </c>
      <c r="R18" s="195">
        <v>0.55000000000000004</v>
      </c>
      <c r="S18" s="194" t="s">
        <v>183</v>
      </c>
      <c r="T18" s="170">
        <f t="shared" si="2"/>
        <v>44.092452436975513</v>
      </c>
      <c r="U18" s="180">
        <f t="shared" si="3"/>
        <v>3</v>
      </c>
      <c r="V18" s="171">
        <f t="shared" si="4"/>
        <v>7.0679262392177991E-2</v>
      </c>
      <c r="W18" s="179">
        <f>K18-(U18*T18)</f>
        <v>3.1164220153076201</v>
      </c>
      <c r="Y18" s="169">
        <f>SUMIF('MASTER - Batch Instructions'!$A$15:$A$199,DATEX!B18,'MASTER - Batch Instructions'!$N$15:$N$199)</f>
        <v>135.39377932623415</v>
      </c>
      <c r="Z18" s="169">
        <f t="shared" si="6"/>
        <v>0</v>
      </c>
    </row>
    <row r="19" spans="2:26">
      <c r="B19" s="95">
        <v>7</v>
      </c>
      <c r="C19" s="95" t="s">
        <v>211</v>
      </c>
      <c r="D19" s="95" t="s">
        <v>212</v>
      </c>
      <c r="E19" t="s">
        <v>213</v>
      </c>
      <c r="F19" s="95" t="s">
        <v>192</v>
      </c>
      <c r="G19" s="95"/>
      <c r="H19" s="95"/>
      <c r="I19" s="172">
        <v>289.81</v>
      </c>
      <c r="J19" s="176">
        <f t="shared" si="0"/>
        <v>0.15079238717237087</v>
      </c>
      <c r="K19" s="176">
        <f t="shared" si="1"/>
        <v>1809.5086460684504</v>
      </c>
      <c r="M19" s="177">
        <v>25</v>
      </c>
      <c r="N19" s="101" t="s">
        <v>193</v>
      </c>
      <c r="O19" s="101" t="s">
        <v>209</v>
      </c>
      <c r="P19" s="101" t="s">
        <v>210</v>
      </c>
      <c r="Q19" s="178">
        <v>0.2</v>
      </c>
      <c r="R19" s="195">
        <v>0.55000000000000004</v>
      </c>
      <c r="S19" s="194" t="s">
        <v>214</v>
      </c>
      <c r="T19" s="170">
        <f t="shared" si="2"/>
        <v>55.115565546219393</v>
      </c>
      <c r="U19" s="180">
        <f t="shared" si="3"/>
        <v>32</v>
      </c>
      <c r="V19" s="171">
        <f t="shared" si="4"/>
        <v>0.83117261222718486</v>
      </c>
      <c r="W19" s="179">
        <f t="shared" si="5"/>
        <v>45.8105485894298</v>
      </c>
      <c r="Y19" s="169">
        <f>SUMIF('MASTER - Batch Instructions'!$A$15:$A$199,DATEX!B19,'MASTER - Batch Instructions'!$N$15:$N$199)</f>
        <v>1809.5086460684504</v>
      </c>
      <c r="Z19" s="169">
        <f t="shared" si="6"/>
        <v>0</v>
      </c>
    </row>
    <row r="20" spans="2:26">
      <c r="B20" s="95">
        <v>8</v>
      </c>
      <c r="C20" s="95" t="s">
        <v>215</v>
      </c>
      <c r="D20" s="95" t="s">
        <v>216</v>
      </c>
      <c r="E20" t="s">
        <v>217</v>
      </c>
      <c r="F20" s="95" t="s">
        <v>192</v>
      </c>
      <c r="G20" s="95"/>
      <c r="H20" s="95"/>
      <c r="I20" s="172">
        <v>125.62090000000001</v>
      </c>
      <c r="J20" s="176">
        <f t="shared" si="0"/>
        <v>6.5362393946867547E-2</v>
      </c>
      <c r="K20" s="176">
        <f t="shared" si="1"/>
        <v>784.34872736241061</v>
      </c>
      <c r="M20" s="177">
        <v>50</v>
      </c>
      <c r="N20" s="101" t="s">
        <v>187</v>
      </c>
      <c r="O20" s="101" t="s">
        <v>204</v>
      </c>
      <c r="P20" s="101" t="s">
        <v>205</v>
      </c>
      <c r="Q20" s="178">
        <v>0.45</v>
      </c>
      <c r="R20" s="195">
        <v>0.55000000000000004</v>
      </c>
      <c r="S20" s="194" t="s">
        <v>183</v>
      </c>
      <c r="T20" s="170">
        <f t="shared" si="2"/>
        <v>50</v>
      </c>
      <c r="U20" s="180">
        <f t="shared" si="3"/>
        <v>15</v>
      </c>
      <c r="V20" s="171">
        <f t="shared" si="4"/>
        <v>0.68697454724821228</v>
      </c>
      <c r="W20" s="179">
        <f t="shared" si="5"/>
        <v>34.348727362410614</v>
      </c>
      <c r="Y20" s="169">
        <f>SUMIF('MASTER - Batch Instructions'!$A$15:$A$199,DATEX!B20,'MASTER - Batch Instructions'!$N$15:$N$199)</f>
        <v>784.34872736241061</v>
      </c>
      <c r="Z20" s="169">
        <f t="shared" si="6"/>
        <v>0</v>
      </c>
    </row>
    <row r="21" spans="2:26">
      <c r="B21" s="95">
        <v>9</v>
      </c>
      <c r="C21" s="314" t="s">
        <v>218</v>
      </c>
      <c r="D21" s="315" t="s">
        <v>219</v>
      </c>
      <c r="E21" t="s">
        <v>220</v>
      </c>
      <c r="F21" s="95" t="s">
        <v>182</v>
      </c>
      <c r="G21" s="95"/>
      <c r="H21" s="95"/>
      <c r="I21" s="172">
        <v>43.705100000000002</v>
      </c>
      <c r="J21" s="176">
        <f t="shared" si="0"/>
        <v>2.2740403576850993E-2</v>
      </c>
      <c r="K21" s="176">
        <f t="shared" si="1"/>
        <v>272.88484292221193</v>
      </c>
      <c r="M21" s="177">
        <v>20</v>
      </c>
      <c r="N21" s="101" t="s">
        <v>193</v>
      </c>
      <c r="O21" s="101" t="s">
        <v>221</v>
      </c>
      <c r="P21" s="101" t="s">
        <v>222</v>
      </c>
      <c r="Q21" s="178">
        <v>0.6</v>
      </c>
      <c r="R21" s="195">
        <v>0.45</v>
      </c>
      <c r="S21" s="194" t="s">
        <v>183</v>
      </c>
      <c r="T21" s="170">
        <f t="shared" ref="T21:T44" si="7">IF(M21&gt;0,IF(N21="kg",CONVERT(M21,"kg","lbm"),M21),0)</f>
        <v>44.092452436975513</v>
      </c>
      <c r="U21" s="180">
        <f t="shared" ref="U21:U23" si="8">ROUNDDOWN(K21/T21,0)</f>
        <v>6</v>
      </c>
      <c r="V21" s="171">
        <f t="shared" si="4"/>
        <v>0.18892413190819249</v>
      </c>
      <c r="W21" s="179">
        <f t="shared" ref="W21:W23" si="9">K21-(U21*T21)</f>
        <v>8.3301283003588651</v>
      </c>
      <c r="Y21" s="169">
        <f>SUMIF('MASTER - Batch Instructions'!$A$15:$A$199,DATEX!B21,'MASTER - Batch Instructions'!$N$15:$N$199)</f>
        <v>272.88484292221193</v>
      </c>
      <c r="Z21" s="169">
        <f t="shared" ref="Z21:Z23" si="10">K21-Y21</f>
        <v>0</v>
      </c>
    </row>
    <row r="22" spans="2:26">
      <c r="B22" s="95">
        <v>10</v>
      </c>
      <c r="C22" s="95" t="s">
        <v>223</v>
      </c>
      <c r="D22" s="95" t="s">
        <v>198</v>
      </c>
      <c r="E22" t="s">
        <v>224</v>
      </c>
      <c r="F22" s="95" t="s">
        <v>182</v>
      </c>
      <c r="G22" s="95"/>
      <c r="H22" s="95"/>
      <c r="I22" s="172">
        <v>3.0712000000000002</v>
      </c>
      <c r="J22" s="176">
        <f t="shared" si="0"/>
        <v>1.5979903367164192E-3</v>
      </c>
      <c r="K22" s="176">
        <f t="shared" si="1"/>
        <v>19.17588404059703</v>
      </c>
      <c r="M22" s="177">
        <v>24</v>
      </c>
      <c r="N22" s="101" t="s">
        <v>187</v>
      </c>
      <c r="O22" s="101" t="s">
        <v>221</v>
      </c>
      <c r="P22" s="101" t="s">
        <v>222</v>
      </c>
      <c r="Q22" s="178">
        <v>0.6</v>
      </c>
      <c r="R22" s="195">
        <v>0.45</v>
      </c>
      <c r="S22" s="194" t="s">
        <v>183</v>
      </c>
      <c r="T22" s="170">
        <f t="shared" si="7"/>
        <v>24</v>
      </c>
      <c r="U22" s="180">
        <f t="shared" si="8"/>
        <v>0</v>
      </c>
      <c r="V22" s="171">
        <f t="shared" si="4"/>
        <v>0.79899516835820961</v>
      </c>
      <c r="W22" s="179">
        <f t="shared" si="9"/>
        <v>19.17588404059703</v>
      </c>
      <c r="Y22" s="169">
        <f>SUMIF('MASTER - Batch Instructions'!$A$15:$A$199,DATEX!B22,'MASTER - Batch Instructions'!$N$15:$N$199)</f>
        <v>19.17588404059703</v>
      </c>
      <c r="Z22" s="169">
        <f t="shared" si="10"/>
        <v>0</v>
      </c>
    </row>
    <row r="23" spans="2:26">
      <c r="B23" s="95">
        <v>11</v>
      </c>
      <c r="C23" s="117" t="s">
        <v>225</v>
      </c>
      <c r="D23" s="95" t="s">
        <v>198</v>
      </c>
      <c r="E23" t="s">
        <v>226</v>
      </c>
      <c r="F23" s="95" t="s">
        <v>182</v>
      </c>
      <c r="G23" s="95"/>
      <c r="H23" s="95"/>
      <c r="I23" s="172">
        <v>35.131100000000004</v>
      </c>
      <c r="J23" s="176">
        <f t="shared" si="0"/>
        <v>1.8279225813433903E-2</v>
      </c>
      <c r="K23" s="176">
        <f t="shared" si="1"/>
        <v>219.35070976120684</v>
      </c>
      <c r="M23" s="177">
        <v>35</v>
      </c>
      <c r="N23" s="101" t="s">
        <v>187</v>
      </c>
      <c r="O23" s="101" t="s">
        <v>221</v>
      </c>
      <c r="P23" s="101" t="s">
        <v>222</v>
      </c>
      <c r="Q23" s="178">
        <v>0.6</v>
      </c>
      <c r="R23" s="195">
        <v>0.25</v>
      </c>
      <c r="S23" s="194" t="s">
        <v>183</v>
      </c>
      <c r="T23" s="170">
        <f t="shared" si="7"/>
        <v>35</v>
      </c>
      <c r="U23" s="180">
        <f t="shared" si="8"/>
        <v>6</v>
      </c>
      <c r="V23" s="171">
        <f t="shared" si="4"/>
        <v>0.26716313603448122</v>
      </c>
      <c r="W23" s="179">
        <f t="shared" si="9"/>
        <v>9.3507097612068435</v>
      </c>
      <c r="Y23" s="169">
        <f>SUMIF('MASTER - Batch Instructions'!$A$15:$A$199,DATEX!B23,'MASTER - Batch Instructions'!$N$15:$N$199)</f>
        <v>219.35070976120684</v>
      </c>
      <c r="Z23" s="169">
        <f t="shared" si="10"/>
        <v>0</v>
      </c>
    </row>
    <row r="24" spans="2:26">
      <c r="B24" s="95">
        <v>12</v>
      </c>
      <c r="C24" s="116"/>
      <c r="D24" s="95"/>
      <c r="F24" s="95"/>
      <c r="G24" s="95"/>
      <c r="H24" s="95"/>
      <c r="I24" s="172"/>
      <c r="J24" s="176">
        <f t="shared" si="0"/>
        <v>0</v>
      </c>
      <c r="K24" s="176">
        <f t="shared" si="1"/>
        <v>0</v>
      </c>
      <c r="M24" s="177"/>
      <c r="N24" s="101"/>
      <c r="O24" s="101"/>
      <c r="P24" s="101"/>
      <c r="Q24" s="178"/>
      <c r="R24" s="195"/>
      <c r="S24" s="194"/>
      <c r="T24" s="170">
        <f t="shared" si="7"/>
        <v>0</v>
      </c>
      <c r="V24" s="171"/>
      <c r="Y24" s="169">
        <f>SUMIF('MASTER - Batch Instructions'!$A$15:$A$199,DATEX!B24,'MASTER - Batch Instructions'!$N$15:$N$199)</f>
        <v>0</v>
      </c>
      <c r="Z24" s="169">
        <f t="shared" si="6"/>
        <v>0</v>
      </c>
    </row>
    <row r="25" spans="2:26">
      <c r="B25" s="95">
        <v>13</v>
      </c>
      <c r="C25" s="116"/>
      <c r="D25" s="95"/>
      <c r="F25" s="95"/>
      <c r="G25" s="95"/>
      <c r="H25" s="95"/>
      <c r="I25" s="172"/>
      <c r="J25" s="176">
        <f t="shared" ref="J25:J42" si="11">I25/$C$7</f>
        <v>0</v>
      </c>
      <c r="K25" s="176">
        <f t="shared" si="1"/>
        <v>0</v>
      </c>
      <c r="M25" s="177"/>
      <c r="N25" s="101"/>
      <c r="O25" s="101"/>
      <c r="P25" s="101"/>
      <c r="Q25" s="178"/>
      <c r="R25" s="195"/>
      <c r="S25" s="194"/>
      <c r="T25" s="170">
        <f t="shared" si="7"/>
        <v>0</v>
      </c>
      <c r="V25" s="171"/>
      <c r="Y25" s="169">
        <f>SUMIF('MASTER - Batch Instructions'!$A$15:$A$199,DATEX!B25,'MASTER - Batch Instructions'!$N$15:$N$199)</f>
        <v>0</v>
      </c>
      <c r="Z25" s="169">
        <f t="shared" si="6"/>
        <v>0</v>
      </c>
    </row>
    <row r="26" spans="2:26">
      <c r="B26" s="95">
        <v>14</v>
      </c>
      <c r="C26" s="116"/>
      <c r="D26" s="95"/>
      <c r="F26" s="95"/>
      <c r="G26" s="95"/>
      <c r="H26" s="95"/>
      <c r="I26" s="172"/>
      <c r="J26" s="176">
        <f t="shared" si="11"/>
        <v>0</v>
      </c>
      <c r="K26" s="176">
        <f t="shared" si="1"/>
        <v>0</v>
      </c>
      <c r="M26" s="177"/>
      <c r="N26" s="101"/>
      <c r="O26" s="101"/>
      <c r="P26" s="101"/>
      <c r="Q26" s="178"/>
      <c r="R26" s="195"/>
      <c r="S26" s="194"/>
      <c r="T26" s="170">
        <f t="shared" si="7"/>
        <v>0</v>
      </c>
      <c r="Y26" s="169">
        <f>SUMIF('MASTER - Batch Instructions'!$A$15:$A$199,DATEX!B26,'MASTER - Batch Instructions'!$N$15:$N$199)</f>
        <v>0</v>
      </c>
      <c r="Z26" s="169">
        <f t="shared" si="6"/>
        <v>0</v>
      </c>
    </row>
    <row r="27" spans="2:26">
      <c r="B27" s="95">
        <v>15</v>
      </c>
      <c r="C27" s="116"/>
      <c r="D27" s="95"/>
      <c r="F27" s="95"/>
      <c r="G27" s="95"/>
      <c r="H27" s="95"/>
      <c r="I27" s="172"/>
      <c r="J27" s="176">
        <f t="shared" si="11"/>
        <v>0</v>
      </c>
      <c r="K27" s="176">
        <f t="shared" si="1"/>
        <v>0</v>
      </c>
      <c r="M27" s="177"/>
      <c r="N27" s="101"/>
      <c r="O27" s="101"/>
      <c r="P27" s="101"/>
      <c r="Q27" s="178"/>
      <c r="R27" s="195"/>
      <c r="S27" s="194"/>
      <c r="T27" s="170">
        <f t="shared" si="7"/>
        <v>0</v>
      </c>
      <c r="Y27" s="169">
        <f>SUMIF('MASTER - Batch Instructions'!$A$15:$A$199,DATEX!B27,'MASTER - Batch Instructions'!$N$15:$N$199)</f>
        <v>0</v>
      </c>
      <c r="Z27" s="169">
        <f t="shared" si="6"/>
        <v>0</v>
      </c>
    </row>
    <row r="28" spans="2:26">
      <c r="B28" s="95">
        <v>16</v>
      </c>
      <c r="C28" s="116"/>
      <c r="D28" s="95"/>
      <c r="F28" s="95"/>
      <c r="G28" s="95"/>
      <c r="H28" s="95"/>
      <c r="I28" s="172"/>
      <c r="J28" s="176">
        <f t="shared" si="11"/>
        <v>0</v>
      </c>
      <c r="K28" s="176">
        <f t="shared" si="1"/>
        <v>0</v>
      </c>
      <c r="M28" s="177"/>
      <c r="N28" s="101"/>
      <c r="O28" s="101"/>
      <c r="P28" s="101"/>
      <c r="Q28" s="178"/>
      <c r="R28" s="195"/>
      <c r="S28" s="194"/>
      <c r="T28" s="170">
        <f t="shared" si="7"/>
        <v>0</v>
      </c>
      <c r="Y28" s="169">
        <f>SUMIF('MASTER - Batch Instructions'!$A$15:$A$199,DATEX!B28,'MASTER - Batch Instructions'!$N$15:$N$199)</f>
        <v>0</v>
      </c>
      <c r="Z28" s="169">
        <f t="shared" si="6"/>
        <v>0</v>
      </c>
    </row>
    <row r="29" spans="2:26">
      <c r="B29" s="95">
        <v>17</v>
      </c>
      <c r="C29" s="116"/>
      <c r="D29" s="95"/>
      <c r="F29" s="95"/>
      <c r="G29" s="95"/>
      <c r="H29" s="95"/>
      <c r="I29" s="172"/>
      <c r="J29" s="176">
        <f t="shared" si="11"/>
        <v>0</v>
      </c>
      <c r="K29" s="176">
        <f t="shared" si="1"/>
        <v>0</v>
      </c>
      <c r="M29" s="177"/>
      <c r="N29" s="101"/>
      <c r="O29" s="101"/>
      <c r="P29" s="101"/>
      <c r="Q29" s="178"/>
      <c r="R29" s="195"/>
      <c r="S29" s="194"/>
      <c r="T29" s="170">
        <f t="shared" si="7"/>
        <v>0</v>
      </c>
      <c r="Y29" s="169">
        <f>SUMIF('MASTER - Batch Instructions'!$A$15:$A$199,DATEX!B29,'MASTER - Batch Instructions'!$N$15:$N$199)</f>
        <v>0</v>
      </c>
      <c r="Z29" s="169">
        <f t="shared" si="6"/>
        <v>0</v>
      </c>
    </row>
    <row r="30" spans="2:26">
      <c r="B30" s="95">
        <v>18</v>
      </c>
      <c r="C30" s="116"/>
      <c r="D30" s="95"/>
      <c r="F30" s="95"/>
      <c r="G30" s="95"/>
      <c r="H30" s="95"/>
      <c r="I30" s="172"/>
      <c r="J30" s="176">
        <f t="shared" si="11"/>
        <v>0</v>
      </c>
      <c r="K30" s="176">
        <f t="shared" si="1"/>
        <v>0</v>
      </c>
      <c r="M30" s="177"/>
      <c r="N30" s="101"/>
      <c r="O30" s="101"/>
      <c r="P30" s="101"/>
      <c r="Q30" s="178"/>
      <c r="R30" s="195"/>
      <c r="S30" s="194"/>
      <c r="T30" s="170">
        <f t="shared" si="7"/>
        <v>0</v>
      </c>
      <c r="Y30" s="169">
        <f>SUMIF('MASTER - Batch Instructions'!$A$15:$A$199,DATEX!B30,'MASTER - Batch Instructions'!$N$15:$N$199)</f>
        <v>0</v>
      </c>
      <c r="Z30" s="169">
        <f t="shared" si="6"/>
        <v>0</v>
      </c>
    </row>
    <row r="31" spans="2:26">
      <c r="B31" s="95">
        <v>19</v>
      </c>
      <c r="C31" s="116"/>
      <c r="D31" s="95"/>
      <c r="F31" s="95"/>
      <c r="G31" s="95"/>
      <c r="H31" s="95"/>
      <c r="I31" s="172"/>
      <c r="J31" s="176">
        <f t="shared" si="11"/>
        <v>0</v>
      </c>
      <c r="K31" s="176">
        <f t="shared" si="1"/>
        <v>0</v>
      </c>
      <c r="M31" s="177"/>
      <c r="N31" s="101"/>
      <c r="O31" s="101"/>
      <c r="P31" s="101"/>
      <c r="Q31" s="178"/>
      <c r="R31" s="195"/>
      <c r="S31" s="194"/>
      <c r="T31" s="170">
        <f t="shared" si="7"/>
        <v>0</v>
      </c>
      <c r="Y31" s="169">
        <f>SUMIF('MASTER - Batch Instructions'!$A$15:$A$199,DATEX!B31,'MASTER - Batch Instructions'!$N$15:$N$199)</f>
        <v>0</v>
      </c>
      <c r="Z31" s="169">
        <f t="shared" si="6"/>
        <v>0</v>
      </c>
    </row>
    <row r="32" spans="2:26">
      <c r="B32" s="95">
        <v>20</v>
      </c>
      <c r="C32" s="116"/>
      <c r="D32" s="95"/>
      <c r="F32" s="95"/>
      <c r="G32" s="95"/>
      <c r="H32" s="95"/>
      <c r="I32" s="172"/>
      <c r="J32" s="176">
        <f t="shared" si="11"/>
        <v>0</v>
      </c>
      <c r="K32" s="176">
        <f t="shared" si="1"/>
        <v>0</v>
      </c>
      <c r="M32" s="177"/>
      <c r="N32" s="101"/>
      <c r="O32" s="101"/>
      <c r="P32" s="101"/>
      <c r="Q32" s="178"/>
      <c r="R32" s="195"/>
      <c r="S32" s="194"/>
      <c r="T32" s="170">
        <f t="shared" si="7"/>
        <v>0</v>
      </c>
      <c r="Y32" s="169">
        <f>SUMIF('MASTER - Batch Instructions'!$A$15:$A$199,DATEX!B32,'MASTER - Batch Instructions'!$N$15:$N$199)</f>
        <v>0</v>
      </c>
      <c r="Z32" s="169">
        <f t="shared" si="6"/>
        <v>0</v>
      </c>
    </row>
    <row r="33" spans="2:26">
      <c r="B33" s="95">
        <v>21</v>
      </c>
      <c r="C33" s="116"/>
      <c r="D33" s="95"/>
      <c r="F33" s="95"/>
      <c r="G33" s="95"/>
      <c r="H33" s="95"/>
      <c r="I33" s="172"/>
      <c r="J33" s="176">
        <f t="shared" si="11"/>
        <v>0</v>
      </c>
      <c r="K33" s="176">
        <f t="shared" si="1"/>
        <v>0</v>
      </c>
      <c r="M33" s="177"/>
      <c r="N33" s="101"/>
      <c r="O33" s="101"/>
      <c r="P33" s="101"/>
      <c r="Q33" s="178"/>
      <c r="R33" s="195"/>
      <c r="S33" s="194"/>
      <c r="T33" s="170">
        <f t="shared" si="7"/>
        <v>0</v>
      </c>
      <c r="Y33" s="169">
        <f>SUMIF('MASTER - Batch Instructions'!$A$15:$A$199,DATEX!B33,'MASTER - Batch Instructions'!$N$15:$N$199)</f>
        <v>0</v>
      </c>
      <c r="Z33" s="169">
        <f t="shared" si="6"/>
        <v>0</v>
      </c>
    </row>
    <row r="34" spans="2:26">
      <c r="B34" s="95">
        <v>22</v>
      </c>
      <c r="C34" s="116"/>
      <c r="D34" s="95"/>
      <c r="F34" s="95"/>
      <c r="G34" s="95"/>
      <c r="H34" s="95"/>
      <c r="I34" s="172"/>
      <c r="J34" s="176">
        <f t="shared" si="11"/>
        <v>0</v>
      </c>
      <c r="K34" s="176">
        <f t="shared" si="1"/>
        <v>0</v>
      </c>
      <c r="M34" s="177"/>
      <c r="N34" s="101"/>
      <c r="O34" s="101"/>
      <c r="P34" s="101"/>
      <c r="Q34" s="178"/>
      <c r="R34" s="195"/>
      <c r="S34" s="194"/>
      <c r="T34" s="170">
        <f t="shared" si="7"/>
        <v>0</v>
      </c>
      <c r="Y34" s="169">
        <f>SUMIF('MASTER - Batch Instructions'!$A$15:$A$199,DATEX!B34,'MASTER - Batch Instructions'!$N$15:$N$199)</f>
        <v>0</v>
      </c>
      <c r="Z34" s="169">
        <f t="shared" si="6"/>
        <v>0</v>
      </c>
    </row>
    <row r="35" spans="2:26">
      <c r="B35" s="95">
        <v>23</v>
      </c>
      <c r="C35" s="116"/>
      <c r="D35" s="95"/>
      <c r="F35" s="95"/>
      <c r="G35" s="95"/>
      <c r="H35" s="95"/>
      <c r="I35" s="172"/>
      <c r="J35" s="176">
        <f t="shared" si="11"/>
        <v>0</v>
      </c>
      <c r="K35" s="176">
        <f t="shared" si="1"/>
        <v>0</v>
      </c>
      <c r="M35" s="177"/>
      <c r="N35" s="101"/>
      <c r="O35" s="101"/>
      <c r="P35" s="101"/>
      <c r="Q35" s="178"/>
      <c r="R35" s="195"/>
      <c r="S35" s="194"/>
      <c r="T35" s="170">
        <f t="shared" ref="T35:T42" si="12">IF(M35&gt;0,IF(N35="kg",CONVERT(M35,"kg","lbm"),M35),0)</f>
        <v>0</v>
      </c>
      <c r="Y35" s="169">
        <f>SUMIF('MASTER - Batch Instructions'!$A$15:$A$199,DATEX!B35,'MASTER - Batch Instructions'!$N$15:$N$199)</f>
        <v>0</v>
      </c>
      <c r="Z35" s="169">
        <f t="shared" si="6"/>
        <v>0</v>
      </c>
    </row>
    <row r="36" spans="2:26">
      <c r="B36" s="95">
        <v>24</v>
      </c>
      <c r="C36" s="116"/>
      <c r="D36" s="95"/>
      <c r="F36" s="95"/>
      <c r="G36" s="95"/>
      <c r="H36" s="95"/>
      <c r="I36" s="172"/>
      <c r="J36" s="176">
        <f t="shared" si="11"/>
        <v>0</v>
      </c>
      <c r="K36" s="176">
        <f t="shared" si="1"/>
        <v>0</v>
      </c>
      <c r="M36" s="177"/>
      <c r="N36" s="101"/>
      <c r="O36" s="101"/>
      <c r="P36" s="101"/>
      <c r="Q36" s="178"/>
      <c r="R36" s="195"/>
      <c r="S36" s="194"/>
      <c r="T36" s="170">
        <f t="shared" si="12"/>
        <v>0</v>
      </c>
      <c r="Y36" s="169">
        <f>SUMIF('MASTER - Batch Instructions'!$A$15:$A$199,DATEX!B36,'MASTER - Batch Instructions'!$N$15:$N$199)</f>
        <v>0</v>
      </c>
      <c r="Z36" s="169">
        <f t="shared" si="6"/>
        <v>0</v>
      </c>
    </row>
    <row r="37" spans="2:26">
      <c r="B37" s="95">
        <v>25</v>
      </c>
      <c r="C37" s="116"/>
      <c r="D37" s="95"/>
      <c r="F37" s="95"/>
      <c r="G37" s="95"/>
      <c r="H37" s="95"/>
      <c r="I37" s="172"/>
      <c r="J37" s="176">
        <f t="shared" si="11"/>
        <v>0</v>
      </c>
      <c r="K37" s="176">
        <f t="shared" si="1"/>
        <v>0</v>
      </c>
      <c r="M37" s="177"/>
      <c r="N37" s="101"/>
      <c r="O37" s="101"/>
      <c r="P37" s="101"/>
      <c r="Q37" s="178"/>
      <c r="R37" s="195"/>
      <c r="S37" s="194"/>
      <c r="T37" s="170">
        <f t="shared" si="12"/>
        <v>0</v>
      </c>
      <c r="Y37" s="169">
        <f>SUMIF('MASTER - Batch Instructions'!$A$15:$A$199,DATEX!B37,'MASTER - Batch Instructions'!$N$15:$N$199)</f>
        <v>0</v>
      </c>
      <c r="Z37" s="169">
        <f t="shared" si="6"/>
        <v>0</v>
      </c>
    </row>
    <row r="38" spans="2:26">
      <c r="B38" s="95">
        <v>26</v>
      </c>
      <c r="C38" s="116"/>
      <c r="D38" s="95"/>
      <c r="F38" s="95"/>
      <c r="G38" s="95"/>
      <c r="H38" s="95"/>
      <c r="I38" s="172"/>
      <c r="J38" s="176">
        <f t="shared" si="11"/>
        <v>0</v>
      </c>
      <c r="K38" s="176">
        <f t="shared" si="1"/>
        <v>0</v>
      </c>
      <c r="M38" s="177"/>
      <c r="N38" s="101"/>
      <c r="O38" s="101"/>
      <c r="P38" s="101"/>
      <c r="Q38" s="178"/>
      <c r="R38" s="195"/>
      <c r="S38" s="194"/>
      <c r="T38" s="170">
        <f t="shared" si="12"/>
        <v>0</v>
      </c>
      <c r="Y38" s="169">
        <f>SUMIF('MASTER - Batch Instructions'!$A$15:$A$199,DATEX!B38,'MASTER - Batch Instructions'!$N$15:$N$199)</f>
        <v>0</v>
      </c>
      <c r="Z38" s="169">
        <f t="shared" si="6"/>
        <v>0</v>
      </c>
    </row>
    <row r="39" spans="2:26">
      <c r="B39" s="95">
        <v>27</v>
      </c>
      <c r="C39" s="116"/>
      <c r="D39" s="95"/>
      <c r="F39" s="95"/>
      <c r="G39" s="95"/>
      <c r="H39" s="95"/>
      <c r="I39" s="172"/>
      <c r="J39" s="176">
        <f t="shared" si="11"/>
        <v>0</v>
      </c>
      <c r="K39" s="176">
        <f t="shared" si="1"/>
        <v>0</v>
      </c>
      <c r="M39" s="177"/>
      <c r="N39" s="101"/>
      <c r="O39" s="101"/>
      <c r="P39" s="101"/>
      <c r="Q39" s="178"/>
      <c r="R39" s="195"/>
      <c r="S39" s="194"/>
      <c r="T39" s="170">
        <f t="shared" si="12"/>
        <v>0</v>
      </c>
      <c r="Y39" s="169">
        <f>SUMIF('MASTER - Batch Instructions'!$A$15:$A$199,DATEX!B39,'MASTER - Batch Instructions'!$N$15:$N$199)</f>
        <v>0</v>
      </c>
      <c r="Z39" s="169">
        <f t="shared" si="6"/>
        <v>0</v>
      </c>
    </row>
    <row r="40" spans="2:26">
      <c r="B40" s="95">
        <v>28</v>
      </c>
      <c r="C40" s="116"/>
      <c r="D40" s="95"/>
      <c r="F40" s="95"/>
      <c r="G40" s="95"/>
      <c r="H40" s="95"/>
      <c r="I40" s="172"/>
      <c r="J40" s="176">
        <f t="shared" si="11"/>
        <v>0</v>
      </c>
      <c r="K40" s="176">
        <f t="shared" ref="K40:K42" si="13">J40*C$10</f>
        <v>0</v>
      </c>
      <c r="M40" s="177"/>
      <c r="N40" s="101"/>
      <c r="O40" s="101"/>
      <c r="P40" s="101"/>
      <c r="Q40" s="178"/>
      <c r="R40" s="195"/>
      <c r="S40" s="194"/>
      <c r="T40" s="170">
        <f t="shared" si="12"/>
        <v>0</v>
      </c>
      <c r="Y40" s="169">
        <f>SUMIF('MASTER - Batch Instructions'!$A$15:$A$199,DATEX!B40,'MASTER - Batch Instructions'!$N$15:$N$199)</f>
        <v>0</v>
      </c>
      <c r="Z40" s="169">
        <f t="shared" si="6"/>
        <v>0</v>
      </c>
    </row>
    <row r="41" spans="2:26">
      <c r="B41" s="95">
        <v>29</v>
      </c>
      <c r="C41" s="116"/>
      <c r="D41" s="95"/>
      <c r="F41" s="95"/>
      <c r="G41" s="95"/>
      <c r="H41" s="95"/>
      <c r="I41" s="172"/>
      <c r="J41" s="176">
        <f t="shared" si="11"/>
        <v>0</v>
      </c>
      <c r="K41" s="176">
        <f t="shared" si="13"/>
        <v>0</v>
      </c>
      <c r="M41" s="177"/>
      <c r="N41" s="101"/>
      <c r="O41" s="101"/>
      <c r="P41" s="101"/>
      <c r="Q41" s="178"/>
      <c r="R41" s="195"/>
      <c r="S41" s="194"/>
      <c r="T41" s="170">
        <f t="shared" si="12"/>
        <v>0</v>
      </c>
      <c r="Y41" s="169">
        <f>SUMIF('MASTER - Batch Instructions'!$A$15:$A$199,DATEX!B41,'MASTER - Batch Instructions'!$N$15:$N$199)</f>
        <v>0</v>
      </c>
      <c r="Z41" s="169">
        <f t="shared" si="6"/>
        <v>0</v>
      </c>
    </row>
    <row r="42" spans="2:26">
      <c r="B42" s="95">
        <v>30</v>
      </c>
      <c r="C42" s="116"/>
      <c r="D42" s="95"/>
      <c r="F42" s="95"/>
      <c r="G42" s="95"/>
      <c r="H42" s="95"/>
      <c r="I42" s="172"/>
      <c r="J42" s="176">
        <f t="shared" si="11"/>
        <v>0</v>
      </c>
      <c r="K42" s="176">
        <f t="shared" si="13"/>
        <v>0</v>
      </c>
      <c r="M42" s="177"/>
      <c r="N42" s="101"/>
      <c r="O42" s="101"/>
      <c r="P42" s="101"/>
      <c r="Q42" s="178"/>
      <c r="R42" s="195"/>
      <c r="S42" s="194"/>
      <c r="T42" s="170">
        <f t="shared" si="12"/>
        <v>0</v>
      </c>
      <c r="Y42" s="169">
        <f>SUMIF('MASTER - Batch Instructions'!$A$15:$A$199,DATEX!B42,'MASTER - Batch Instructions'!$N$15:$N$199)</f>
        <v>0</v>
      </c>
      <c r="Z42" s="169">
        <f t="shared" si="6"/>
        <v>0</v>
      </c>
    </row>
    <row r="43" spans="2:26">
      <c r="M43" s="170"/>
      <c r="Q43" s="171"/>
      <c r="R43" s="171"/>
      <c r="S43" s="171"/>
      <c r="T43" s="170">
        <f t="shared" si="7"/>
        <v>0</v>
      </c>
    </row>
    <row r="44" spans="2:26">
      <c r="M44" s="170"/>
      <c r="Q44" s="171"/>
      <c r="R44" s="171"/>
      <c r="S44" s="171"/>
      <c r="T44" s="170">
        <f t="shared" si="7"/>
        <v>0</v>
      </c>
    </row>
    <row r="45" spans="2:26">
      <c r="M45" s="170"/>
    </row>
  </sheetData>
  <dataValidations count="4">
    <dataValidation type="list" allowBlank="1" showInputMessage="1" showErrorMessage="1" sqref="F13:F42" xr:uid="{8D1235C3-E752-2944-8F81-F48080102B0E}">
      <formula1>"Liquid, Dry"</formula1>
    </dataValidation>
    <dataValidation type="list" allowBlank="1" showInputMessage="1" showErrorMessage="1" sqref="O13:O42" xr:uid="{9F1CCD1E-7C6E-9C43-B099-70E1269A1119}">
      <formula1>"box,bag,tote,pail,drum,supersack,bulk,jerrican"</formula1>
    </dataValidation>
    <dataValidation type="list" allowBlank="1" showInputMessage="1" showErrorMessage="1" sqref="N13:N42" xr:uid="{5929D029-01B9-0044-BF97-790FD0E64697}">
      <formula1>"lb., kg"</formula1>
    </dataValidation>
    <dataValidation type="list" allowBlank="1" showInputMessage="1" showErrorMessage="1" sqref="P13:P42" xr:uid="{2A51A74C-7D4B-BF4A-B58A-873536B267DF}">
      <formula1>"boxes,bags,totes,pails,drums,supersacks,bulk,jerricans"</formula1>
    </dataValidation>
  </dataValidations>
  <pageMargins left="0.7" right="0.7" top="0.75" bottom="0.75" header="0.3" footer="0.3"/>
  <pageSetup scale="33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01c046c-f62f-41c3-b3da-cbe685d070a5">SUDAK27CZTE4-357741538-20612</_dlc_DocId>
    <lcf76f155ced4ddcb4097134ff3c332f xmlns="c4f48ab2-e73b-4e7d-8ba4-0c8120abde31">
      <Terms xmlns="http://schemas.microsoft.com/office/infopath/2007/PartnerControls"/>
    </lcf76f155ced4ddcb4097134ff3c332f>
    <TaxCatchAll xmlns="e01c046c-f62f-41c3-b3da-cbe685d070a5" xsi:nil="true"/>
    <_dlc_DocIdUrl xmlns="e01c046c-f62f-41c3-b3da-cbe685d070a5">
      <Url>https://drinkpak.sharepoint.com/sites/Batching-Private/_layouts/15/DocIdRedir.aspx?ID=SUDAK27CZTE4-357741538-20612</Url>
      <Description>SUDAK27CZTE4-357741538-20612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045FB2B0E287428881CD3EDD69B41A" ma:contentTypeVersion="13" ma:contentTypeDescription="Create a new document." ma:contentTypeScope="" ma:versionID="226c8ba0c4be0bcc6e38652ff6dfb5ec">
  <xsd:schema xmlns:xsd="http://www.w3.org/2001/XMLSchema" xmlns:xs="http://www.w3.org/2001/XMLSchema" xmlns:p="http://schemas.microsoft.com/office/2006/metadata/properties" xmlns:ns2="e01c046c-f62f-41c3-b3da-cbe685d070a5" xmlns:ns3="c4f48ab2-e73b-4e7d-8ba4-0c8120abde31" targetNamespace="http://schemas.microsoft.com/office/2006/metadata/properties" ma:root="true" ma:fieldsID="5f43b1c3cc8fa7110dd31adbc5432429" ns2:_="" ns3:_="">
    <xsd:import namespace="e01c046c-f62f-41c3-b3da-cbe685d070a5"/>
    <xsd:import namespace="c4f48ab2-e73b-4e7d-8ba4-0c8120abde3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c046c-f62f-41c3-b3da-cbe685d070a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981094c-fafc-4c4d-95e8-feded2ebbd3d}" ma:internalName="TaxCatchAll" ma:showField="CatchAllData" ma:web="e01c046c-f62f-41c3-b3da-cbe685d070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48ab2-e73b-4e7d-8ba4-0c8120abde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a9f60bb-bf83-4f51-94ec-ae78820f11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8CE1DD-DE84-4972-9B7B-DA797033D6B9}"/>
</file>

<file path=customXml/itemProps2.xml><?xml version="1.0" encoding="utf-8"?>
<ds:datastoreItem xmlns:ds="http://schemas.openxmlformats.org/officeDocument/2006/customXml" ds:itemID="{13D5A72C-C845-4374-A88A-2AD2FB112B42}"/>
</file>

<file path=customXml/itemProps3.xml><?xml version="1.0" encoding="utf-8"?>
<ds:datastoreItem xmlns:ds="http://schemas.openxmlformats.org/officeDocument/2006/customXml" ds:itemID="{E7E864D2-0369-49F8-8B3F-CCE8AFFF6A34}"/>
</file>

<file path=customXml/itemProps4.xml><?xml version="1.0" encoding="utf-8"?>
<ds:datastoreItem xmlns:ds="http://schemas.openxmlformats.org/officeDocument/2006/customXml" ds:itemID="{E1666892-AD9C-4211-8909-F9EE09BCFC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Gow, Kelsey</dc:creator>
  <cp:keywords/>
  <dc:description/>
  <cp:lastModifiedBy>Ben Rush</cp:lastModifiedBy>
  <cp:revision/>
  <dcterms:created xsi:type="dcterms:W3CDTF">2021-07-22T12:35:27Z</dcterms:created>
  <dcterms:modified xsi:type="dcterms:W3CDTF">2024-08-12T17:22:45Z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1d8bd7-7e7b-4949-9680-d82491da45c6_Enabled">
    <vt:lpwstr>true</vt:lpwstr>
  </property>
  <property fmtid="{D5CDD505-2E9C-101B-9397-08002B2CF9AE}" pid="3" name="MSIP_Label_8b1d8bd7-7e7b-4949-9680-d82491da45c6_SetDate">
    <vt:lpwstr>2021-07-22T12:36:10Z</vt:lpwstr>
  </property>
  <property fmtid="{D5CDD505-2E9C-101B-9397-08002B2CF9AE}" pid="4" name="MSIP_Label_8b1d8bd7-7e7b-4949-9680-d82491da45c6_Method">
    <vt:lpwstr>Privileged</vt:lpwstr>
  </property>
  <property fmtid="{D5CDD505-2E9C-101B-9397-08002B2CF9AE}" pid="5" name="MSIP_Label_8b1d8bd7-7e7b-4949-9680-d82491da45c6_Name">
    <vt:lpwstr>Any Recipient_0</vt:lpwstr>
  </property>
  <property fmtid="{D5CDD505-2E9C-101B-9397-08002B2CF9AE}" pid="6" name="MSIP_Label_8b1d8bd7-7e7b-4949-9680-d82491da45c6_SiteId">
    <vt:lpwstr>88ed286b-88d8-4faf-918f-883d693321ae</vt:lpwstr>
  </property>
  <property fmtid="{D5CDD505-2E9C-101B-9397-08002B2CF9AE}" pid="7" name="MSIP_Label_8b1d8bd7-7e7b-4949-9680-d82491da45c6_ActionId">
    <vt:lpwstr>0826e688-0c37-4980-bec7-859357ae7481</vt:lpwstr>
  </property>
  <property fmtid="{D5CDD505-2E9C-101B-9397-08002B2CF9AE}" pid="8" name="MSIP_Label_8b1d8bd7-7e7b-4949-9680-d82491da45c6_ContentBits">
    <vt:lpwstr>2</vt:lpwstr>
  </property>
  <property fmtid="{D5CDD505-2E9C-101B-9397-08002B2CF9AE}" pid="9" name="MediaServiceImageTags">
    <vt:lpwstr/>
  </property>
  <property fmtid="{D5CDD505-2E9C-101B-9397-08002B2CF9AE}" pid="10" name="ContentTypeId">
    <vt:lpwstr>0x01010053045FB2B0E287428881CD3EDD69B41A</vt:lpwstr>
  </property>
  <property fmtid="{D5CDD505-2E9C-101B-9397-08002B2CF9AE}" pid="11" name="_dlc_DocIdItemGuid">
    <vt:lpwstr>851c76e1-ab91-4fff-bcff-9ffde37a1ca4</vt:lpwstr>
  </property>
</Properties>
</file>