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C4CB3A8-5E8B-46E0-BF4F-FF25CA561D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ing of Electricity" sheetId="2" r:id="rId1"/>
    <sheet name="Meter No." sheetId="3" r:id="rId2"/>
  </sheets>
  <externalReferences>
    <externalReference r:id="rId3"/>
    <externalReference r:id="rId4"/>
  </externalReferences>
  <definedNames>
    <definedName name="____NT160">#REF!</definedName>
    <definedName name="____NT1780">#REF!</definedName>
    <definedName name="____NT70">#REF!</definedName>
    <definedName name="___NT10">#REF!</definedName>
    <definedName name="___NT12">#REF!</definedName>
    <definedName name="___NT14">#REF!</definedName>
    <definedName name="___NT15">#REF!</definedName>
    <definedName name="___NT16">#REF!</definedName>
    <definedName name="___NT160">#REF!</definedName>
    <definedName name="___NT17">#REF!</definedName>
    <definedName name="___NT1780">#REF!</definedName>
    <definedName name="___NT18">#REF!</definedName>
    <definedName name="___NT19">#REF!</definedName>
    <definedName name="___NT5">#REF!</definedName>
    <definedName name="___NT7">#REF!</definedName>
    <definedName name="___NT70">#REF!</definedName>
    <definedName name="___NT8">#REF!</definedName>
    <definedName name="__NT10">#REF!</definedName>
    <definedName name="__NT11">#REF!</definedName>
    <definedName name="__NT12">#REF!</definedName>
    <definedName name="__NT14">#REF!</definedName>
    <definedName name="__NT15">#REF!</definedName>
    <definedName name="__NT16">#REF!</definedName>
    <definedName name="__NT17">#REF!</definedName>
    <definedName name="__NT18">#REF!</definedName>
    <definedName name="__NT19">#REF!</definedName>
    <definedName name="__NT21">#REF!</definedName>
    <definedName name="__NT5">#REF!</definedName>
    <definedName name="__NT7">#REF!</definedName>
    <definedName name="__NT8">#REF!</definedName>
    <definedName name="_Fill" hidden="1">#REF!</definedName>
    <definedName name="_xlnm._FilterDatabase" localSheetId="0" hidden="1">'Working of Electricity'!$B$2:$R$266</definedName>
    <definedName name="_Key1" hidden="1">#REF!</definedName>
    <definedName name="_NT12">#REF!</definedName>
    <definedName name="_NT14">#REF!</definedName>
    <definedName name="_NT15">#REF!</definedName>
    <definedName name="_NT16">#REF!</definedName>
    <definedName name="_NT160">#REF!</definedName>
    <definedName name="_NT1601">#REF!</definedName>
    <definedName name="_NT17">#REF!</definedName>
    <definedName name="_NT1780">#REF!</definedName>
    <definedName name="_NT18">#REF!</definedName>
    <definedName name="_NT19">#REF!</definedName>
    <definedName name="_NT2">#REF!</definedName>
    <definedName name="_NT21">#REF!</definedName>
    <definedName name="_NT26">#REF!</definedName>
    <definedName name="_NT27">#REF!</definedName>
    <definedName name="_NT33">#REF!</definedName>
    <definedName name="_NT35">#REF!</definedName>
    <definedName name="_NT4">#REF!</definedName>
    <definedName name="_NT5">#REF!</definedName>
    <definedName name="_NT7">#REF!</definedName>
    <definedName name="_NT70">#REF!</definedName>
    <definedName name="_NT8">#REF!</definedName>
    <definedName name="_NT9">#REF!</definedName>
    <definedName name="_Order1" hidden="1">255</definedName>
    <definedName name="_Sort" hidden="1">#REF!</definedName>
    <definedName name="a">#REF!</definedName>
    <definedName name="aa">#REF!</definedName>
    <definedName name="aaa">#REF!</definedName>
    <definedName name="AAS">#REF!</definedName>
    <definedName name="ab">#REF!</definedName>
    <definedName name="abb">#REF!</definedName>
    <definedName name="abc">#REF!</definedName>
    <definedName name="ABCD">#REF!</definedName>
    <definedName name="ABCDefghj">#REF!</definedName>
    <definedName name="ADMIN">#REF!</definedName>
    <definedName name="ADMN">#REF!</definedName>
    <definedName name="Apr">#REF!</definedName>
    <definedName name="AprSun1">DATEVALUE("4/1/"&amp;#REF!)-WEEKDAY(DATEVALUE("4/1/"&amp;#REF!))+1</definedName>
    <definedName name="asdlfkj">#REF!</definedName>
    <definedName name="asffs">#REF!</definedName>
    <definedName name="ASSETS">#REF!</definedName>
    <definedName name="AugSun1">DATEVALUE("8/1/"&amp;#REF!)-WEEKDAY(DATEVALUE("8/1/"&amp;#REF!))+1</definedName>
    <definedName name="August">#REF!</definedName>
    <definedName name="bbb">#REF!</definedName>
    <definedName name="BODER">#REF!</definedName>
    <definedName name="BODR">#REF!</definedName>
    <definedName name="Brands">#REF!</definedName>
    <definedName name="BT">#N/A</definedName>
    <definedName name="Casual">#REF!</definedName>
    <definedName name="CF">#REF!</definedName>
    <definedName name="Code">#REF!</definedName>
    <definedName name="Concept">#REF!</definedName>
    <definedName name="COST">#REF!</definedName>
    <definedName name="COSTE">#REF!</definedName>
    <definedName name="curyear">#REF!</definedName>
    <definedName name="d">#REF!</definedName>
    <definedName name="daf">#REF!</definedName>
    <definedName name="Date">#REF!</definedName>
    <definedName name="dddd">#REF!</definedName>
    <definedName name="dddddd">#REF!</definedName>
    <definedName name="ddyt">#REF!</definedName>
    <definedName name="DecSun1">DATEVALUE("12/1/"&amp;#REF!)-WEEKDAY(DATEVALUE("12/1/"&amp;#REF!))+1</definedName>
    <definedName name="DEP">#REF!</definedName>
    <definedName name="DEP.">#REF!</definedName>
    <definedName name="dggg">#REF!</definedName>
    <definedName name="DISPOSAL">#REF!</definedName>
    <definedName name="dqweqwe">#REF!</definedName>
    <definedName name="DT">#REF!</definedName>
    <definedName name="EQUITY2">#REF!</definedName>
    <definedName name="Ethnic">#REF!</definedName>
    <definedName name="EV__EVCOM_OPTIONS__" hidden="1">8</definedName>
    <definedName name="EV__EXPOPTIONS__" hidden="1">0</definedName>
    <definedName name="EV__LASTREFTIME__" hidden="1">41471.533125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134217732</definedName>
    <definedName name="EV__WBVERSION__" hidden="1">0</definedName>
    <definedName name="f">#REF!</definedName>
    <definedName name="F_GOODS">#REF!</definedName>
    <definedName name="Faisalabad">#REF!</definedName>
    <definedName name="Fancy">#REF!</definedName>
    <definedName name="fdfsdf">#REF!</definedName>
    <definedName name="FebSun1">DATEVALUE("2/1/"&amp;#REF!)-WEEKDAY(DATEVALUE("2/1/"&amp;#REF!))+1</definedName>
    <definedName name="ffdfdf">#REF!</definedName>
    <definedName name="FINST">#REF!</definedName>
    <definedName name="g">#REF!</definedName>
    <definedName name="GT">#N/A</definedName>
    <definedName name="Head">#REF!</definedName>
    <definedName name="INsignia" hidden="1">#REF!</definedName>
    <definedName name="Item_Status">#REF!</definedName>
    <definedName name="JanSun1">DATEVALUE("1/1/"&amp;#REF!)-WEEKDAY(DATEVALUE("1/1/"&amp;#REF!))+1</definedName>
    <definedName name="JulSun1">DATEVALUE("7/1/"&amp;#REF!)-WEEKDAY(DATEVALUE("7/1/"&amp;#REF!))+1</definedName>
    <definedName name="June">#REF!</definedName>
    <definedName name="JunSun1">DATEVALUE("6/1/"&amp;#REF!)-WEEKDAY(DATEVALUE("6/1/"&amp;#REF!))+1</definedName>
    <definedName name="kjhjb">#REF!</definedName>
    <definedName name="L_FTY">#REF!</definedName>
    <definedName name="Lahore">#REF!</definedName>
    <definedName name="last2year12">#REF!</definedName>
    <definedName name="last3year12">#REF!</definedName>
    <definedName name="lastmonth">#REF!</definedName>
    <definedName name="lastmonthyear">#REF!</definedName>
    <definedName name="lastyear">#REF!</definedName>
    <definedName name="lastyear12">#REF!</definedName>
    <definedName name="LEASE">#REF!</definedName>
    <definedName name="LEASEE">#REF!</definedName>
    <definedName name="Location">#REF!</definedName>
    <definedName name="MarSun1">DATEVALUE("3/1/"&amp;#REF!)-WEEKDAY(DATEVALUE("3/1/"&amp;#REF!))+1</definedName>
    <definedName name="MaySun1">DATEVALUE("5/1/"&amp;#REF!)-WEEKDAY(DATEVALUE("5/1/"&amp;#REF!))+1</definedName>
    <definedName name="MEWarning" hidden="1">1</definedName>
    <definedName name="Month">#REF!</definedName>
    <definedName name="Nature">#REF!</definedName>
    <definedName name="Note50" hidden="1">#REF!</definedName>
    <definedName name="NOTES">#REF!</definedName>
    <definedName name="NovSun1">DATEVALUE("11/1/"&amp;#REF!)-WEEKDAY(DATEVALUE("11/1/"&amp;#REF!))+1</definedName>
    <definedName name="NT13.3">#REF!</definedName>
    <definedName name="NT15.A">#REF!</definedName>
    <definedName name="NT15.B">#REF!</definedName>
    <definedName name="NT16.A">#REF!</definedName>
    <definedName name="NT170.A">#REF!</definedName>
    <definedName name="NT170_B">#REF!</definedName>
    <definedName name="NT29.2">#REF!</definedName>
    <definedName name="NT29.3">#REF!</definedName>
    <definedName name="OctSun1">DATEVALUE("10/1/"&amp;#REF!)-WEEKDAY(DATEVALUE("10/1/"&amp;#REF!))+1</definedName>
    <definedName name="ok">'[1]Electric Summery'!#REF!</definedName>
    <definedName name="_xlnm.Print_Area">#REF!</definedName>
    <definedName name="PRINT_AREA_MI">#REF!</definedName>
    <definedName name="Red">#REF!</definedName>
    <definedName name="sdfdfd">#REF!</definedName>
    <definedName name="sdfff">#REF!</definedName>
    <definedName name="sds">#REF!</definedName>
    <definedName name="sdsdsd">#REF!</definedName>
    <definedName name="SepSun1">DATEVALUE("9/1/"&amp;#REF!)-WEEKDAY(DATEVALUE("9/1/"&amp;#REF!))+1</definedName>
    <definedName name="Shop_Petty_Cash">#REF!</definedName>
    <definedName name="Shops">#REF!</definedName>
    <definedName name="sss">#REF!</definedName>
    <definedName name="T0">#REF!</definedName>
    <definedName name="TAX_DEP">#REF!</definedName>
    <definedName name="TAX_DEPR">#REF!</definedName>
    <definedName name="Thou">#REF!</definedName>
    <definedName name="TT0">#REF!</definedName>
    <definedName name="tto">#REF!</definedName>
    <definedName name="TTT0">#REF!</definedName>
    <definedName name="valuevx">42.314159</definedName>
    <definedName name="WDV">#REF!</definedName>
    <definedName name="WDV0">#REF!</definedName>
    <definedName name="Winter">#REF!</definedName>
    <definedName name="Winter_Hoarding">#REF!</definedName>
    <definedName name="Winter_Hording2">#REF!</definedName>
    <definedName name="wwwww">#REF!</definedName>
    <definedName name="Year">#REF!</definedName>
    <definedName name="Year2">#REF!</definedName>
    <definedName name="zdgdsfdfDF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P255" i="2"/>
  <c r="O255" i="2"/>
  <c r="N255" i="2"/>
  <c r="P252" i="2"/>
  <c r="O252" i="2"/>
  <c r="P251" i="2"/>
  <c r="O251" i="2"/>
  <c r="P248" i="2"/>
  <c r="P247" i="2"/>
  <c r="O247" i="2"/>
  <c r="N247" i="2"/>
  <c r="P245" i="2"/>
  <c r="O245" i="2"/>
  <c r="P242" i="2"/>
  <c r="O242" i="2"/>
  <c r="M242" i="2"/>
  <c r="L242" i="2"/>
  <c r="K242" i="2"/>
  <c r="J242" i="2"/>
  <c r="I242" i="2"/>
  <c r="H242" i="2"/>
  <c r="G242" i="2"/>
  <c r="F242" i="2"/>
  <c r="E242" i="2"/>
  <c r="N242" i="2"/>
  <c r="P239" i="2"/>
  <c r="O239" i="2"/>
  <c r="N239" i="2"/>
  <c r="P236" i="2"/>
  <c r="O236" i="2"/>
  <c r="N236" i="2"/>
  <c r="P234" i="2"/>
  <c r="O234" i="2"/>
  <c r="N232" i="2"/>
  <c r="P231" i="2"/>
  <c r="O231" i="2"/>
  <c r="N231" i="2"/>
  <c r="P225" i="2"/>
  <c r="O225" i="2"/>
  <c r="P222" i="2"/>
  <c r="O222" i="2"/>
  <c r="P221" i="2"/>
  <c r="O221" i="2"/>
  <c r="P215" i="2"/>
  <c r="O215" i="2"/>
  <c r="P213" i="2"/>
  <c r="O213" i="2"/>
  <c r="P201" i="2"/>
  <c r="O201" i="2"/>
  <c r="P195" i="2"/>
  <c r="O195" i="2"/>
  <c r="N195" i="2"/>
  <c r="P178" i="2"/>
  <c r="O178" i="2"/>
  <c r="N178" i="2"/>
  <c r="P168" i="2"/>
  <c r="O168" i="2"/>
  <c r="P167" i="2"/>
  <c r="O167" i="2"/>
  <c r="P157" i="2"/>
  <c r="O157" i="2"/>
  <c r="N157" i="2"/>
  <c r="P151" i="2"/>
  <c r="O151" i="2"/>
  <c r="P148" i="2"/>
  <c r="O148" i="2"/>
  <c r="N148" i="2"/>
  <c r="P145" i="2"/>
  <c r="O145" i="2"/>
  <c r="N145" i="2"/>
  <c r="P143" i="2"/>
  <c r="O143" i="2"/>
  <c r="N143" i="2"/>
  <c r="P132" i="2"/>
  <c r="O132" i="2"/>
  <c r="N13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P114" i="2"/>
  <c r="O114" i="2"/>
  <c r="N114" i="2"/>
  <c r="P110" i="2"/>
  <c r="O110" i="2"/>
  <c r="P107" i="2"/>
  <c r="O107" i="2"/>
  <c r="N107" i="2"/>
  <c r="P104" i="2"/>
  <c r="O104" i="2"/>
  <c r="N104" i="2"/>
  <c r="P103" i="2"/>
  <c r="O103" i="2"/>
  <c r="P100" i="2"/>
  <c r="O100" i="2"/>
  <c r="N100" i="2"/>
  <c r="P15" i="2"/>
  <c r="O15" i="2"/>
  <c r="P95" i="2"/>
  <c r="O95" i="2"/>
  <c r="N95" i="2"/>
  <c r="P80" i="2"/>
  <c r="O80" i="2"/>
  <c r="P67" i="2"/>
  <c r="O67" i="2"/>
  <c r="O64" i="2"/>
  <c r="P64" i="2"/>
  <c r="P62" i="2"/>
  <c r="O62" i="2"/>
  <c r="P56" i="2"/>
  <c r="O56" i="2"/>
  <c r="P55" i="2"/>
  <c r="O55" i="2"/>
  <c r="N55" i="2"/>
  <c r="P46" i="2"/>
  <c r="O46" i="2"/>
  <c r="P41" i="2"/>
  <c r="O41" i="2"/>
  <c r="P39" i="2"/>
  <c r="O39" i="2"/>
  <c r="P30" i="2"/>
  <c r="O30" i="2"/>
  <c r="N30" i="2"/>
  <c r="P29" i="2"/>
  <c r="O29" i="2"/>
  <c r="P28" i="2"/>
  <c r="O28" i="2"/>
  <c r="N28" i="2"/>
  <c r="P27" i="2"/>
  <c r="O27" i="2"/>
  <c r="N27" i="2"/>
  <c r="P22" i="2"/>
  <c r="O22" i="2"/>
  <c r="N22" i="2"/>
  <c r="P18" i="2"/>
  <c r="O18" i="2"/>
  <c r="P9" i="2"/>
  <c r="O9" i="2"/>
  <c r="P4" i="2"/>
  <c r="O4" i="2"/>
  <c r="N4" i="2"/>
  <c r="P3" i="2"/>
  <c r="O3" i="2"/>
  <c r="N3" i="2"/>
  <c r="M3" i="2"/>
  <c r="A1" i="2"/>
  <c r="Q262" i="2"/>
  <c r="D262" i="2"/>
  <c r="Q263" i="2"/>
  <c r="Q264" i="2"/>
  <c r="Q265" i="2"/>
  <c r="N252" i="2" l="1"/>
  <c r="N251" i="2"/>
  <c r="N250" i="2"/>
  <c r="N246" i="2"/>
  <c r="N245" i="2"/>
  <c r="N234" i="2"/>
  <c r="N225" i="2"/>
  <c r="N222" i="2"/>
  <c r="N221" i="2"/>
  <c r="N215" i="2"/>
  <c r="N213" i="2"/>
  <c r="N182" i="2"/>
  <c r="N168" i="2"/>
  <c r="N167" i="2"/>
  <c r="N151" i="2"/>
  <c r="N118" i="2"/>
  <c r="N110" i="2"/>
  <c r="N103" i="2"/>
  <c r="N80" i="2"/>
  <c r="N77" i="2"/>
  <c r="N67" i="2"/>
  <c r="N64" i="2"/>
  <c r="N62" i="2"/>
  <c r="N56" i="2"/>
  <c r="N46" i="2"/>
  <c r="N41" i="2"/>
  <c r="N39" i="2"/>
  <c r="N29" i="2"/>
  <c r="N18" i="2"/>
  <c r="N15" i="2"/>
  <c r="N9" i="2"/>
  <c r="Q266" i="2"/>
  <c r="M261" i="2"/>
  <c r="Q261" i="2" s="1"/>
  <c r="D261" i="2"/>
  <c r="M260" i="2"/>
  <c r="L260" i="2"/>
  <c r="K260" i="2"/>
  <c r="J260" i="2"/>
  <c r="I260" i="2"/>
  <c r="H260" i="2"/>
  <c r="G260" i="2"/>
  <c r="F260" i="2"/>
  <c r="E260" i="2"/>
  <c r="D260" i="2"/>
  <c r="Q259" i="2"/>
  <c r="D259" i="2"/>
  <c r="Q258" i="2"/>
  <c r="D258" i="2"/>
  <c r="Q257" i="2"/>
  <c r="D257" i="2"/>
  <c r="Q256" i="2"/>
  <c r="D256" i="2"/>
  <c r="M255" i="2"/>
  <c r="L255" i="2"/>
  <c r="K255" i="2"/>
  <c r="J255" i="2"/>
  <c r="I255" i="2"/>
  <c r="H255" i="2"/>
  <c r="D255" i="2"/>
  <c r="Q254" i="2"/>
  <c r="D254" i="2"/>
  <c r="Q253" i="2"/>
  <c r="D253" i="2"/>
  <c r="M252" i="2"/>
  <c r="L252" i="2"/>
  <c r="K252" i="2"/>
  <c r="J252" i="2"/>
  <c r="I252" i="2"/>
  <c r="H252" i="2"/>
  <c r="G252" i="2"/>
  <c r="F252" i="2"/>
  <c r="E252" i="2"/>
  <c r="D252" i="2"/>
  <c r="M251" i="2"/>
  <c r="L251" i="2"/>
  <c r="K251" i="2"/>
  <c r="J251" i="2"/>
  <c r="I251" i="2"/>
  <c r="H251" i="2"/>
  <c r="G251" i="2"/>
  <c r="F251" i="2"/>
  <c r="E251" i="2"/>
  <c r="D251" i="2"/>
  <c r="M250" i="2"/>
  <c r="L250" i="2"/>
  <c r="K250" i="2"/>
  <c r="J250" i="2"/>
  <c r="I250" i="2"/>
  <c r="H250" i="2"/>
  <c r="G250" i="2"/>
  <c r="F250" i="2"/>
  <c r="E250" i="2"/>
  <c r="D250" i="2"/>
  <c r="Q249" i="2"/>
  <c r="D249" i="2"/>
  <c r="Q248" i="2"/>
  <c r="D248" i="2"/>
  <c r="M247" i="2"/>
  <c r="L247" i="2"/>
  <c r="K247" i="2"/>
  <c r="J247" i="2"/>
  <c r="I247" i="2"/>
  <c r="D247" i="2"/>
  <c r="D246" i="2"/>
  <c r="M245" i="2"/>
  <c r="L245" i="2"/>
  <c r="K245" i="2"/>
  <c r="J245" i="2"/>
  <c r="I245" i="2"/>
  <c r="H245" i="2"/>
  <c r="G245" i="2"/>
  <c r="F245" i="2"/>
  <c r="E245" i="2"/>
  <c r="D245" i="2"/>
  <c r="Q244" i="2"/>
  <c r="D244" i="2"/>
  <c r="Q243" i="2"/>
  <c r="D243" i="2"/>
  <c r="Q242" i="2"/>
  <c r="D242" i="2"/>
  <c r="M241" i="2"/>
  <c r="Q241" i="2" s="1"/>
  <c r="D241" i="2"/>
  <c r="M240" i="2"/>
  <c r="Q240" i="2" s="1"/>
  <c r="D240" i="2"/>
  <c r="M239" i="2"/>
  <c r="L239" i="2"/>
  <c r="K239" i="2"/>
  <c r="J239" i="2"/>
  <c r="D239" i="2"/>
  <c r="Q238" i="2"/>
  <c r="D238" i="2"/>
  <c r="Q237" i="2"/>
  <c r="D237" i="2"/>
  <c r="M236" i="2"/>
  <c r="L236" i="2"/>
  <c r="K236" i="2"/>
  <c r="J236" i="2"/>
  <c r="I236" i="2"/>
  <c r="H236" i="2"/>
  <c r="G236" i="2"/>
  <c r="F236" i="2"/>
  <c r="E236" i="2"/>
  <c r="D236" i="2"/>
  <c r="Q235" i="2"/>
  <c r="D235" i="2"/>
  <c r="M234" i="2"/>
  <c r="L234" i="2"/>
  <c r="K234" i="2"/>
  <c r="J234" i="2"/>
  <c r="I234" i="2"/>
  <c r="H234" i="2"/>
  <c r="G234" i="2"/>
  <c r="F234" i="2"/>
  <c r="E234" i="2"/>
  <c r="D234" i="2"/>
  <c r="Q233" i="2"/>
  <c r="D233" i="2"/>
  <c r="M232" i="2"/>
  <c r="L232" i="2"/>
  <c r="K232" i="2"/>
  <c r="J232" i="2"/>
  <c r="I232" i="2"/>
  <c r="H232" i="2"/>
  <c r="G232" i="2"/>
  <c r="F232" i="2"/>
  <c r="E232" i="2"/>
  <c r="D232" i="2"/>
  <c r="Q231" i="2"/>
  <c r="D231" i="2"/>
  <c r="Q230" i="2"/>
  <c r="D230" i="2"/>
  <c r="Q229" i="2"/>
  <c r="D229" i="2"/>
  <c r="Q228" i="2"/>
  <c r="D228" i="2"/>
  <c r="Q227" i="2"/>
  <c r="D227" i="2"/>
  <c r="M226" i="2"/>
  <c r="Q226" i="2" s="1"/>
  <c r="D226" i="2"/>
  <c r="M225" i="2"/>
  <c r="L225" i="2"/>
  <c r="K225" i="2"/>
  <c r="J225" i="2"/>
  <c r="I225" i="2"/>
  <c r="H225" i="2"/>
  <c r="G225" i="2"/>
  <c r="F225" i="2"/>
  <c r="E225" i="2"/>
  <c r="D225" i="2"/>
  <c r="Q224" i="2"/>
  <c r="D224" i="2"/>
  <c r="Q223" i="2"/>
  <c r="D223" i="2"/>
  <c r="M222" i="2"/>
  <c r="L222" i="2"/>
  <c r="K222" i="2"/>
  <c r="J222" i="2"/>
  <c r="I222" i="2"/>
  <c r="H222" i="2"/>
  <c r="G222" i="2"/>
  <c r="F222" i="2"/>
  <c r="E222" i="2"/>
  <c r="D222" i="2"/>
  <c r="M221" i="2"/>
  <c r="L221" i="2"/>
  <c r="K221" i="2"/>
  <c r="J221" i="2"/>
  <c r="I221" i="2"/>
  <c r="H221" i="2"/>
  <c r="G221" i="2"/>
  <c r="F221" i="2"/>
  <c r="E221" i="2"/>
  <c r="D221" i="2"/>
  <c r="Q220" i="2"/>
  <c r="D220" i="2"/>
  <c r="Q219" i="2"/>
  <c r="D219" i="2"/>
  <c r="Q218" i="2"/>
  <c r="D218" i="2"/>
  <c r="Q217" i="2"/>
  <c r="D217" i="2"/>
  <c r="Q216" i="2"/>
  <c r="D216" i="2"/>
  <c r="M215" i="2"/>
  <c r="L215" i="2"/>
  <c r="K215" i="2"/>
  <c r="J215" i="2"/>
  <c r="I215" i="2"/>
  <c r="H215" i="2"/>
  <c r="G215" i="2"/>
  <c r="F215" i="2"/>
  <c r="E215" i="2"/>
  <c r="D215" i="2"/>
  <c r="Q214" i="2"/>
  <c r="D214" i="2"/>
  <c r="M213" i="2"/>
  <c r="L213" i="2"/>
  <c r="K213" i="2"/>
  <c r="J213" i="2"/>
  <c r="I213" i="2"/>
  <c r="H213" i="2"/>
  <c r="G213" i="2"/>
  <c r="F213" i="2"/>
  <c r="E213" i="2"/>
  <c r="D213" i="2"/>
  <c r="Q212" i="2"/>
  <c r="D212" i="2"/>
  <c r="Q211" i="2"/>
  <c r="D211" i="2"/>
  <c r="Q210" i="2"/>
  <c r="D210" i="2"/>
  <c r="Q209" i="2"/>
  <c r="D209" i="2"/>
  <c r="Q208" i="2"/>
  <c r="D208" i="2"/>
  <c r="Q207" i="2"/>
  <c r="D207" i="2"/>
  <c r="Q206" i="2"/>
  <c r="D206" i="2"/>
  <c r="M205" i="2"/>
  <c r="Q205" i="2" s="1"/>
  <c r="D205" i="2"/>
  <c r="Q204" i="2"/>
  <c r="D204" i="2"/>
  <c r="M203" i="2"/>
  <c r="L203" i="2"/>
  <c r="K203" i="2"/>
  <c r="J203" i="2"/>
  <c r="I203" i="2"/>
  <c r="H203" i="2"/>
  <c r="G203" i="2"/>
  <c r="F203" i="2"/>
  <c r="E203" i="2"/>
  <c r="D203" i="2"/>
  <c r="M202" i="2"/>
  <c r="Q202" i="2" s="1"/>
  <c r="D202" i="2"/>
  <c r="M201" i="2"/>
  <c r="L201" i="2"/>
  <c r="K201" i="2"/>
  <c r="J201" i="2"/>
  <c r="I201" i="2"/>
  <c r="H201" i="2"/>
  <c r="G201" i="2"/>
  <c r="F201" i="2"/>
  <c r="E201" i="2"/>
  <c r="D201" i="2"/>
  <c r="Q200" i="2"/>
  <c r="D200" i="2"/>
  <c r="Q199" i="2"/>
  <c r="D199" i="2"/>
  <c r="Q198" i="2"/>
  <c r="D198" i="2"/>
  <c r="Q197" i="2"/>
  <c r="D197" i="2"/>
  <c r="Q196" i="2"/>
  <c r="D196" i="2"/>
  <c r="M195" i="2"/>
  <c r="L195" i="2"/>
  <c r="K195" i="2"/>
  <c r="J195" i="2"/>
  <c r="I195" i="2"/>
  <c r="H195" i="2"/>
  <c r="G195" i="2"/>
  <c r="F195" i="2"/>
  <c r="E195" i="2"/>
  <c r="D195" i="2"/>
  <c r="Q194" i="2"/>
  <c r="D194" i="2"/>
  <c r="Q193" i="2"/>
  <c r="D193" i="2"/>
  <c r="Q192" i="2"/>
  <c r="D192" i="2"/>
  <c r="Q191" i="2"/>
  <c r="D191" i="2"/>
  <c r="Q190" i="2"/>
  <c r="D190" i="2"/>
  <c r="Q189" i="2"/>
  <c r="D189" i="2"/>
  <c r="Q188" i="2"/>
  <c r="D188" i="2"/>
  <c r="Q187" i="2"/>
  <c r="D187" i="2"/>
  <c r="Q186" i="2"/>
  <c r="D186" i="2"/>
  <c r="Q185" i="2"/>
  <c r="D185" i="2"/>
  <c r="Q184" i="2"/>
  <c r="D184" i="2"/>
  <c r="Q183" i="2"/>
  <c r="D183" i="2"/>
  <c r="D182" i="2"/>
  <c r="Q181" i="2"/>
  <c r="D181" i="2"/>
  <c r="M180" i="2"/>
  <c r="Q180" i="2" s="1"/>
  <c r="D180" i="2"/>
  <c r="Q179" i="2"/>
  <c r="D179" i="2"/>
  <c r="M178" i="2"/>
  <c r="L178" i="2"/>
  <c r="K178" i="2"/>
  <c r="J178" i="2"/>
  <c r="I178" i="2"/>
  <c r="D178" i="2"/>
  <c r="Q177" i="2"/>
  <c r="D177" i="2"/>
  <c r="Q176" i="2"/>
  <c r="D176" i="2"/>
  <c r="Q175" i="2"/>
  <c r="D175" i="2"/>
  <c r="Q174" i="2"/>
  <c r="D174" i="2"/>
  <c r="Q173" i="2"/>
  <c r="D173" i="2"/>
  <c r="Q172" i="2"/>
  <c r="D172" i="2"/>
  <c r="M171" i="2"/>
  <c r="Q171" i="2" s="1"/>
  <c r="D171" i="2"/>
  <c r="Q170" i="2"/>
  <c r="D170" i="2"/>
  <c r="Q169" i="2"/>
  <c r="D169" i="2"/>
  <c r="M168" i="2"/>
  <c r="L168" i="2"/>
  <c r="K168" i="2"/>
  <c r="J168" i="2"/>
  <c r="I168" i="2"/>
  <c r="H168" i="2"/>
  <c r="G168" i="2"/>
  <c r="F168" i="2"/>
  <c r="E168" i="2"/>
  <c r="D168" i="2"/>
  <c r="M167" i="2"/>
  <c r="L167" i="2"/>
  <c r="K167" i="2"/>
  <c r="J167" i="2"/>
  <c r="I167" i="2"/>
  <c r="H167" i="2"/>
  <c r="G167" i="2"/>
  <c r="F167" i="2"/>
  <c r="E167" i="2"/>
  <c r="D167" i="2"/>
  <c r="Q166" i="2"/>
  <c r="D166" i="2"/>
  <c r="Q165" i="2"/>
  <c r="D165" i="2"/>
  <c r="Q164" i="2"/>
  <c r="D164" i="2"/>
  <c r="M163" i="2"/>
  <c r="Q163" i="2" s="1"/>
  <c r="D163" i="2"/>
  <c r="Q162" i="2"/>
  <c r="D162" i="2"/>
  <c r="Q161" i="2"/>
  <c r="D161" i="2"/>
  <c r="Q160" i="2"/>
  <c r="D160" i="2"/>
  <c r="Q159" i="2"/>
  <c r="D159" i="2"/>
  <c r="Q158" i="2"/>
  <c r="D158" i="2"/>
  <c r="M157" i="2"/>
  <c r="L157" i="2"/>
  <c r="K157" i="2"/>
  <c r="J157" i="2"/>
  <c r="I157" i="2"/>
  <c r="H157" i="2"/>
  <c r="G157" i="2"/>
  <c r="F157" i="2"/>
  <c r="E157" i="2"/>
  <c r="D157" i="2"/>
  <c r="Q156" i="2"/>
  <c r="D156" i="2"/>
  <c r="Q155" i="2"/>
  <c r="D155" i="2"/>
  <c r="Q154" i="2"/>
  <c r="D154" i="2"/>
  <c r="Q153" i="2"/>
  <c r="D153" i="2"/>
  <c r="Q152" i="2"/>
  <c r="D152" i="2"/>
  <c r="M151" i="2"/>
  <c r="L151" i="2"/>
  <c r="K151" i="2"/>
  <c r="J151" i="2"/>
  <c r="I151" i="2"/>
  <c r="H151" i="2"/>
  <c r="G151" i="2"/>
  <c r="F151" i="2"/>
  <c r="E151" i="2"/>
  <c r="D151" i="2"/>
  <c r="Q150" i="2"/>
  <c r="D150" i="2"/>
  <c r="Q149" i="2"/>
  <c r="D149" i="2"/>
  <c r="M148" i="2"/>
  <c r="L148" i="2"/>
  <c r="K148" i="2"/>
  <c r="J148" i="2"/>
  <c r="I148" i="2"/>
  <c r="H148" i="2"/>
  <c r="G148" i="2"/>
  <c r="F148" i="2"/>
  <c r="E148" i="2"/>
  <c r="D148" i="2"/>
  <c r="Q147" i="2"/>
  <c r="D147" i="2"/>
  <c r="Q146" i="2"/>
  <c r="D146" i="2"/>
  <c r="M145" i="2"/>
  <c r="L145" i="2"/>
  <c r="K145" i="2"/>
  <c r="J145" i="2"/>
  <c r="I145" i="2"/>
  <c r="H145" i="2"/>
  <c r="G145" i="2"/>
  <c r="F145" i="2"/>
  <c r="E145" i="2"/>
  <c r="D145" i="2"/>
  <c r="Q144" i="2"/>
  <c r="D144" i="2"/>
  <c r="M143" i="2"/>
  <c r="L143" i="2"/>
  <c r="K143" i="2"/>
  <c r="J143" i="2"/>
  <c r="I143" i="2"/>
  <c r="H143" i="2"/>
  <c r="G143" i="2"/>
  <c r="F143" i="2"/>
  <c r="E143" i="2"/>
  <c r="D143" i="2"/>
  <c r="Q142" i="2"/>
  <c r="D142" i="2"/>
  <c r="Q141" i="2"/>
  <c r="D141" i="2"/>
  <c r="Q140" i="2"/>
  <c r="D140" i="2"/>
  <c r="Q139" i="2"/>
  <c r="D139" i="2"/>
  <c r="Q138" i="2"/>
  <c r="D138" i="2"/>
  <c r="Q137" i="2"/>
  <c r="D137" i="2"/>
  <c r="Q136" i="2"/>
  <c r="D136" i="2"/>
  <c r="Q135" i="2"/>
  <c r="D135" i="2"/>
  <c r="Q134" i="2"/>
  <c r="D134" i="2"/>
  <c r="Q133" i="2"/>
  <c r="D133" i="2"/>
  <c r="M132" i="2"/>
  <c r="L132" i="2"/>
  <c r="K132" i="2"/>
  <c r="J132" i="2"/>
  <c r="I132" i="2"/>
  <c r="H132" i="2"/>
  <c r="G132" i="2"/>
  <c r="F132" i="2"/>
  <c r="E132" i="2"/>
  <c r="D132" i="2"/>
  <c r="M131" i="2"/>
  <c r="Q131" i="2" s="1"/>
  <c r="D131" i="2"/>
  <c r="Q130" i="2"/>
  <c r="D130" i="2"/>
  <c r="Q129" i="2"/>
  <c r="D129" i="2"/>
  <c r="Q128" i="2"/>
  <c r="D128" i="2"/>
  <c r="Q127" i="2"/>
  <c r="D127" i="2"/>
  <c r="Q126" i="2"/>
  <c r="D126" i="2"/>
  <c r="Q125" i="2"/>
  <c r="D125" i="2"/>
  <c r="Q124" i="2"/>
  <c r="D124" i="2"/>
  <c r="Q123" i="2"/>
  <c r="D123" i="2"/>
  <c r="Q122" i="2"/>
  <c r="D122" i="2"/>
  <c r="Q121" i="2"/>
  <c r="D121" i="2"/>
  <c r="Q120" i="2"/>
  <c r="D120" i="2"/>
  <c r="Q119" i="2"/>
  <c r="D119" i="2"/>
  <c r="Q118" i="2"/>
  <c r="D118" i="2"/>
  <c r="Q117" i="2"/>
  <c r="D117" i="2"/>
  <c r="Q116" i="2"/>
  <c r="D116" i="2"/>
  <c r="Q115" i="2"/>
  <c r="D115" i="2"/>
  <c r="M114" i="2"/>
  <c r="L114" i="2"/>
  <c r="K114" i="2"/>
  <c r="J114" i="2"/>
  <c r="I114" i="2"/>
  <c r="D114" i="2"/>
  <c r="Q113" i="2"/>
  <c r="D113" i="2"/>
  <c r="Q112" i="2"/>
  <c r="D112" i="2"/>
  <c r="Q111" i="2"/>
  <c r="D111" i="2"/>
  <c r="M110" i="2"/>
  <c r="I110" i="2"/>
  <c r="H110" i="2"/>
  <c r="G110" i="2"/>
  <c r="F110" i="2"/>
  <c r="E110" i="2"/>
  <c r="D110" i="2"/>
  <c r="Q109" i="2"/>
  <c r="D109" i="2"/>
  <c r="Q108" i="2"/>
  <c r="D108" i="2"/>
  <c r="M107" i="2"/>
  <c r="L107" i="2"/>
  <c r="K107" i="2"/>
  <c r="J107" i="2"/>
  <c r="I107" i="2"/>
  <c r="H107" i="2"/>
  <c r="G107" i="2"/>
  <c r="F107" i="2"/>
  <c r="E107" i="2"/>
  <c r="D107" i="2"/>
  <c r="Q106" i="2"/>
  <c r="D106" i="2"/>
  <c r="Q105" i="2"/>
  <c r="D105" i="2"/>
  <c r="M104" i="2"/>
  <c r="L104" i="2"/>
  <c r="K104" i="2"/>
  <c r="J104" i="2"/>
  <c r="I104" i="2"/>
  <c r="H104" i="2"/>
  <c r="G104" i="2"/>
  <c r="F104" i="2"/>
  <c r="E104" i="2"/>
  <c r="D104" i="2"/>
  <c r="M103" i="2"/>
  <c r="L103" i="2"/>
  <c r="K103" i="2"/>
  <c r="J103" i="2"/>
  <c r="I103" i="2"/>
  <c r="H103" i="2"/>
  <c r="G103" i="2"/>
  <c r="F103" i="2"/>
  <c r="E103" i="2"/>
  <c r="D103" i="2"/>
  <c r="Q102" i="2"/>
  <c r="D102" i="2"/>
  <c r="Q101" i="2"/>
  <c r="D101" i="2"/>
  <c r="M100" i="2"/>
  <c r="L100" i="2"/>
  <c r="K100" i="2"/>
  <c r="J100" i="2"/>
  <c r="I100" i="2"/>
  <c r="H100" i="2"/>
  <c r="G100" i="2"/>
  <c r="F100" i="2"/>
  <c r="E100" i="2"/>
  <c r="D100" i="2"/>
  <c r="Q99" i="2"/>
  <c r="D99" i="2"/>
  <c r="Q98" i="2"/>
  <c r="D98" i="2"/>
  <c r="Q97" i="2"/>
  <c r="D97" i="2"/>
  <c r="E96" i="2"/>
  <c r="Q96" i="2" s="1"/>
  <c r="D96" i="2"/>
  <c r="M95" i="2"/>
  <c r="L95" i="2"/>
  <c r="K95" i="2"/>
  <c r="J95" i="2"/>
  <c r="I95" i="2"/>
  <c r="H95" i="2"/>
  <c r="G95" i="2"/>
  <c r="F95" i="2"/>
  <c r="E95" i="2"/>
  <c r="D95" i="2"/>
  <c r="Q94" i="2"/>
  <c r="D94" i="2"/>
  <c r="Q93" i="2"/>
  <c r="D93" i="2"/>
  <c r="Q92" i="2"/>
  <c r="D92" i="2"/>
  <c r="Q91" i="2"/>
  <c r="D91" i="2"/>
  <c r="Q90" i="2"/>
  <c r="D90" i="2"/>
  <c r="Q89" i="2"/>
  <c r="D89" i="2"/>
  <c r="Q88" i="2"/>
  <c r="D88" i="2"/>
  <c r="Q87" i="2"/>
  <c r="D87" i="2"/>
  <c r="Q86" i="2"/>
  <c r="D86" i="2"/>
  <c r="Q85" i="2"/>
  <c r="D85" i="2"/>
  <c r="Q84" i="2"/>
  <c r="D84" i="2"/>
  <c r="Q83" i="2"/>
  <c r="D83" i="2"/>
  <c r="Q82" i="2"/>
  <c r="D82" i="2"/>
  <c r="Q81" i="2"/>
  <c r="D81" i="2"/>
  <c r="M80" i="2"/>
  <c r="L80" i="2"/>
  <c r="K80" i="2"/>
  <c r="J80" i="2"/>
  <c r="I80" i="2"/>
  <c r="H80" i="2"/>
  <c r="G80" i="2"/>
  <c r="F80" i="2"/>
  <c r="E80" i="2"/>
  <c r="D80" i="2"/>
  <c r="Q79" i="2"/>
  <c r="D79" i="2"/>
  <c r="Q78" i="2"/>
  <c r="D78" i="2"/>
  <c r="I77" i="2"/>
  <c r="H77" i="2"/>
  <c r="G77" i="2"/>
  <c r="F77" i="2"/>
  <c r="E77" i="2"/>
  <c r="D77" i="2"/>
  <c r="Q76" i="2"/>
  <c r="D76" i="2"/>
  <c r="Q75" i="2"/>
  <c r="D75" i="2"/>
  <c r="Q74" i="2"/>
  <c r="D74" i="2"/>
  <c r="Q73" i="2"/>
  <c r="D73" i="2"/>
  <c r="Q72" i="2"/>
  <c r="D72" i="2"/>
  <c r="M71" i="2"/>
  <c r="Q71" i="2" s="1"/>
  <c r="D71" i="2"/>
  <c r="Q70" i="2"/>
  <c r="D70" i="2"/>
  <c r="Q69" i="2"/>
  <c r="D69" i="2"/>
  <c r="Q68" i="2"/>
  <c r="D68" i="2"/>
  <c r="M67" i="2"/>
  <c r="L67" i="2"/>
  <c r="K67" i="2"/>
  <c r="J67" i="2"/>
  <c r="I67" i="2"/>
  <c r="H67" i="2"/>
  <c r="G67" i="2"/>
  <c r="F67" i="2"/>
  <c r="E67" i="2"/>
  <c r="D67" i="2"/>
  <c r="Q66" i="2"/>
  <c r="D66" i="2"/>
  <c r="Q65" i="2"/>
  <c r="D65" i="2"/>
  <c r="M64" i="2"/>
  <c r="L64" i="2"/>
  <c r="K64" i="2"/>
  <c r="J64" i="2"/>
  <c r="I64" i="2"/>
  <c r="H64" i="2"/>
  <c r="G64" i="2"/>
  <c r="F64" i="2"/>
  <c r="E64" i="2"/>
  <c r="D64" i="2"/>
  <c r="Q63" i="2"/>
  <c r="D63" i="2"/>
  <c r="M62" i="2"/>
  <c r="L62" i="2"/>
  <c r="K62" i="2"/>
  <c r="J62" i="2"/>
  <c r="I62" i="2"/>
  <c r="H62" i="2"/>
  <c r="G62" i="2"/>
  <c r="F62" i="2"/>
  <c r="E62" i="2"/>
  <c r="D62" i="2"/>
  <c r="Q61" i="2"/>
  <c r="D61" i="2"/>
  <c r="M60" i="2"/>
  <c r="Q60" i="2" s="1"/>
  <c r="D60" i="2"/>
  <c r="Q59" i="2"/>
  <c r="D59" i="2"/>
  <c r="Q58" i="2"/>
  <c r="D58" i="2"/>
  <c r="Q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Q54" i="2"/>
  <c r="Q53" i="2"/>
  <c r="D53" i="2"/>
  <c r="Q52" i="2"/>
  <c r="D52" i="2"/>
  <c r="Q51" i="2"/>
  <c r="D51" i="2"/>
  <c r="Q50" i="2"/>
  <c r="D50" i="2"/>
  <c r="Q49" i="2"/>
  <c r="D49" i="2"/>
  <c r="Q48" i="2"/>
  <c r="D48" i="2"/>
  <c r="Q47" i="2"/>
  <c r="D47" i="2"/>
  <c r="L46" i="2"/>
  <c r="I46" i="2"/>
  <c r="H46" i="2"/>
  <c r="G46" i="2"/>
  <c r="F46" i="2"/>
  <c r="E46" i="2"/>
  <c r="D46" i="2"/>
  <c r="Q45" i="2"/>
  <c r="D45" i="2"/>
  <c r="Q44" i="2"/>
  <c r="D44" i="2"/>
  <c r="Q43" i="2"/>
  <c r="D43" i="2"/>
  <c r="Q42" i="2"/>
  <c r="D42" i="2"/>
  <c r="M41" i="2"/>
  <c r="L41" i="2"/>
  <c r="K41" i="2"/>
  <c r="J41" i="2"/>
  <c r="I41" i="2"/>
  <c r="H41" i="2"/>
  <c r="G41" i="2"/>
  <c r="F41" i="2"/>
  <c r="E41" i="2"/>
  <c r="D41" i="2"/>
  <c r="Q40" i="2"/>
  <c r="D40" i="2"/>
  <c r="M39" i="2"/>
  <c r="L39" i="2"/>
  <c r="K39" i="2"/>
  <c r="J39" i="2"/>
  <c r="I39" i="2"/>
  <c r="H39" i="2"/>
  <c r="G39" i="2"/>
  <c r="F39" i="2"/>
  <c r="E39" i="2"/>
  <c r="D39" i="2"/>
  <c r="Q38" i="2"/>
  <c r="D38" i="2"/>
  <c r="Q37" i="2"/>
  <c r="D37" i="2"/>
  <c r="Q36" i="2"/>
  <c r="D36" i="2"/>
  <c r="Q35" i="2"/>
  <c r="D35" i="2"/>
  <c r="Q34" i="2"/>
  <c r="D34" i="2"/>
  <c r="Q33" i="2"/>
  <c r="D33" i="2"/>
  <c r="Q32" i="2"/>
  <c r="D32" i="2"/>
  <c r="Q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Q26" i="2"/>
  <c r="D26" i="2"/>
  <c r="D25" i="2"/>
  <c r="Q24" i="2"/>
  <c r="D24" i="2"/>
  <c r="Q23" i="2"/>
  <c r="D23" i="2"/>
  <c r="M22" i="2"/>
  <c r="L22" i="2"/>
  <c r="K22" i="2"/>
  <c r="J22" i="2"/>
  <c r="I22" i="2"/>
  <c r="H22" i="2"/>
  <c r="G22" i="2"/>
  <c r="F22" i="2"/>
  <c r="E22" i="2"/>
  <c r="D22" i="2"/>
  <c r="Q21" i="2"/>
  <c r="D21" i="2"/>
  <c r="Q20" i="2"/>
  <c r="D20" i="2"/>
  <c r="Q19" i="2"/>
  <c r="D19" i="2"/>
  <c r="M18" i="2"/>
  <c r="L18" i="2"/>
  <c r="K18" i="2"/>
  <c r="J18" i="2"/>
  <c r="I18" i="2"/>
  <c r="H18" i="2"/>
  <c r="G18" i="2"/>
  <c r="F18" i="2"/>
  <c r="E18" i="2"/>
  <c r="D18" i="2"/>
  <c r="Q17" i="2"/>
  <c r="D17" i="2"/>
  <c r="Q16" i="2"/>
  <c r="D16" i="2"/>
  <c r="M15" i="2"/>
  <c r="L15" i="2"/>
  <c r="K15" i="2"/>
  <c r="J15" i="2"/>
  <c r="I15" i="2"/>
  <c r="H15" i="2"/>
  <c r="G15" i="2"/>
  <c r="F15" i="2"/>
  <c r="E15" i="2"/>
  <c r="D15" i="2"/>
  <c r="Q14" i="2"/>
  <c r="D14" i="2"/>
  <c r="Q13" i="2"/>
  <c r="D13" i="2"/>
  <c r="Q12" i="2"/>
  <c r="D12" i="2"/>
  <c r="M11" i="2"/>
  <c r="Q11" i="2" s="1"/>
  <c r="D11" i="2"/>
  <c r="Q10" i="2"/>
  <c r="D10" i="2"/>
  <c r="M9" i="2"/>
  <c r="L9" i="2"/>
  <c r="K9" i="2"/>
  <c r="J9" i="2"/>
  <c r="I9" i="2"/>
  <c r="H9" i="2"/>
  <c r="G9" i="2"/>
  <c r="F9" i="2"/>
  <c r="E9" i="2"/>
  <c r="D9" i="2"/>
  <c r="Q8" i="2"/>
  <c r="D8" i="2"/>
  <c r="L7" i="2"/>
  <c r="K7" i="2"/>
  <c r="F7" i="2"/>
  <c r="D7" i="2"/>
  <c r="Q6" i="2"/>
  <c r="D6" i="2"/>
  <c r="Q5" i="2"/>
  <c r="D5" i="2"/>
  <c r="M4" i="2"/>
  <c r="L4" i="2"/>
  <c r="J4" i="2"/>
  <c r="I4" i="2"/>
  <c r="H4" i="2"/>
  <c r="G4" i="2"/>
  <c r="F4" i="2"/>
  <c r="E4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L3" i="2"/>
  <c r="K3" i="2"/>
  <c r="J3" i="2"/>
  <c r="I3" i="2"/>
  <c r="H3" i="2"/>
  <c r="G3" i="2"/>
  <c r="F3" i="2"/>
  <c r="D3" i="2"/>
  <c r="A258" i="2" l="1"/>
  <c r="A262" i="2"/>
  <c r="A259" i="2"/>
  <c r="A260" i="2" s="1"/>
  <c r="A263" i="2"/>
  <c r="Q3" i="2"/>
  <c r="N267" i="2"/>
  <c r="Q203" i="2"/>
  <c r="Q239" i="2"/>
  <c r="Q246" i="2"/>
  <c r="Q28" i="2"/>
  <c r="Q7" i="2"/>
  <c r="Q182" i="2"/>
  <c r="Q95" i="2"/>
  <c r="Q232" i="2"/>
  <c r="Q4" i="2"/>
  <c r="Q56" i="2"/>
  <c r="Q18" i="2"/>
  <c r="Q103" i="2"/>
  <c r="Q64" i="2"/>
  <c r="Q145" i="2"/>
  <c r="Q222" i="2"/>
  <c r="Q22" i="2"/>
  <c r="Q168" i="2"/>
  <c r="Q247" i="2"/>
  <c r="Q252" i="2"/>
  <c r="Q9" i="2"/>
  <c r="Q15" i="2"/>
  <c r="Q30" i="2"/>
  <c r="Q41" i="2"/>
  <c r="Q55" i="2"/>
  <c r="Q213" i="2"/>
  <c r="Q77" i="2"/>
  <c r="Q148" i="2"/>
  <c r="Q107" i="2"/>
  <c r="Q260" i="2"/>
  <c r="Q255" i="2"/>
  <c r="Q201" i="2"/>
  <c r="Q27" i="2"/>
  <c r="Q114" i="2"/>
  <c r="L267" i="2"/>
  <c r="J267" i="2"/>
  <c r="K267" i="2"/>
  <c r="Q157" i="2"/>
  <c r="E267" i="2"/>
  <c r="Q39" i="2"/>
  <c r="Q195" i="2"/>
  <c r="Q46" i="2"/>
  <c r="Q178" i="2"/>
  <c r="Q100" i="2"/>
  <c r="Q132" i="2"/>
  <c r="Q151" i="2"/>
  <c r="F267" i="2"/>
  <c r="P267" i="2"/>
  <c r="Q67" i="2"/>
  <c r="Q104" i="2"/>
  <c r="Q221" i="2"/>
  <c r="Q225" i="2"/>
  <c r="Q251" i="2"/>
  <c r="H267" i="2"/>
  <c r="M267" i="2"/>
  <c r="Q110" i="2"/>
  <c r="Q215" i="2"/>
  <c r="Q234" i="2"/>
  <c r="Q62" i="2"/>
  <c r="Q80" i="2"/>
  <c r="Q167" i="2"/>
  <c r="G267" i="2"/>
  <c r="I267" i="2"/>
  <c r="Q25" i="2"/>
  <c r="Q29" i="2"/>
  <c r="Q143" i="2"/>
  <c r="Q236" i="2"/>
  <c r="Q245" i="2"/>
  <c r="O267" i="2"/>
  <c r="Q250" i="2"/>
  <c r="A264" i="2" l="1"/>
  <c r="A265" i="2"/>
  <c r="A261" i="2"/>
  <c r="A266" i="2" s="1"/>
  <c r="Q267" i="2"/>
  <c r="M27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Hira Zia /HMPL</author>
  </authors>
  <commentList>
    <comment ref="D54" authorId="0" shapeId="0" xr:uid="{22A94346-EB91-49F0-81FF-C47BCDF15DCC}">
      <text>
        <r>
          <rPr>
            <b/>
            <sz val="9"/>
            <color indexed="81"/>
            <rFont val="Tahoma"/>
            <family val="2"/>
          </rPr>
          <t>Units are not mentioned on bill</t>
        </r>
      </text>
    </comment>
    <comment ref="D146" authorId="0" shapeId="0" xr:uid="{3AD22409-C5EE-4803-987C-8AB8C489A1D2}">
      <text>
        <r>
          <rPr>
            <b/>
            <sz val="9"/>
            <color indexed="81"/>
            <rFont val="Tahoma"/>
            <family val="2"/>
          </rPr>
          <t>Closed at the end of APR-25</t>
        </r>
      </text>
    </comment>
    <comment ref="D190" authorId="0" shapeId="0" xr:uid="{20A071B0-17BD-426B-A995-E31DDFC5DA77}">
      <text>
        <r>
          <rPr>
            <b/>
            <sz val="9"/>
            <color indexed="81"/>
            <rFont val="Tahoma"/>
            <family val="2"/>
          </rPr>
          <t>Bill details not found</t>
        </r>
      </text>
    </comment>
  </commentList>
</comments>
</file>

<file path=xl/sharedStrings.xml><?xml version="1.0" encoding="utf-8"?>
<sst xmlns="http://schemas.openxmlformats.org/spreadsheetml/2006/main" count="1600" uniqueCount="857">
  <si>
    <t>Actual Units as per Bill History</t>
  </si>
  <si>
    <t>Sr. No.</t>
  </si>
  <si>
    <t>Shop Codes</t>
  </si>
  <si>
    <t>Shop Nme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</si>
  <si>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</si>
  <si>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</si>
  <si>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</si>
  <si>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</si>
  <si>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</si>
  <si>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</si>
  <si>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</si>
  <si>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</si>
  <si>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</si>
  <si>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</si>
  <si>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Total</t>
  </si>
  <si>
    <t>Grand Total</t>
  </si>
  <si>
    <t>Remarks</t>
  </si>
  <si>
    <t>MALL</t>
  </si>
  <si>
    <t>Mall</t>
  </si>
  <si>
    <t>CLOSED</t>
  </si>
  <si>
    <t>Closed since Nov-24</t>
  </si>
  <si>
    <t>Iqbal Town - CP</t>
  </si>
  <si>
    <t>mall</t>
  </si>
  <si>
    <t>Temporary Closed</t>
  </si>
  <si>
    <t xml:space="preserve">Closed </t>
  </si>
  <si>
    <t>May-25</t>
  </si>
  <si>
    <t>Jun-25</t>
  </si>
  <si>
    <t>Code</t>
  </si>
  <si>
    <t>Nos.</t>
  </si>
  <si>
    <t>Shop</t>
  </si>
  <si>
    <t>Anarkali-2</t>
  </si>
  <si>
    <t>Islamabad</t>
  </si>
  <si>
    <t>Defence</t>
  </si>
  <si>
    <t>Rawalpindi</t>
  </si>
  <si>
    <t>Gujrat</t>
  </si>
  <si>
    <t>Gujranwala</t>
  </si>
  <si>
    <t>Peshawar</t>
  </si>
  <si>
    <t>Abbotabad</t>
  </si>
  <si>
    <t>Iqbal Town</t>
  </si>
  <si>
    <t>Bahawalpur</t>
  </si>
  <si>
    <t>Mirpur</t>
  </si>
  <si>
    <t>Sialkot</t>
  </si>
  <si>
    <t>Sahiwal</t>
  </si>
  <si>
    <t>Baghbanpra</t>
  </si>
  <si>
    <t>Fortress</t>
  </si>
  <si>
    <t>RWP-2</t>
  </si>
  <si>
    <t>Okara CP</t>
  </si>
  <si>
    <t>Haidery-KHI</t>
  </si>
  <si>
    <t>Gulgasht-Multan</t>
  </si>
  <si>
    <t>DG-Khan</t>
  </si>
  <si>
    <t>Shahdarah</t>
  </si>
  <si>
    <t>Kharian</t>
  </si>
  <si>
    <t>Kohinoor</t>
  </si>
  <si>
    <t>Mandi Bahaudin</t>
  </si>
  <si>
    <t>Shekhupura</t>
  </si>
  <si>
    <t>Wapda Town</t>
  </si>
  <si>
    <t>Tariq Road</t>
  </si>
  <si>
    <t>Islamabad-2</t>
  </si>
  <si>
    <t>Peshwar-2</t>
  </si>
  <si>
    <t>Wah Cantt</t>
  </si>
  <si>
    <t>Milennium Mall Khi</t>
  </si>
  <si>
    <t>Sakhar</t>
  </si>
  <si>
    <t>Sialkot-2</t>
  </si>
  <si>
    <t>Gojra</t>
  </si>
  <si>
    <t>Sargodha-2</t>
  </si>
  <si>
    <t>Joharabad</t>
  </si>
  <si>
    <t>Khanewal</t>
  </si>
  <si>
    <t>Gjranwala2</t>
  </si>
  <si>
    <t>Paari Mall</t>
  </si>
  <si>
    <t>KDA Khi</t>
  </si>
  <si>
    <t>Bahawalnagar</t>
  </si>
  <si>
    <t>Mirpurkhas</t>
  </si>
  <si>
    <t>Chakwal</t>
  </si>
  <si>
    <t>DI Khan</t>
  </si>
  <si>
    <t>Hafizabad</t>
  </si>
  <si>
    <t>Muzaffarabad</t>
  </si>
  <si>
    <t>Larkana</t>
  </si>
  <si>
    <t>Kasur</t>
  </si>
  <si>
    <t>Mardan</t>
  </si>
  <si>
    <t>Mian Channu</t>
  </si>
  <si>
    <t>Iqbal Town Cut Price</t>
  </si>
  <si>
    <t>Gulshan e Ravi</t>
  </si>
  <si>
    <t>Vehari</t>
  </si>
  <si>
    <t>Islamabad Centaurus</t>
  </si>
  <si>
    <t>Tariq Road-2</t>
  </si>
  <si>
    <t>Quetta</t>
  </si>
  <si>
    <t>Liberty-3</t>
  </si>
  <si>
    <t>Gujranwala-3 Kings Mall</t>
  </si>
  <si>
    <t>Sadar Cant Lahore</t>
  </si>
  <si>
    <t>Jehlum-2</t>
  </si>
  <si>
    <t>Islamabad-4 G9 Markaz</t>
  </si>
  <si>
    <t>Rawalpindi-5</t>
  </si>
  <si>
    <t>Quetta 2</t>
  </si>
  <si>
    <t>KHI Bahadurabad</t>
  </si>
  <si>
    <t>Sawat</t>
  </si>
  <si>
    <t>Dolmen Mall KHI</t>
  </si>
  <si>
    <t>Mardan-2</t>
  </si>
  <si>
    <t>Okara-3</t>
  </si>
  <si>
    <t>Sargodha-3 CP</t>
  </si>
  <si>
    <t>WTC-Islamabad</t>
  </si>
  <si>
    <t>Mall of Hyderabad</t>
  </si>
  <si>
    <t>Lucky Mall KHI</t>
  </si>
  <si>
    <t>Nishat Mall LHR</t>
  </si>
  <si>
    <t>Shadbagh-2</t>
  </si>
  <si>
    <t>Sialkot-3</t>
  </si>
  <si>
    <t>Gulistan-e-Johar</t>
  </si>
  <si>
    <t>Sargodha-4</t>
  </si>
  <si>
    <t>Chichawatni</t>
  </si>
  <si>
    <t>Wazirabad</t>
  </si>
  <si>
    <t>DG Khan-2</t>
  </si>
  <si>
    <t>Jhang-2</t>
  </si>
  <si>
    <t>Packages Mall</t>
  </si>
  <si>
    <t>MM Alam Road</t>
  </si>
  <si>
    <t>Jaranwala</t>
  </si>
  <si>
    <t>Misqul Mall FSD</t>
  </si>
  <si>
    <t>Anarkali-2 FSD</t>
  </si>
  <si>
    <t>Satyana Road FSD</t>
  </si>
  <si>
    <t>Pearl City FSD</t>
  </si>
  <si>
    <t>Hyderabad Cantt</t>
  </si>
  <si>
    <t>Gulshan Market Multan</t>
  </si>
  <si>
    <t>BureWala-2</t>
  </si>
  <si>
    <t>Chishtian-2</t>
  </si>
  <si>
    <t>Larkana-2</t>
  </si>
  <si>
    <t>RYK-2</t>
  </si>
  <si>
    <t>Chiniot</t>
  </si>
  <si>
    <t>Haripur</t>
  </si>
  <si>
    <t>Attock</t>
  </si>
  <si>
    <t>Muzafergarh</t>
  </si>
  <si>
    <t>Stylo Daska</t>
  </si>
  <si>
    <t>Model Colony KHI</t>
  </si>
  <si>
    <t>Sony Square SKT</t>
  </si>
  <si>
    <t>Fazal Center Gujranwala</t>
  </si>
  <si>
    <t>Dina Jehlum</t>
  </si>
  <si>
    <t>Gulberg FSD</t>
  </si>
  <si>
    <t>Nawab Shah</t>
  </si>
  <si>
    <t>Mall of Defense</t>
  </si>
  <si>
    <t>PWD 2</t>
  </si>
  <si>
    <t>Lyallpur Galleria</t>
  </si>
  <si>
    <t>Haidery-KHI 2</t>
  </si>
  <si>
    <t>Khairpur</t>
  </si>
  <si>
    <t>Toba Tek Singh</t>
  </si>
  <si>
    <t>Safa Goald</t>
  </si>
  <si>
    <t>Stylo Gold Crest Mall</t>
  </si>
  <si>
    <t>Sukhur 2</t>
  </si>
  <si>
    <t>Link Road-2</t>
  </si>
  <si>
    <t>Ocean Mall</t>
  </si>
  <si>
    <t>Stylo Millennium Mall, Quetta</t>
  </si>
  <si>
    <t>Gujar Khan</t>
  </si>
  <si>
    <t>Pindi 6 saddar</t>
  </si>
  <si>
    <t>Pindi 7 OPP ghakar plaza</t>
  </si>
  <si>
    <t>Bhalwal</t>
  </si>
  <si>
    <t>Khanpur</t>
  </si>
  <si>
    <t>RYK Club Road</t>
  </si>
  <si>
    <t xml:space="preserve">Pattoki </t>
  </si>
  <si>
    <t>Pakpattan-2</t>
  </si>
  <si>
    <t>Stylo Karachi, Uni Road</t>
  </si>
  <si>
    <t>Jarawala-2</t>
  </si>
  <si>
    <t>Stylo Pattoki 2</t>
  </si>
  <si>
    <t>Tench</t>
  </si>
  <si>
    <t>Kamalia</t>
  </si>
  <si>
    <t>Mumtazabad</t>
  </si>
  <si>
    <t>Kotli</t>
  </si>
  <si>
    <t>Samanabad FSD</t>
  </si>
  <si>
    <t>Jhang Road FSD</t>
  </si>
  <si>
    <t>CS Shujabad</t>
  </si>
  <si>
    <t>GM abad</t>
  </si>
  <si>
    <t>Shakargarh</t>
  </si>
  <si>
    <t>Lodhran 2</t>
  </si>
  <si>
    <t>Northwalk Mall Khi</t>
  </si>
  <si>
    <t>Haroonabad 2</t>
  </si>
  <si>
    <t>Square One Mall KHI</t>
  </si>
  <si>
    <t>Iqbal Town Cut Price 2</t>
  </si>
  <si>
    <t>Tando Adam</t>
  </si>
  <si>
    <t>Ghotki</t>
  </si>
  <si>
    <t>Qasimabad</t>
  </si>
  <si>
    <t>Atrium Mall Karachi</t>
  </si>
  <si>
    <t>Gulshan e Maymar</t>
  </si>
  <si>
    <t>Zamzama 2 KHI</t>
  </si>
  <si>
    <t>Bannu</t>
  </si>
  <si>
    <t>Kot Radha Kishan</t>
  </si>
  <si>
    <t>Gulshan e Hadeed KHI</t>
  </si>
  <si>
    <t>Fortune Mall HYD</t>
  </si>
  <si>
    <t>Haque Center BHP</t>
  </si>
  <si>
    <t>Deepalpur</t>
  </si>
  <si>
    <t>Pasrur</t>
  </si>
  <si>
    <t>Tandlianwala</t>
  </si>
  <si>
    <t>BA Mall Quetta</t>
  </si>
  <si>
    <t>Township</t>
  </si>
  <si>
    <t>Lake City LHR</t>
  </si>
  <si>
    <t>Model Town Multan</t>
  </si>
  <si>
    <t>Amazon Mall</t>
  </si>
  <si>
    <t>Hussain Agahi Multan</t>
  </si>
  <si>
    <t>Hasilpur</t>
  </si>
  <si>
    <t>Mall of Sargodha</t>
  </si>
  <si>
    <t>Pine Square</t>
  </si>
  <si>
    <t>Malir Cantt</t>
  </si>
  <si>
    <t>Pakpattan-3</t>
  </si>
  <si>
    <t>Mall of Lahore</t>
  </si>
  <si>
    <t>Shikarpur</t>
  </si>
  <si>
    <t>Daska-2</t>
  </si>
  <si>
    <t>Liberty-4</t>
  </si>
  <si>
    <t>Haveli Lakha</t>
  </si>
  <si>
    <t>Arifwala-2</t>
  </si>
  <si>
    <t>Rasheed Abad Multan</t>
  </si>
  <si>
    <t>Sialkot Brands Village</t>
  </si>
  <si>
    <t>DPO Road Jacobabad</t>
  </si>
  <si>
    <t>Mumtazabad Galleria</t>
  </si>
  <si>
    <t>Mega Mall Khi</t>
  </si>
  <si>
    <t>Dubai Chowk Bahawalpur</t>
  </si>
  <si>
    <t>Khanewal College Road</t>
  </si>
  <si>
    <t>Hakim Mall Franchise</t>
  </si>
  <si>
    <t>Saidu Sharif</t>
  </si>
  <si>
    <t>Samundri</t>
  </si>
  <si>
    <t>Batkhela</t>
  </si>
  <si>
    <t>Gulzar-e-Quaid RWP</t>
  </si>
  <si>
    <t>Gulzar E Quaid RWP</t>
  </si>
  <si>
    <t>Shahkot</t>
  </si>
  <si>
    <t>Bagh</t>
  </si>
  <si>
    <t>Square One Mall</t>
  </si>
  <si>
    <t>CS Link Road</t>
  </si>
  <si>
    <t>CS Faisalabad</t>
  </si>
  <si>
    <t>CS Multan</t>
  </si>
  <si>
    <t>CS Gujrat</t>
  </si>
  <si>
    <t>CS Hyderabad</t>
  </si>
  <si>
    <t>CS Bahawalpur</t>
  </si>
  <si>
    <t>CS Abbotabad</t>
  </si>
  <si>
    <t>CS Peshawar</t>
  </si>
  <si>
    <t>CS Gujranwala</t>
  </si>
  <si>
    <t>CS Sahiwal</t>
  </si>
  <si>
    <t>CS PWD</t>
  </si>
  <si>
    <t>CS Gujrawala Bye Pass</t>
  </si>
  <si>
    <t>CS Swabi</t>
  </si>
  <si>
    <t>CS Shalimar Link Rd</t>
  </si>
  <si>
    <t>CS Vehari</t>
  </si>
  <si>
    <t>CS Chakwal</t>
  </si>
  <si>
    <t>CS Khayaban-e-Ittehad</t>
  </si>
  <si>
    <t>CS Islamabad F-10</t>
  </si>
  <si>
    <t>CS Kohat</t>
  </si>
  <si>
    <t>CS Swat</t>
  </si>
  <si>
    <t>CS Fateh Garh LHR</t>
  </si>
  <si>
    <t>CS Sheikhupura</t>
  </si>
  <si>
    <t>CS Sialkot</t>
  </si>
  <si>
    <t>CS GT Road Gujrat</t>
  </si>
  <si>
    <t>CS Wah Cantt GT Rd</t>
  </si>
  <si>
    <t>CS Muzaffarabad</t>
  </si>
  <si>
    <t>CS Jhang</t>
  </si>
  <si>
    <t>CS Mian Channu - College Road</t>
  </si>
  <si>
    <t>CS Rawalakot</t>
  </si>
  <si>
    <t>CS Mianwali</t>
  </si>
  <si>
    <t>CS Chistian</t>
  </si>
  <si>
    <t>CS Kasur</t>
  </si>
  <si>
    <t>CS Bahria Town LHR</t>
  </si>
  <si>
    <t>CS Multan Cantt</t>
  </si>
  <si>
    <t>CS Gojra</t>
  </si>
  <si>
    <t>CS Johar Town LHR</t>
  </si>
  <si>
    <t>CS EME Canal Rd LHR</t>
  </si>
  <si>
    <t>CS Abbottabad 2</t>
  </si>
  <si>
    <t>CS Mirpurkhas</t>
  </si>
  <si>
    <t>CS Sadiqabad</t>
  </si>
  <si>
    <t>CS Mandi Bahauddin</t>
  </si>
  <si>
    <t>CS Mirpur AJK</t>
  </si>
  <si>
    <t>CS Okara</t>
  </si>
  <si>
    <t>CS Sargodha</t>
  </si>
  <si>
    <t>CS Mansehra</t>
  </si>
  <si>
    <t>CS Peshawar Saddar</t>
  </si>
  <si>
    <t>CS Bahawalnagar</t>
  </si>
  <si>
    <t>CS Attock</t>
  </si>
  <si>
    <t>CS Joharabad</t>
  </si>
  <si>
    <t>CS Narowal</t>
  </si>
  <si>
    <t>CS High Street Sahiwal</t>
  </si>
  <si>
    <t>CS Bank Road Rawalpindi</t>
  </si>
  <si>
    <t>CS Bahria Town Rawalpindi</t>
  </si>
  <si>
    <t>CS Wah Cantt Minar Road</t>
  </si>
  <si>
    <t>CS Mianwali Hospital Road</t>
  </si>
  <si>
    <t>CS Central Park</t>
  </si>
  <si>
    <t>CS Manawan</t>
  </si>
  <si>
    <t>Dolmen Mall LHR</t>
  </si>
  <si>
    <t>Nishtar Chowk Multan</t>
  </si>
  <si>
    <t>Gajju Matta Lahore</t>
  </si>
  <si>
    <t>Mall of Wah</t>
  </si>
  <si>
    <t>Burewala Canal Road</t>
  </si>
  <si>
    <t>University Road Peshawar</t>
  </si>
  <si>
    <t>Bedian Road</t>
  </si>
  <si>
    <t>Raja Bazar Rawalpindi</t>
  </si>
  <si>
    <t>Talagang</t>
  </si>
  <si>
    <t>Consumer ID</t>
  </si>
  <si>
    <t>1085800</t>
  </si>
  <si>
    <t>1002061</t>
  </si>
  <si>
    <t>1085797</t>
  </si>
  <si>
    <t>2140001432/14012584532</t>
  </si>
  <si>
    <t>2140001431/14012584531</t>
  </si>
  <si>
    <t>2140020623/14012600823</t>
  </si>
  <si>
    <t>2120073344/12030863120</t>
  </si>
  <si>
    <t>2120073348/12030863124</t>
  </si>
  <si>
    <t>2120037894/12011257203</t>
  </si>
  <si>
    <t>2260008871/26010984936</t>
  </si>
  <si>
    <t>2260008872/26010984937</t>
  </si>
  <si>
    <t>2260025181</t>
  </si>
  <si>
    <t>2150057307/15045771799</t>
  </si>
  <si>
    <t>2120098381/12040632080</t>
  </si>
  <si>
    <t>2150086930/15057893175</t>
  </si>
  <si>
    <t>2140014704/14012595648</t>
  </si>
  <si>
    <t>2140042278</t>
  </si>
  <si>
    <t>2140014703</t>
  </si>
  <si>
    <t>LB077728</t>
  </si>
  <si>
    <t>2150009063/15014353365</t>
  </si>
  <si>
    <t>2150132097/15029138538</t>
  </si>
  <si>
    <t>2120081235/12030867545</t>
  </si>
  <si>
    <t>2120075244/12030864723</t>
  </si>
  <si>
    <t>LB064063</t>
  </si>
  <si>
    <t>LB064062</t>
  </si>
  <si>
    <t>LB064061</t>
  </si>
  <si>
    <t>LB064060</t>
  </si>
  <si>
    <t>LB064064</t>
  </si>
  <si>
    <t>2140005186/14012587697</t>
  </si>
  <si>
    <t>2140005185/14012587696</t>
  </si>
  <si>
    <t>2140040615/14012617262</t>
  </si>
  <si>
    <t>2380012901/38010480814</t>
  </si>
  <si>
    <t>2120091396/12040626438</t>
  </si>
  <si>
    <t>2130061387/13031059373</t>
  </si>
  <si>
    <t>2130090977/13040994619</t>
  </si>
  <si>
    <t>2130094848/13040997462</t>
  </si>
  <si>
    <t>2150021453/15014639960</t>
  </si>
  <si>
    <t>2120023753/12011246279</t>
  </si>
  <si>
    <t>LB134299</t>
  </si>
  <si>
    <t>LB134308</t>
  </si>
  <si>
    <t>LB134295</t>
  </si>
  <si>
    <t>LB134201</t>
  </si>
  <si>
    <t>LB134200</t>
  </si>
  <si>
    <t>LB134207</t>
  </si>
  <si>
    <t>LB134298</t>
  </si>
  <si>
    <t>LB134300</t>
  </si>
  <si>
    <t>LB134309</t>
  </si>
  <si>
    <t>LB134247</t>
  </si>
  <si>
    <t>AM063978</t>
  </si>
  <si>
    <t>2150081121/15057887447</t>
  </si>
  <si>
    <t>2370012241/37010716480</t>
  </si>
  <si>
    <t>2140030558/14012608758</t>
  </si>
  <si>
    <t>2140030557/14012608757</t>
  </si>
  <si>
    <t>1262765079</t>
  </si>
  <si>
    <t>2120035190/12011255328</t>
  </si>
  <si>
    <t>2150047849/15015493626</t>
  </si>
  <si>
    <t>2150018081/15014605400</t>
  </si>
  <si>
    <t>BL004500</t>
  </si>
  <si>
    <t>2480006096/48010582166</t>
  </si>
  <si>
    <t>2120039966/12011244114</t>
  </si>
  <si>
    <t>2140027975/14012606437</t>
  </si>
  <si>
    <t>2140005854/14012588283</t>
  </si>
  <si>
    <t>1140165831/14010930154</t>
  </si>
  <si>
    <t>2140035594/14012612974</t>
  </si>
  <si>
    <t>2480004319/48010580531</t>
  </si>
  <si>
    <t>LA069406</t>
  </si>
  <si>
    <t>LA069423</t>
  </si>
  <si>
    <t>LA069407</t>
  </si>
  <si>
    <t>2260048281/26050593861</t>
  </si>
  <si>
    <t>2260029603/26030501031</t>
  </si>
  <si>
    <t>2130088370/13040992479</t>
  </si>
  <si>
    <t>LB338021</t>
  </si>
  <si>
    <t>LB338020</t>
  </si>
  <si>
    <t>2150080476/15057886449</t>
  </si>
  <si>
    <t>2120045328/12011308169</t>
  </si>
  <si>
    <t>2150158317/15021145216</t>
  </si>
  <si>
    <t>2130055939/13031058585</t>
  </si>
  <si>
    <t>2130011641/13011664482</t>
  </si>
  <si>
    <t>2130007178/13011944235</t>
  </si>
  <si>
    <t>2130000017/13011656936</t>
  </si>
  <si>
    <t>2130028053/13011664758</t>
  </si>
  <si>
    <t>2370003183/37010708649</t>
  </si>
  <si>
    <t>1150573618</t>
  </si>
  <si>
    <t>1150573615/15014340454</t>
  </si>
  <si>
    <t>2150020032/15014640503</t>
  </si>
  <si>
    <t>2150126668/15058920849</t>
  </si>
  <si>
    <t>1153149793</t>
  </si>
  <si>
    <t>2380002959/38020226271</t>
  </si>
  <si>
    <t>1380047259</t>
  </si>
  <si>
    <t>1380047260</t>
  </si>
  <si>
    <t>1154582251/15068697845</t>
  </si>
  <si>
    <t>2130015251/13011722444</t>
  </si>
  <si>
    <t>2260023276/26040604910</t>
  </si>
  <si>
    <t>2140011995/14012836768</t>
  </si>
  <si>
    <t>1140879022</t>
  </si>
  <si>
    <t>1140879023</t>
  </si>
  <si>
    <t>1156314945/15021065367</t>
  </si>
  <si>
    <t>2120040936/12011405038</t>
  </si>
  <si>
    <t>AL773076</t>
  </si>
  <si>
    <t>AL773080</t>
  </si>
  <si>
    <t>AL773079</t>
  </si>
  <si>
    <t>2120091486/12040688095</t>
  </si>
  <si>
    <t>2120091484/12040688094</t>
  </si>
  <si>
    <t>2120091485/12040688087</t>
  </si>
  <si>
    <t>2140028737/14012846289</t>
  </si>
  <si>
    <t>2130129613/13012560006</t>
  </si>
  <si>
    <t>2130129614/13012560007</t>
  </si>
  <si>
    <t>2370041610/37031096232</t>
  </si>
  <si>
    <t>2140021739/14012784685</t>
  </si>
  <si>
    <t>2140021740/14012784686</t>
  </si>
  <si>
    <t>BL009147</t>
  </si>
  <si>
    <t>1380459784/38010338837</t>
  </si>
  <si>
    <t>2130131287/13032619153</t>
  </si>
  <si>
    <t>2130240181/13032965584</t>
  </si>
  <si>
    <t>2130140282/13032965585</t>
  </si>
  <si>
    <t>1380516181/38010426437</t>
  </si>
  <si>
    <t>48010659015/2480005363/</t>
  </si>
  <si>
    <t>2140028800/14013093555</t>
  </si>
  <si>
    <t>2140020237/14012600462</t>
  </si>
  <si>
    <t>2140020238/14012600463</t>
  </si>
  <si>
    <t>2140043759/14012619775</t>
  </si>
  <si>
    <t>2130092764/13041208010</t>
  </si>
  <si>
    <t>2150245131/15061289557</t>
  </si>
  <si>
    <t>2150115275/15068886097</t>
  </si>
  <si>
    <t>2150080143/15057886278</t>
  </si>
  <si>
    <t>LB465469</t>
  </si>
  <si>
    <t>LB465464</t>
  </si>
  <si>
    <t>2130127458/13012472223</t>
  </si>
  <si>
    <t>2130124428/13032367065</t>
  </si>
  <si>
    <t>2150109876/15017930927</t>
  </si>
  <si>
    <t>2130123078/13012346445</t>
  </si>
  <si>
    <t>2150017093/15014606636</t>
  </si>
  <si>
    <t>2130125367/13012394373</t>
  </si>
  <si>
    <t>2120133883/12052054854</t>
  </si>
  <si>
    <t>1156805034/15041132022</t>
  </si>
  <si>
    <t>2370048368/37031191377</t>
  </si>
  <si>
    <t>2380013464/38010481436</t>
  </si>
  <si>
    <t>LB314909</t>
  </si>
  <si>
    <t>LA342547</t>
  </si>
  <si>
    <t>LA342550</t>
  </si>
  <si>
    <t>LA342552</t>
  </si>
  <si>
    <t>LA342551</t>
  </si>
  <si>
    <t>2260038811/26060460264</t>
  </si>
  <si>
    <t>BL006798</t>
  </si>
  <si>
    <t>2150061151/15045775719</t>
  </si>
  <si>
    <t>2120132659/12042012425</t>
  </si>
  <si>
    <t>2130031619/13011980208</t>
  </si>
  <si>
    <t>2120141708/12012373859</t>
  </si>
  <si>
    <t>2120141710/12012373861</t>
  </si>
  <si>
    <t>2120141709/12012373860</t>
  </si>
  <si>
    <t>2150275266/15011367743</t>
  </si>
  <si>
    <t>2380044606/38020582763</t>
  </si>
  <si>
    <t>2150274380/15011365910</t>
  </si>
  <si>
    <t>2150261107/15041323456</t>
  </si>
  <si>
    <t>1263289742</t>
  </si>
  <si>
    <t>2130026316/13010837660</t>
  </si>
  <si>
    <t>2260067554/26055533042</t>
  </si>
  <si>
    <t>2140063525/14013547938</t>
  </si>
  <si>
    <t>8028556</t>
  </si>
  <si>
    <t>2150009174/15014356078</t>
  </si>
  <si>
    <t>2120081964/12030868857</t>
  </si>
  <si>
    <t>1370615701/37010601577</t>
  </si>
  <si>
    <t>2150195718/15041205384</t>
  </si>
  <si>
    <t>2260027079/26041149180</t>
  </si>
  <si>
    <t>2260002966/26010979378</t>
  </si>
  <si>
    <t>2120011480/12011236279</t>
  </si>
  <si>
    <t>2120011479/12011236278</t>
  </si>
  <si>
    <t>1142105005/1401256830</t>
  </si>
  <si>
    <t>2120039257/12011534298</t>
  </si>
  <si>
    <t>2260062109/26035389041</t>
  </si>
  <si>
    <t>2140060022/14013410303</t>
  </si>
  <si>
    <t>LB251259</t>
  </si>
  <si>
    <t>LB251258</t>
  </si>
  <si>
    <t>LB251260</t>
  </si>
  <si>
    <t>1140398161/14012223912</t>
  </si>
  <si>
    <t>1140398162/14012223913</t>
  </si>
  <si>
    <t>2260066458/26015504622</t>
  </si>
  <si>
    <t>2120106090/12040814446</t>
  </si>
  <si>
    <t>2120135180/12032094364</t>
  </si>
  <si>
    <t>2130058254/13031011902</t>
  </si>
  <si>
    <t>2130058255/13030589223</t>
  </si>
  <si>
    <t>2130099072/13041239943</t>
  </si>
  <si>
    <t>2130099073/13041239944</t>
  </si>
  <si>
    <t>2130140986 /13033014930</t>
  </si>
  <si>
    <t>2130140985 /13033014929</t>
  </si>
  <si>
    <t>2260070181 / 26045617386</t>
  </si>
  <si>
    <t>2370002854/37010708332</t>
  </si>
  <si>
    <t>2120135244/12032097070</t>
  </si>
  <si>
    <t>2120135242/12032097068</t>
  </si>
  <si>
    <t>2130131256/13042618297</t>
  </si>
  <si>
    <t>2130144705/13043203143</t>
  </si>
  <si>
    <t>2260008929/26010984992</t>
  </si>
  <si>
    <t>2260008925/26010984988</t>
  </si>
  <si>
    <t>2150246408/15051291583</t>
  </si>
  <si>
    <t>2150246407/15051291583</t>
  </si>
  <si>
    <t>2150246403/15051291583</t>
  </si>
  <si>
    <t>2130086978/13040991568</t>
  </si>
  <si>
    <t>2120141509/12052360866</t>
  </si>
  <si>
    <t>2130139683/13042949667</t>
  </si>
  <si>
    <t>Reference Number</t>
  </si>
  <si>
    <t>03113310353200U</t>
  </si>
  <si>
    <t>27113310346700U</t>
  </si>
  <si>
    <t>03113310353100U</t>
  </si>
  <si>
    <t>03113310352900U</t>
  </si>
  <si>
    <t>24141120928200U</t>
  </si>
  <si>
    <t>24141120928100U</t>
  </si>
  <si>
    <t>24115239019700U</t>
  </si>
  <si>
    <t>24146116305000U</t>
  </si>
  <si>
    <t>24123151568800U</t>
  </si>
  <si>
    <t>24123151569300U</t>
  </si>
  <si>
    <t>15121211334600U</t>
  </si>
  <si>
    <t>15121211336200U</t>
  </si>
  <si>
    <t>15121211336100U</t>
  </si>
  <si>
    <t>30121211334800U</t>
  </si>
  <si>
    <t>41261310848700U</t>
  </si>
  <si>
    <t>41261310848701U</t>
  </si>
  <si>
    <t>30264760070648U</t>
  </si>
  <si>
    <t>24112319088002U</t>
  </si>
  <si>
    <t>28154110009001U</t>
  </si>
  <si>
    <t>017213202020049627</t>
  </si>
  <si>
    <t>30124341200302R</t>
  </si>
  <si>
    <t>28155520904202U</t>
  </si>
  <si>
    <t>24113540354901U</t>
  </si>
  <si>
    <t>24143124517600U</t>
  </si>
  <si>
    <t>28143124090400U</t>
  </si>
  <si>
    <t>24143124517500U</t>
  </si>
  <si>
    <t>44114120346603U</t>
  </si>
  <si>
    <t>0400000651433</t>
  </si>
  <si>
    <t>27151710435902U</t>
  </si>
  <si>
    <t>28152242051900U</t>
  </si>
  <si>
    <t>14152240868800U</t>
  </si>
  <si>
    <t>14152240877300U</t>
  </si>
  <si>
    <t>27111230850522U</t>
  </si>
  <si>
    <t>30123610069702U</t>
  </si>
  <si>
    <t>24126111210100U</t>
  </si>
  <si>
    <t>44116230322203U</t>
  </si>
  <si>
    <t>44116230322301U</t>
  </si>
  <si>
    <t>44112724445800U</t>
  </si>
  <si>
    <t>44112724445700U</t>
  </si>
  <si>
    <t>44112724446000U</t>
  </si>
  <si>
    <t>0400009346323</t>
  </si>
  <si>
    <t>0400009346234</t>
  </si>
  <si>
    <t>0400009346188</t>
  </si>
  <si>
    <t>0400009346080</t>
  </si>
  <si>
    <t>0400009346366</t>
  </si>
  <si>
    <t>24141221602800U</t>
  </si>
  <si>
    <t>24141221602700U</t>
  </si>
  <si>
    <t>30261330038662U</t>
  </si>
  <si>
    <t>28142162809400U</t>
  </si>
  <si>
    <t>24381120422101U</t>
  </si>
  <si>
    <t>27124121228701U</t>
  </si>
  <si>
    <t>27136315103691U</t>
  </si>
  <si>
    <t>27134235338800U</t>
  </si>
  <si>
    <t>27134415169700R</t>
  </si>
  <si>
    <t>09159111000101U</t>
  </si>
  <si>
    <t>09159111009200U</t>
  </si>
  <si>
    <t>28159111009104U</t>
  </si>
  <si>
    <t>30122111250707U</t>
  </si>
  <si>
    <t>0400000921252</t>
  </si>
  <si>
    <t>0400000925185</t>
  </si>
  <si>
    <t>0400000920140</t>
  </si>
  <si>
    <t>0400000888174</t>
  </si>
  <si>
    <t>0400000888034</t>
  </si>
  <si>
    <t>0400000890136</t>
  </si>
  <si>
    <t>0400000920906</t>
  </si>
  <si>
    <t>0400000921554</t>
  </si>
  <si>
    <t>0400000925347</t>
  </si>
  <si>
    <t>0400000904102</t>
  </si>
  <si>
    <t>0400031340541</t>
  </si>
  <si>
    <t>28158111149904U</t>
  </si>
  <si>
    <t>27374110931701U</t>
  </si>
  <si>
    <t>24145259289400U</t>
  </si>
  <si>
    <t>24145259289300U</t>
  </si>
  <si>
    <t>30269310520629U</t>
  </si>
  <si>
    <t>27122452195000U</t>
  </si>
  <si>
    <t>247113103010284107R</t>
  </si>
  <si>
    <t>06382210022460U</t>
  </si>
  <si>
    <t>44117130396001U</t>
  </si>
  <si>
    <t>16263110543000U</t>
  </si>
  <si>
    <t>27159310756320U</t>
  </si>
  <si>
    <t>24112310184230U</t>
  </si>
  <si>
    <t>44111120626801U</t>
  </si>
  <si>
    <t>44111120626901U</t>
  </si>
  <si>
    <t>28153110220303U</t>
  </si>
  <si>
    <t>28153110412805R</t>
  </si>
  <si>
    <t>0400013963256</t>
  </si>
  <si>
    <t>24481241191502U</t>
  </si>
  <si>
    <t>24115169036400U</t>
  </si>
  <si>
    <t>27121361932413U</t>
  </si>
  <si>
    <t>03115420520602U</t>
  </si>
  <si>
    <t>03115420520600U</t>
  </si>
  <si>
    <t>03115420520700U</t>
  </si>
  <si>
    <t>24144168425300U</t>
  </si>
  <si>
    <t>24141231777600U</t>
  </si>
  <si>
    <t>24141231777001U</t>
  </si>
  <si>
    <t>27141231641302U</t>
  </si>
  <si>
    <t>27146115605900U</t>
  </si>
  <si>
    <t>27481120482901U</t>
  </si>
  <si>
    <t>0400010433450</t>
  </si>
  <si>
    <t>0400010444363</t>
  </si>
  <si>
    <t>0400010433582</t>
  </si>
  <si>
    <t>41265220023054R</t>
  </si>
  <si>
    <t>30263110082627U</t>
  </si>
  <si>
    <t>24114120385101U</t>
  </si>
  <si>
    <t>27134110185302U</t>
  </si>
  <si>
    <t>44112731220371U</t>
  </si>
  <si>
    <t>24111540004208U</t>
  </si>
  <si>
    <t>0400026312707</t>
  </si>
  <si>
    <t>0400026312696</t>
  </si>
  <si>
    <t>01134110184000U</t>
  </si>
  <si>
    <t>01134110183800U</t>
  </si>
  <si>
    <t>01134110183900U</t>
  </si>
  <si>
    <t>27155410485102U</t>
  </si>
  <si>
    <t>30122352129706U</t>
  </si>
  <si>
    <t>28152242061404U</t>
  </si>
  <si>
    <t>15152241047001U</t>
  </si>
  <si>
    <t>24133115200307U</t>
  </si>
  <si>
    <t>44115161625300U</t>
  </si>
  <si>
    <t>27131416100545U</t>
  </si>
  <si>
    <t>27131826696968U</t>
  </si>
  <si>
    <t>24131215101110U</t>
  </si>
  <si>
    <t>27132416109275U</t>
  </si>
  <si>
    <t>24131285802931U</t>
  </si>
  <si>
    <t>27371110523600U</t>
  </si>
  <si>
    <t>17151911574409U</t>
  </si>
  <si>
    <t>27151911793114U</t>
  </si>
  <si>
    <t>28153310000298U</t>
  </si>
  <si>
    <t>28158310079702U</t>
  </si>
  <si>
    <t>15158310077101U</t>
  </si>
  <si>
    <t>27382210019770U</t>
  </si>
  <si>
    <t>05382210019740U</t>
  </si>
  <si>
    <t>05382210019750U</t>
  </si>
  <si>
    <t>28156110477300U</t>
  </si>
  <si>
    <t>27131623081209U</t>
  </si>
  <si>
    <t>41264111794902U</t>
  </si>
  <si>
    <t>24142453675201U</t>
  </si>
  <si>
    <t>10142451615500U</t>
  </si>
  <si>
    <t>24142453675202U</t>
  </si>
  <si>
    <t>28157111162205U</t>
  </si>
  <si>
    <t>30122221530801U</t>
  </si>
  <si>
    <t>0400015436695</t>
  </si>
  <si>
    <t>0400015436997</t>
  </si>
  <si>
    <t>0400015436784</t>
  </si>
  <si>
    <t>24124121344804U</t>
  </si>
  <si>
    <t>27124121344802U</t>
  </si>
  <si>
    <t>24124121344803U</t>
  </si>
  <si>
    <t>27124121344804U</t>
  </si>
  <si>
    <t>27124121344803U</t>
  </si>
  <si>
    <t>24144268687403U</t>
  </si>
  <si>
    <t>27132266609965U</t>
  </si>
  <si>
    <t>27132266609969U</t>
  </si>
  <si>
    <t>27373130230103U</t>
  </si>
  <si>
    <t>24146146785204U</t>
  </si>
  <si>
    <t>24146146785205U</t>
  </si>
  <si>
    <t>0400038183034</t>
  </si>
  <si>
    <t>27381310754401U</t>
  </si>
  <si>
    <t>27136113213810U</t>
  </si>
  <si>
    <t>27136113213811U</t>
  </si>
  <si>
    <t>27136113213812U</t>
  </si>
  <si>
    <t>24381151026202U</t>
  </si>
  <si>
    <t>24115131010713U</t>
  </si>
  <si>
    <t>27481210905536U</t>
  </si>
  <si>
    <t>24144318711701R</t>
  </si>
  <si>
    <t>24144310860310U</t>
  </si>
  <si>
    <t>24144318723301U</t>
  </si>
  <si>
    <t>24146116270300U</t>
  </si>
  <si>
    <t>24146116270400U</t>
  </si>
  <si>
    <t>28146115486801U</t>
  </si>
  <si>
    <t>27134311423205U</t>
  </si>
  <si>
    <t>28156210792706U</t>
  </si>
  <si>
    <t>28156110519602U</t>
  </si>
  <si>
    <t>44117440960302U</t>
  </si>
  <si>
    <t>27155221701900U</t>
  </si>
  <si>
    <t>0400034799200</t>
  </si>
  <si>
    <t>0400034799227</t>
  </si>
  <si>
    <t>27131416102018U</t>
  </si>
  <si>
    <t>24117449005000U</t>
  </si>
  <si>
    <t>11143521999600U</t>
  </si>
  <si>
    <t>11143521999500U</t>
  </si>
  <si>
    <t>24143527144101U</t>
  </si>
  <si>
    <t>27136212522671U</t>
  </si>
  <si>
    <t>28151211499302U</t>
  </si>
  <si>
    <t>247222207010126890R</t>
  </si>
  <si>
    <t>24132115105021U</t>
  </si>
  <si>
    <t>28151610051400U</t>
  </si>
  <si>
    <t>27132266638005U</t>
  </si>
  <si>
    <t>27125310070301U</t>
  </si>
  <si>
    <t>28154210772129U</t>
  </si>
  <si>
    <t>16158210388400U</t>
  </si>
  <si>
    <t>16158210388500U</t>
  </si>
  <si>
    <t>16158210389301U</t>
  </si>
  <si>
    <t>44112310059832U</t>
  </si>
  <si>
    <t>44112310059830U</t>
  </si>
  <si>
    <t>27373310727608U</t>
  </si>
  <si>
    <t>24384120123100U</t>
  </si>
  <si>
    <t>18371811240706U</t>
  </si>
  <si>
    <t>18371811240707U</t>
  </si>
  <si>
    <t>0400025288414</t>
  </si>
  <si>
    <t>0400001805361</t>
  </si>
  <si>
    <t>0400001805922</t>
  </si>
  <si>
    <t>0400001806357</t>
  </si>
  <si>
    <t>0400001806139</t>
  </si>
  <si>
    <t>30266111342102U</t>
  </si>
  <si>
    <t>46117521234903U</t>
  </si>
  <si>
    <t>0400040468801</t>
  </si>
  <si>
    <t>28154110613500U</t>
  </si>
  <si>
    <t>02114510180401U</t>
  </si>
  <si>
    <t>02114510180607U</t>
  </si>
  <si>
    <t>02114510180801U</t>
  </si>
  <si>
    <t>44114510179804U</t>
  </si>
  <si>
    <t>27124411003606R</t>
  </si>
  <si>
    <t>01124411003603R</t>
  </si>
  <si>
    <t>27132516107215U</t>
  </si>
  <si>
    <t>24112169153007U</t>
  </si>
  <si>
    <t>28151750589305U</t>
  </si>
  <si>
    <t>28151721245200U</t>
  </si>
  <si>
    <t>28151723626601U</t>
  </si>
  <si>
    <t>28154520027803U</t>
  </si>
  <si>
    <t>28154520027802U</t>
  </si>
  <si>
    <t>44112240292930U</t>
  </si>
  <si>
    <t>28155250888102U</t>
  </si>
  <si>
    <t>05385110016576U</t>
  </si>
  <si>
    <t>27122221755302U</t>
  </si>
  <si>
    <t>27122221755306U</t>
  </si>
  <si>
    <t>27122221755301U</t>
  </si>
  <si>
    <t>44115161306700U</t>
  </si>
  <si>
    <t>44114540070104U</t>
  </si>
  <si>
    <t>28155310187700U</t>
  </si>
  <si>
    <t>28151733495000U</t>
  </si>
  <si>
    <t>27385210013972U</t>
  </si>
  <si>
    <t>28151251327111U</t>
  </si>
  <si>
    <t>28154410509017U</t>
  </si>
  <si>
    <t>28159120347610R</t>
  </si>
  <si>
    <t>05265210069040U</t>
  </si>
  <si>
    <t>27132316132151U</t>
  </si>
  <si>
    <t>30265170000665R</t>
  </si>
  <si>
    <t>24143174993002U</t>
  </si>
  <si>
    <t>24143174992900U</t>
  </si>
  <si>
    <t>44118210126902U</t>
  </si>
  <si>
    <t>017121102010191838</t>
  </si>
  <si>
    <t>017121102010234024</t>
  </si>
  <si>
    <t>017121102010216713</t>
  </si>
  <si>
    <t>24142133073112U</t>
  </si>
  <si>
    <t>24115131009304U</t>
  </si>
  <si>
    <t>27151715509001U</t>
  </si>
  <si>
    <t>30123151090201U</t>
  </si>
  <si>
    <t>27371241815900U</t>
  </si>
  <si>
    <t>28154430118503U</t>
  </si>
  <si>
    <t>30264760088318U</t>
  </si>
  <si>
    <t>30261330024100U</t>
  </si>
  <si>
    <t>24121211088106U</t>
  </si>
  <si>
    <t>24121211088105U</t>
  </si>
  <si>
    <t>27155140209504U</t>
  </si>
  <si>
    <t>28146145825805U</t>
  </si>
  <si>
    <t>24146146797012U</t>
  </si>
  <si>
    <t>27121332294512U</t>
  </si>
  <si>
    <t>30268110000716U</t>
  </si>
  <si>
    <t>44113430833408U</t>
  </si>
  <si>
    <t>28153120039524R</t>
  </si>
  <si>
    <t>24145289447810R</t>
  </si>
  <si>
    <t>0400014045037</t>
  </si>
  <si>
    <t>0400014045021</t>
  </si>
  <si>
    <t>0400014045048</t>
  </si>
  <si>
    <t>24141221607002U</t>
  </si>
  <si>
    <t>14141221301600U</t>
  </si>
  <si>
    <t>24141221607001U</t>
  </si>
  <si>
    <t>30262410132080U</t>
  </si>
  <si>
    <t>42265220023300R</t>
  </si>
  <si>
    <t>01113450020600U</t>
  </si>
  <si>
    <t>01113450020500U</t>
  </si>
  <si>
    <t>24113450020504U</t>
  </si>
  <si>
    <t>24116232055809U</t>
  </si>
  <si>
    <t>30124331421401U</t>
  </si>
  <si>
    <t>27123230396301U</t>
  </si>
  <si>
    <t>05142161784600U</t>
  </si>
  <si>
    <t>307113104030334201U</t>
  </si>
  <si>
    <t>27133112730000U</t>
  </si>
  <si>
    <t>27133112730001U</t>
  </si>
  <si>
    <t>28159310113501U</t>
  </si>
  <si>
    <t>307125305010004413U</t>
  </si>
  <si>
    <t>27135115104306U</t>
  </si>
  <si>
    <t>27135115104307U</t>
  </si>
  <si>
    <t>27158310237001U</t>
  </si>
  <si>
    <t>24117111830308U</t>
  </si>
  <si>
    <t>44117111831100U</t>
  </si>
  <si>
    <t>11117111831700U</t>
  </si>
  <si>
    <t>27151111849300U</t>
  </si>
  <si>
    <t>27136315104042U</t>
  </si>
  <si>
    <t>27136315104043U</t>
  </si>
  <si>
    <t>10112711020404U</t>
  </si>
  <si>
    <t>24112719013205U</t>
  </si>
  <si>
    <t>24112639915509U</t>
  </si>
  <si>
    <t>30264711707121U</t>
  </si>
  <si>
    <t>24374130091960U</t>
  </si>
  <si>
    <t>28156410666709U</t>
  </si>
  <si>
    <t>24126110765503R</t>
  </si>
  <si>
    <t>24126110765504R</t>
  </si>
  <si>
    <t>27126110765503R</t>
  </si>
  <si>
    <t>27126110765504R</t>
  </si>
  <si>
    <t>247213205020269509U</t>
  </si>
  <si>
    <t>44114310326207U</t>
  </si>
  <si>
    <t>44114310326218U</t>
  </si>
  <si>
    <t>44114310326208U</t>
  </si>
  <si>
    <t>24134235344212U</t>
  </si>
  <si>
    <t>24134235318303U</t>
  </si>
  <si>
    <t>30267110127023U</t>
  </si>
  <si>
    <t>41261310876700U</t>
  </si>
  <si>
    <t>41261310875200U</t>
  </si>
  <si>
    <t>28158110181704U</t>
  </si>
  <si>
    <t>28158110181705U</t>
  </si>
  <si>
    <t>28158110181706U</t>
  </si>
  <si>
    <t>28142453274001U</t>
  </si>
  <si>
    <t>24142453680904U</t>
  </si>
  <si>
    <t>27134415174108U</t>
  </si>
  <si>
    <t>27125110956015U</t>
  </si>
  <si>
    <t>27155510662000U</t>
  </si>
  <si>
    <t>27155510666200U</t>
  </si>
  <si>
    <t>28146115482200U</t>
  </si>
  <si>
    <t>24142163223505U</t>
  </si>
  <si>
    <t>27135115145607U</t>
  </si>
  <si>
    <t>44115351916400U</t>
  </si>
  <si>
    <t>44115351916401U</t>
  </si>
  <si>
    <t>24113129001405U</t>
  </si>
  <si>
    <t>06264711707100U</t>
  </si>
  <si>
    <t>28151110817108U</t>
  </si>
  <si>
    <t>30261340059963U</t>
  </si>
  <si>
    <t>44115641029006U</t>
  </si>
  <si>
    <t>44115640834202U</t>
  </si>
  <si>
    <t>24143235339900U</t>
  </si>
  <si>
    <t>24145138923301R</t>
  </si>
  <si>
    <t>Company</t>
  </si>
  <si>
    <t>LESCO</t>
  </si>
  <si>
    <t>IESCO</t>
  </si>
  <si>
    <t>GEPCO</t>
  </si>
  <si>
    <t>PESCO</t>
  </si>
  <si>
    <t>MEPCO</t>
  </si>
  <si>
    <t>AJKED</t>
  </si>
  <si>
    <t>Mall Bill</t>
  </si>
  <si>
    <t>K-ELECTRIC</t>
  </si>
  <si>
    <t>SEPCO</t>
  </si>
  <si>
    <t>FESCO</t>
  </si>
  <si>
    <t>HESCO</t>
  </si>
  <si>
    <t>QESCO</t>
  </si>
  <si>
    <t>K-Electric</t>
  </si>
  <si>
    <t>Closed</t>
  </si>
  <si>
    <t>Mall Of Rawalpindi Site</t>
  </si>
  <si>
    <t>Raja Bazar Rawalpindi Site</t>
  </si>
  <si>
    <t>Talagang Site</t>
  </si>
  <si>
    <t>seems ok</t>
  </si>
  <si>
    <t>may june double consumption compared to last years may june</t>
  </si>
  <si>
    <t>1002-2 bill has multiple 0 units readings, the march unit is an anomaly</t>
  </si>
  <si>
    <t>Mall no bill avalable</t>
  </si>
  <si>
    <t>double usage in june compared to last year</t>
  </si>
  <si>
    <t>units not showing on bill</t>
  </si>
  <si>
    <t>large increase in useage</t>
  </si>
  <si>
    <t>significant increase compared to last june</t>
  </si>
  <si>
    <t>history of units recorded incorrect</t>
  </si>
  <si>
    <t>no units in april?</t>
  </si>
  <si>
    <t>increasing trend from last year</t>
  </si>
  <si>
    <t>temporarily closed??</t>
  </si>
  <si>
    <t>large useage</t>
  </si>
  <si>
    <t>old units not showing on bill</t>
  </si>
  <si>
    <t>bill not found</t>
  </si>
  <si>
    <t>july 24 bill extreme</t>
  </si>
  <si>
    <t>1 meter information not available</t>
  </si>
  <si>
    <t>no bill in aug 24</t>
  </si>
  <si>
    <t>very large increase in june 25 units, new meter installed</t>
  </si>
  <si>
    <t>deceasring useage</t>
  </si>
  <si>
    <t>shop status?</t>
  </si>
  <si>
    <t>very less bill in Feb-March 25</t>
  </si>
  <si>
    <t>june no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</si>
</sst>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]dd\-mmm\-yyyy;@"/>
    <numFmt numFmtId="166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2" borderId="0" xfId="0" applyFill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0" fillId="0" borderId="12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/>
    <xf numFmtId="0" fontId="3" fillId="4" borderId="1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1" applyNumberFormat="1" applyFont="1" applyFill="1"/>
    <xf numFmtId="1" fontId="3" fillId="4" borderId="10" xfId="0" applyNumberFormat="1" applyFont="1" applyFill="1" applyBorder="1" applyAlignment="1">
      <alignment horizontal="left" vertical="center"/>
    </xf>
    <xf numFmtId="164" fontId="9" fillId="0" borderId="10" xfId="1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9" fillId="0" borderId="0" xfId="0" applyNumberFormat="1" applyFont="1"/>
    <xf numFmtId="0" fontId="9" fillId="0" borderId="0" xfId="0" applyFont="1"/>
    <xf numFmtId="20" fontId="0" fillId="0" borderId="0" xfId="0" applyNumberFormat="1"/>
    <xf numFmtId="20" fontId="1" fillId="0" borderId="0" xfId="0" applyNumberFormat="1" applyFont="1"/>
    <xf numFmtId="166" fontId="0" fillId="0" borderId="0" xfId="0" applyNumberFormat="1"/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4" fillId="0" borderId="10" xfId="0" quotePrefix="1" applyFont="1" applyFill="1" applyBorder="1" applyAlignment="1">
      <alignment horizontal="left" vertical="center"/>
    </xf>
    <xf numFmtId="0" fontId="9" fillId="0" borderId="10" xfId="0" quotePrefix="1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vertical="center"/>
    </xf>
    <xf numFmtId="0" fontId="5" fillId="0" borderId="10" xfId="0" quotePrefix="1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4" fillId="0" borderId="10" xfId="0" quotePrefix="1" applyFont="1" applyFill="1" applyBorder="1" applyAlignment="1">
      <alignment vertical="center"/>
    </xf>
    <xf numFmtId="0" fontId="0" fillId="0" borderId="10" xfId="0" applyFill="1" applyBorder="1"/>
    <xf numFmtId="0" fontId="7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10" xfId="0" applyFont="1" applyFill="1" applyBorder="1"/>
    <xf numFmtId="1" fontId="4" fillId="0" borderId="10" xfId="0" quotePrefix="1" applyNumberFormat="1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1" fontId="6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1" fillId="0" borderId="10" xfId="0" applyFont="1" applyFill="1" applyBorder="1"/>
    <xf numFmtId="0" fontId="0" fillId="0" borderId="10" xfId="0" quotePrefix="1" applyFill="1" applyBorder="1"/>
    <xf numFmtId="165" fontId="4" fillId="0" borderId="10" xfId="0" applyNumberFormat="1" applyFont="1" applyFill="1" applyBorder="1" applyAlignment="1">
      <alignment vertical="center"/>
    </xf>
    <xf numFmtId="0" fontId="8" fillId="0" borderId="10" xfId="0" quotePrefix="1" applyFont="1" applyFill="1" applyBorder="1" applyAlignment="1">
      <alignment horizontal="left"/>
    </xf>
    <xf numFmtId="0" fontId="9" fillId="0" borderId="10" xfId="0" quotePrefix="1" applyFont="1" applyFill="1" applyBorder="1"/>
    <xf numFmtId="0" fontId="9" fillId="0" borderId="10" xfId="0" applyFont="1" applyFill="1" applyBorder="1"/>
    <xf numFmtId="0" fontId="10" fillId="0" borderId="10" xfId="0" applyFont="1" applyFill="1" applyBorder="1"/>
    <xf numFmtId="164" fontId="9" fillId="0" borderId="10" xfId="1" applyNumberFormat="1" applyFont="1" applyFill="1" applyBorder="1"/>
    <xf numFmtId="0" fontId="0" fillId="0" borderId="0" xfId="0" applyFill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folder/LU/Accounts/Accounts%202017/1.%20Accounts%20-%202017/Working/With%202016%20Opening/Electricity%20deta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IRA\Budget%20&amp;%20Forecast\Fuel,Power&amp;CAM%20-%20Budget%202025-26(Updated).xlsx" TargetMode="External"/><Relationship Id="rId1" Type="http://schemas.openxmlformats.org/officeDocument/2006/relationships/externalLinkPath" Target="file:///D:\HIRA\Budget%20&amp;%20Forecast\Fuel,Power&amp;CAM%20-%20Budget%202025-26(Updat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lectric Summery"/>
      <sheetName val="Pivot WHT and Electric bill"/>
      <sheetName val="Electric bill net of WHT"/>
      <sheetName val="Sheet3"/>
      <sheetName val="Sheet11"/>
      <sheetName val="Sheet10"/>
      <sheetName val="Electricity"/>
      <sheetName val="Sheet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ricity (2)"/>
      <sheetName val="Working of Electricity (2)"/>
      <sheetName val="Electricity"/>
      <sheetName val="CAM"/>
      <sheetName val="Working of Cam"/>
      <sheetName val="Consumption - Diesel"/>
      <sheetName val="Detail of Electricity"/>
      <sheetName val="PSO"/>
      <sheetName val="Sheet2"/>
      <sheetName val="Working of Electricity"/>
    </sheetNames>
    <sheetDataSet>
      <sheetData sheetId="0" refreshError="1"/>
      <sheetData sheetId="1" refreshError="1"/>
      <sheetData sheetId="2" refreshError="1">
        <row r="8">
          <cell r="A8">
            <v>1002</v>
          </cell>
          <cell r="B8" t="b">
            <v>1</v>
          </cell>
          <cell r="C8">
            <v>101002</v>
          </cell>
          <cell r="D8" t="str">
            <v>Anarkali, Lahore</v>
          </cell>
        </row>
        <row r="9">
          <cell r="A9">
            <v>1005</v>
          </cell>
          <cell r="B9" t="b">
            <v>1</v>
          </cell>
          <cell r="C9">
            <v>101005</v>
          </cell>
          <cell r="D9" t="str">
            <v>F-6 Super Market, Islamabad</v>
          </cell>
        </row>
        <row r="10">
          <cell r="A10">
            <v>1006</v>
          </cell>
          <cell r="B10" t="b">
            <v>1</v>
          </cell>
          <cell r="C10">
            <v>101006</v>
          </cell>
          <cell r="D10" t="str">
            <v>Y-Block DHA, Lahore</v>
          </cell>
        </row>
        <row r="11">
          <cell r="A11">
            <v>1007</v>
          </cell>
          <cell r="B11" t="b">
            <v>1</v>
          </cell>
          <cell r="C11">
            <v>101007</v>
          </cell>
          <cell r="D11" t="str">
            <v>Niazi Shopping Center, Rawalpindi</v>
          </cell>
        </row>
        <row r="12">
          <cell r="A12">
            <v>1010</v>
          </cell>
          <cell r="B12" t="b">
            <v>1</v>
          </cell>
          <cell r="C12">
            <v>101010</v>
          </cell>
          <cell r="D12" t="str">
            <v>Katchery Road, Gujrat</v>
          </cell>
        </row>
        <row r="13">
          <cell r="A13">
            <v>1011</v>
          </cell>
          <cell r="B13" t="b">
            <v>1</v>
          </cell>
          <cell r="C13">
            <v>101011</v>
          </cell>
          <cell r="D13" t="str">
            <v>Sattelite Town, Gujranwala</v>
          </cell>
        </row>
        <row r="14">
          <cell r="A14">
            <v>1014</v>
          </cell>
          <cell r="B14" t="b">
            <v>1</v>
          </cell>
          <cell r="C14">
            <v>101014</v>
          </cell>
          <cell r="D14" t="str">
            <v>Arbab Road, Peshawar</v>
          </cell>
        </row>
        <row r="15">
          <cell r="A15">
            <v>1015</v>
          </cell>
          <cell r="B15" t="b">
            <v>1</v>
          </cell>
          <cell r="C15">
            <v>101015</v>
          </cell>
          <cell r="D15" t="str">
            <v>Civic Shopping Center, Abbottabad</v>
          </cell>
        </row>
        <row r="16">
          <cell r="A16">
            <v>1016</v>
          </cell>
          <cell r="B16" t="b">
            <v>1</v>
          </cell>
          <cell r="C16">
            <v>101016</v>
          </cell>
          <cell r="D16" t="str">
            <v>Allama Iqbal Town, Lahore</v>
          </cell>
        </row>
        <row r="17">
          <cell r="A17">
            <v>1017</v>
          </cell>
          <cell r="B17" t="b">
            <v>1</v>
          </cell>
          <cell r="C17">
            <v>101017</v>
          </cell>
          <cell r="D17" t="str">
            <v>Circular Road, Bahawalpur</v>
          </cell>
        </row>
        <row r="18">
          <cell r="A18">
            <v>1020</v>
          </cell>
          <cell r="B18" t="b">
            <v>1</v>
          </cell>
          <cell r="C18">
            <v>1020</v>
          </cell>
          <cell r="D18" t="str">
            <v>Kotli Road, Mirpur AJ&amp;K</v>
          </cell>
        </row>
        <row r="19">
          <cell r="A19">
            <v>1021</v>
          </cell>
          <cell r="B19" t="b">
            <v>1</v>
          </cell>
          <cell r="C19">
            <v>101021</v>
          </cell>
          <cell r="D19" t="str">
            <v>V-Mall, Sialkot</v>
          </cell>
        </row>
        <row r="20">
          <cell r="A20">
            <v>1022</v>
          </cell>
          <cell r="B20" t="b">
            <v>1</v>
          </cell>
          <cell r="C20">
            <v>101022</v>
          </cell>
          <cell r="D20" t="str">
            <v>Ansaar Road, Sahiwal</v>
          </cell>
        </row>
        <row r="21">
          <cell r="A21">
            <v>1024</v>
          </cell>
          <cell r="B21" t="b">
            <v>1</v>
          </cell>
          <cell r="C21">
            <v>101024</v>
          </cell>
          <cell r="D21" t="str">
            <v>Baghbanpura, Lahore</v>
          </cell>
        </row>
        <row r="22">
          <cell r="A22">
            <v>1027</v>
          </cell>
          <cell r="B22" t="b">
            <v>1</v>
          </cell>
          <cell r="C22">
            <v>101027</v>
          </cell>
          <cell r="D22" t="str">
            <v>Fortress Stadium, Lahore</v>
          </cell>
        </row>
        <row r="23">
          <cell r="A23">
            <v>1028</v>
          </cell>
          <cell r="B23" t="b">
            <v>1</v>
          </cell>
          <cell r="C23">
            <v>101028</v>
          </cell>
          <cell r="D23" t="str">
            <v>CP StTown Commercial Mkt, Rawalpindi</v>
          </cell>
        </row>
        <row r="24">
          <cell r="A24">
            <v>1029</v>
          </cell>
          <cell r="B24" t="b">
            <v>1</v>
          </cell>
          <cell r="C24">
            <v>101029</v>
          </cell>
          <cell r="D24" t="str">
            <v>CP Shaheed Chowk, Okara</v>
          </cell>
        </row>
        <row r="25">
          <cell r="A25">
            <v>1030</v>
          </cell>
          <cell r="B25" t="b">
            <v>1</v>
          </cell>
          <cell r="C25">
            <v>101030</v>
          </cell>
          <cell r="D25" t="str">
            <v>Haidery-1, Karachi</v>
          </cell>
        </row>
        <row r="26">
          <cell r="A26">
            <v>1031</v>
          </cell>
          <cell r="B26" t="b">
            <v>1</v>
          </cell>
          <cell r="C26">
            <v>101031</v>
          </cell>
          <cell r="D26" t="str">
            <v>Gulgasht Colony, Multan</v>
          </cell>
        </row>
        <row r="27">
          <cell r="A27">
            <v>1032</v>
          </cell>
          <cell r="B27" t="b">
            <v>1</v>
          </cell>
          <cell r="C27">
            <v>101032</v>
          </cell>
          <cell r="D27" t="str">
            <v>Saddar Bazar, DG Khan</v>
          </cell>
        </row>
        <row r="28">
          <cell r="A28">
            <v>1033</v>
          </cell>
          <cell r="B28" t="b">
            <v>1</v>
          </cell>
          <cell r="C28">
            <v>101033</v>
          </cell>
          <cell r="D28" t="str">
            <v>Shahdarah, Lahore</v>
          </cell>
        </row>
        <row r="29">
          <cell r="A29">
            <v>1035</v>
          </cell>
          <cell r="B29" t="b">
            <v>1</v>
          </cell>
          <cell r="C29">
            <v>101035</v>
          </cell>
          <cell r="D29" t="str">
            <v>Main GT Road, Kharian</v>
          </cell>
        </row>
        <row r="30">
          <cell r="A30">
            <v>1036</v>
          </cell>
          <cell r="B30" t="b">
            <v>1</v>
          </cell>
          <cell r="C30">
            <v>101036</v>
          </cell>
          <cell r="D30" t="str">
            <v>Kohinoor, Faisalabad</v>
          </cell>
        </row>
        <row r="31">
          <cell r="A31">
            <v>1038</v>
          </cell>
          <cell r="B31" t="b">
            <v>1</v>
          </cell>
          <cell r="C31">
            <v>101038</v>
          </cell>
          <cell r="D31" t="str">
            <v>Kechehry Bazar, Mandi bahuddin</v>
          </cell>
        </row>
        <row r="32">
          <cell r="A32">
            <v>1039</v>
          </cell>
          <cell r="B32" t="b">
            <v>1</v>
          </cell>
          <cell r="C32">
            <v>101039</v>
          </cell>
          <cell r="D32" t="str">
            <v>Civil Quarter Road, Sheikhupura</v>
          </cell>
        </row>
        <row r="33">
          <cell r="A33">
            <v>1041</v>
          </cell>
          <cell r="B33" t="b">
            <v>1</v>
          </cell>
          <cell r="C33">
            <v>101041</v>
          </cell>
          <cell r="D33" t="str">
            <v>Wapda Town, Lahore</v>
          </cell>
        </row>
        <row r="34">
          <cell r="A34">
            <v>1042</v>
          </cell>
          <cell r="B34" t="b">
            <v>1</v>
          </cell>
          <cell r="C34">
            <v>101042</v>
          </cell>
          <cell r="D34" t="str">
            <v>Tariq Road, Karachi</v>
          </cell>
        </row>
        <row r="35">
          <cell r="A35">
            <v>1043</v>
          </cell>
          <cell r="B35" t="b">
            <v>1</v>
          </cell>
          <cell r="C35">
            <v>101043</v>
          </cell>
          <cell r="D35" t="str">
            <v>F-10 Sajjad Plaza, Islamabad</v>
          </cell>
        </row>
        <row r="36">
          <cell r="A36">
            <v>1046</v>
          </cell>
          <cell r="B36" t="b">
            <v>1</v>
          </cell>
          <cell r="C36">
            <v>101046</v>
          </cell>
          <cell r="D36" t="str">
            <v>Al-Hajj Tower, Peshawar</v>
          </cell>
        </row>
        <row r="37">
          <cell r="A37">
            <v>1047</v>
          </cell>
          <cell r="B37" t="b">
            <v>1</v>
          </cell>
          <cell r="C37">
            <v>101047</v>
          </cell>
          <cell r="D37" t="str">
            <v>Basti Lala Rukh, Wah Cant</v>
          </cell>
        </row>
        <row r="38">
          <cell r="A38">
            <v>1049</v>
          </cell>
          <cell r="B38" t="b">
            <v>1</v>
          </cell>
          <cell r="C38">
            <v>101049</v>
          </cell>
          <cell r="D38" t="str">
            <v>Millenium Mall, Karachi</v>
          </cell>
        </row>
        <row r="39">
          <cell r="A39">
            <v>1052</v>
          </cell>
          <cell r="B39" t="b">
            <v>1</v>
          </cell>
          <cell r="C39">
            <v>101052</v>
          </cell>
          <cell r="D39" t="str">
            <v>Allied Plaza, Sukkur</v>
          </cell>
        </row>
        <row r="40">
          <cell r="A40">
            <v>1053</v>
          </cell>
          <cell r="B40" t="b">
            <v>1</v>
          </cell>
          <cell r="C40">
            <v>101053</v>
          </cell>
          <cell r="D40" t="str">
            <v>Noor Center, Sialkot</v>
          </cell>
        </row>
        <row r="41">
          <cell r="A41">
            <v>1056</v>
          </cell>
          <cell r="B41" t="b">
            <v>1</v>
          </cell>
          <cell r="C41">
            <v>101056</v>
          </cell>
          <cell r="D41" t="str">
            <v>Quaid-E-Azam Road, Gojra</v>
          </cell>
        </row>
        <row r="42">
          <cell r="A42">
            <v>1058</v>
          </cell>
          <cell r="B42" t="b">
            <v>1</v>
          </cell>
          <cell r="C42">
            <v>101058</v>
          </cell>
          <cell r="D42" t="str">
            <v>Chen One Plaza, Sargodha</v>
          </cell>
        </row>
        <row r="43">
          <cell r="A43">
            <v>1061</v>
          </cell>
          <cell r="B43" t="b">
            <v>1</v>
          </cell>
          <cell r="C43">
            <v>101061</v>
          </cell>
          <cell r="D43" t="str">
            <v>Bank Road, Joharabad</v>
          </cell>
        </row>
        <row r="44">
          <cell r="A44">
            <v>1063</v>
          </cell>
          <cell r="B44" t="b">
            <v>1</v>
          </cell>
          <cell r="C44">
            <v>101063</v>
          </cell>
          <cell r="D44" t="str">
            <v>Hussain Plaza, Khanewal</v>
          </cell>
        </row>
        <row r="45">
          <cell r="A45">
            <v>1064</v>
          </cell>
          <cell r="B45" t="b">
            <v>1</v>
          </cell>
          <cell r="C45">
            <v>101064</v>
          </cell>
          <cell r="D45" t="str">
            <v>CP Gujranwala</v>
          </cell>
        </row>
        <row r="46">
          <cell r="A46">
            <v>1066</v>
          </cell>
          <cell r="B46" t="b">
            <v>1</v>
          </cell>
          <cell r="C46">
            <v>101066</v>
          </cell>
          <cell r="D46" t="str">
            <v>Saima Pari Mall, Karachi</v>
          </cell>
        </row>
        <row r="47">
          <cell r="A47">
            <v>1068</v>
          </cell>
          <cell r="B47" t="b">
            <v>1</v>
          </cell>
          <cell r="C47">
            <v>101068</v>
          </cell>
          <cell r="D47" t="str">
            <v>KDA Market, Karachi</v>
          </cell>
        </row>
        <row r="48">
          <cell r="A48">
            <v>1069</v>
          </cell>
          <cell r="B48" t="b">
            <v>1</v>
          </cell>
          <cell r="C48">
            <v>101069</v>
          </cell>
          <cell r="D48" t="str">
            <v>Fahad Plaza, Mianwali</v>
          </cell>
        </row>
        <row r="49">
          <cell r="A49">
            <v>1081</v>
          </cell>
          <cell r="B49" t="b">
            <v>1</v>
          </cell>
          <cell r="C49">
            <v>101081</v>
          </cell>
          <cell r="D49" t="str">
            <v>Baldia Chowk, Bahawalnagar</v>
          </cell>
        </row>
        <row r="50">
          <cell r="A50">
            <v>1083</v>
          </cell>
          <cell r="B50" t="b">
            <v>1</v>
          </cell>
          <cell r="C50">
            <v>101083</v>
          </cell>
          <cell r="D50" t="str">
            <v>MA Jinnah Road, Mirpurkhas</v>
          </cell>
        </row>
        <row r="51">
          <cell r="A51">
            <v>1084</v>
          </cell>
          <cell r="B51" t="b">
            <v>1</v>
          </cell>
          <cell r="C51">
            <v>101084</v>
          </cell>
          <cell r="D51" t="str">
            <v>Bhon Chowk, Chakwal</v>
          </cell>
        </row>
        <row r="52">
          <cell r="A52">
            <v>1086</v>
          </cell>
          <cell r="B52" t="b">
            <v>1</v>
          </cell>
          <cell r="C52">
            <v>101086</v>
          </cell>
          <cell r="D52" t="str">
            <v>Circular Road, DI  Khan</v>
          </cell>
        </row>
        <row r="53">
          <cell r="A53">
            <v>1089</v>
          </cell>
          <cell r="B53" t="b">
            <v>1</v>
          </cell>
          <cell r="C53">
            <v>101089</v>
          </cell>
          <cell r="D53" t="str">
            <v>Hafizabad</v>
          </cell>
        </row>
        <row r="54">
          <cell r="A54">
            <v>1090</v>
          </cell>
          <cell r="B54" t="b">
            <v>1</v>
          </cell>
          <cell r="C54">
            <v>1090</v>
          </cell>
          <cell r="D54" t="str">
            <v>Madina Maket, Muzaffarbad</v>
          </cell>
        </row>
        <row r="55">
          <cell r="A55">
            <v>1091</v>
          </cell>
          <cell r="B55" t="b">
            <v>1</v>
          </cell>
          <cell r="C55">
            <v>101091</v>
          </cell>
          <cell r="D55" t="str">
            <v>Resham Galli, Larkana</v>
          </cell>
        </row>
        <row r="56">
          <cell r="A56">
            <v>1093</v>
          </cell>
          <cell r="B56" t="b">
            <v>1</v>
          </cell>
          <cell r="C56">
            <v>101093</v>
          </cell>
          <cell r="D56" t="str">
            <v>Railway Road, Kasur</v>
          </cell>
        </row>
        <row r="57">
          <cell r="A57">
            <v>1094</v>
          </cell>
          <cell r="B57" t="b">
            <v>1</v>
          </cell>
          <cell r="C57">
            <v>101094</v>
          </cell>
          <cell r="D57" t="str">
            <v xml:space="preserve">Bank Road, Mardan </v>
          </cell>
        </row>
        <row r="58">
          <cell r="A58">
            <v>1096</v>
          </cell>
          <cell r="B58" t="b">
            <v>1</v>
          </cell>
          <cell r="C58">
            <v>101096</v>
          </cell>
          <cell r="D58" t="str">
            <v>Allama Iqbal Road, Mian Channu</v>
          </cell>
        </row>
        <row r="59">
          <cell r="A59">
            <v>1099</v>
          </cell>
          <cell r="B59" t="b">
            <v>1</v>
          </cell>
          <cell r="C59">
            <v>101099</v>
          </cell>
          <cell r="D59" t="str">
            <v>Gulshan-e-Ravi, Lahore</v>
          </cell>
        </row>
        <row r="60">
          <cell r="A60">
            <v>1100</v>
          </cell>
          <cell r="B60" t="b">
            <v>1</v>
          </cell>
          <cell r="C60">
            <v>101100</v>
          </cell>
          <cell r="D60" t="str">
            <v>Jinnah Road, Vehari</v>
          </cell>
        </row>
        <row r="61">
          <cell r="A61">
            <v>1103</v>
          </cell>
          <cell r="B61" t="b">
            <v>1</v>
          </cell>
          <cell r="C61">
            <v>101103</v>
          </cell>
          <cell r="D61" t="str">
            <v>Centurus Mall, Islamabad</v>
          </cell>
        </row>
        <row r="62">
          <cell r="A62">
            <v>1104</v>
          </cell>
          <cell r="B62" t="b">
            <v>1</v>
          </cell>
          <cell r="C62">
            <v>101104</v>
          </cell>
          <cell r="D62" t="str">
            <v>Tariq Road-2, Karachi</v>
          </cell>
        </row>
        <row r="63">
          <cell r="A63">
            <v>1106</v>
          </cell>
          <cell r="B63" t="b">
            <v>1</v>
          </cell>
          <cell r="C63">
            <v>101106</v>
          </cell>
          <cell r="D63" t="str">
            <v>Al-Rahim Complex, Quetta</v>
          </cell>
        </row>
        <row r="64">
          <cell r="A64">
            <v>1107</v>
          </cell>
          <cell r="B64" t="b">
            <v>1</v>
          </cell>
          <cell r="C64">
            <v>101107</v>
          </cell>
          <cell r="D64" t="str">
            <v>Liberty-2, Lahore</v>
          </cell>
        </row>
        <row r="65">
          <cell r="A65">
            <v>1108</v>
          </cell>
          <cell r="B65" t="b">
            <v>1</v>
          </cell>
          <cell r="C65">
            <v>101108</v>
          </cell>
          <cell r="D65" t="str">
            <v>Kings Mall, Gujranwala</v>
          </cell>
        </row>
        <row r="66">
          <cell r="A66">
            <v>1109</v>
          </cell>
          <cell r="B66" t="b">
            <v>1</v>
          </cell>
          <cell r="C66">
            <v>101109</v>
          </cell>
          <cell r="D66" t="str">
            <v>Sadar Cantt, Lahore</v>
          </cell>
        </row>
        <row r="67">
          <cell r="A67">
            <v>1110</v>
          </cell>
          <cell r="B67" t="b">
            <v>1</v>
          </cell>
          <cell r="C67">
            <v>101110</v>
          </cell>
          <cell r="D67" t="str">
            <v>Shandar Chowk, Jehlum</v>
          </cell>
        </row>
        <row r="68">
          <cell r="A68">
            <v>1111</v>
          </cell>
          <cell r="B68" t="b">
            <v>1</v>
          </cell>
          <cell r="C68">
            <v>101111</v>
          </cell>
          <cell r="D68" t="str">
            <v>G-9 Markaz, Islamabad</v>
          </cell>
        </row>
        <row r="69">
          <cell r="A69">
            <v>1112</v>
          </cell>
          <cell r="B69" t="b">
            <v>1</v>
          </cell>
          <cell r="C69">
            <v>101112</v>
          </cell>
          <cell r="D69" t="str">
            <v>Zaman Centre, Rawalpindi</v>
          </cell>
        </row>
        <row r="70">
          <cell r="A70">
            <v>1113</v>
          </cell>
          <cell r="B70" t="b">
            <v>1</v>
          </cell>
          <cell r="C70">
            <v>101113</v>
          </cell>
          <cell r="D70" t="str">
            <v>Liaqat Bazar, Quetta</v>
          </cell>
        </row>
        <row r="71">
          <cell r="A71">
            <v>1116</v>
          </cell>
          <cell r="B71" t="b">
            <v>1</v>
          </cell>
          <cell r="C71">
            <v>101116</v>
          </cell>
          <cell r="D71" t="str">
            <v>Bahadurabad, Karachi</v>
          </cell>
        </row>
        <row r="72">
          <cell r="A72">
            <v>1117</v>
          </cell>
          <cell r="B72" t="b">
            <v>1</v>
          </cell>
          <cell r="C72">
            <v>101117</v>
          </cell>
          <cell r="D72" t="str">
            <v>City Center, Sawat</v>
          </cell>
        </row>
        <row r="73">
          <cell r="A73">
            <v>1119</v>
          </cell>
          <cell r="B73" t="b">
            <v>1</v>
          </cell>
          <cell r="C73">
            <v>101119</v>
          </cell>
          <cell r="D73" t="str">
            <v>Dolmen Mall, Karachi</v>
          </cell>
        </row>
        <row r="74">
          <cell r="A74">
            <v>1121</v>
          </cell>
          <cell r="B74" t="b">
            <v>1</v>
          </cell>
          <cell r="C74">
            <v>101121</v>
          </cell>
          <cell r="D74" t="str">
            <v>Sahibzada Plaza, Mardan</v>
          </cell>
        </row>
        <row r="75">
          <cell r="A75">
            <v>1122</v>
          </cell>
          <cell r="B75" t="b">
            <v>1</v>
          </cell>
          <cell r="C75">
            <v>101122</v>
          </cell>
          <cell r="D75" t="str">
            <v>Tehsil Road, Okara</v>
          </cell>
        </row>
        <row r="76">
          <cell r="A76">
            <v>1124</v>
          </cell>
          <cell r="B76" t="b">
            <v>1</v>
          </cell>
          <cell r="C76">
            <v>101124</v>
          </cell>
          <cell r="D76" t="str">
            <v xml:space="preserve">CP City Road, Sargodha </v>
          </cell>
        </row>
        <row r="77">
          <cell r="A77">
            <v>1125</v>
          </cell>
          <cell r="B77" t="b">
            <v>1</v>
          </cell>
          <cell r="C77">
            <v>101125</v>
          </cell>
          <cell r="D77" t="str">
            <v>WTC Giga Mall, Islamabad</v>
          </cell>
        </row>
        <row r="78">
          <cell r="A78">
            <v>1126</v>
          </cell>
          <cell r="B78" t="b">
            <v>1</v>
          </cell>
          <cell r="C78">
            <v>101126</v>
          </cell>
          <cell r="D78" t="str">
            <v>Boulevard Mall, Hyderabad</v>
          </cell>
        </row>
        <row r="79">
          <cell r="A79">
            <v>1127</v>
          </cell>
          <cell r="B79" t="b">
            <v>1</v>
          </cell>
          <cell r="C79">
            <v>101127</v>
          </cell>
          <cell r="D79" t="str">
            <v>Lucky Mall, Karachi</v>
          </cell>
        </row>
        <row r="80">
          <cell r="A80">
            <v>1128</v>
          </cell>
          <cell r="B80" t="b">
            <v>1</v>
          </cell>
          <cell r="C80">
            <v>101128</v>
          </cell>
          <cell r="D80" t="str">
            <v>Nishat Emporium Mall, Lahore</v>
          </cell>
        </row>
        <row r="81">
          <cell r="A81">
            <v>1130</v>
          </cell>
          <cell r="B81" t="b">
            <v>1</v>
          </cell>
          <cell r="C81">
            <v>101130</v>
          </cell>
          <cell r="D81" t="str">
            <v>Shadbagh, Lahore</v>
          </cell>
        </row>
        <row r="82">
          <cell r="A82">
            <v>1131</v>
          </cell>
          <cell r="B82" t="b">
            <v>1</v>
          </cell>
          <cell r="C82">
            <v>101131</v>
          </cell>
          <cell r="D82" t="str">
            <v>Mall Of Sialkot</v>
          </cell>
        </row>
        <row r="83">
          <cell r="A83">
            <v>1133</v>
          </cell>
          <cell r="B83" t="b">
            <v>1</v>
          </cell>
          <cell r="C83">
            <v>101133</v>
          </cell>
          <cell r="D83" t="str">
            <v>Gulistan-e-Johar, Karachi</v>
          </cell>
        </row>
        <row r="84">
          <cell r="A84">
            <v>1134</v>
          </cell>
          <cell r="B84" t="b">
            <v>1</v>
          </cell>
          <cell r="C84">
            <v>101134</v>
          </cell>
          <cell r="D84" t="str">
            <v>City Road, Sargodha</v>
          </cell>
        </row>
        <row r="85">
          <cell r="A85">
            <v>1137</v>
          </cell>
          <cell r="B85" t="b">
            <v>1</v>
          </cell>
          <cell r="C85">
            <v>101137</v>
          </cell>
          <cell r="D85" t="str">
            <v>Farooq Shaheed Chowk, Chichawatni</v>
          </cell>
        </row>
        <row r="86">
          <cell r="A86">
            <v>1139</v>
          </cell>
          <cell r="B86" t="b">
            <v>1</v>
          </cell>
          <cell r="C86">
            <v>101139</v>
          </cell>
          <cell r="D86" t="str">
            <v>Wazirabad</v>
          </cell>
        </row>
        <row r="87">
          <cell r="A87">
            <v>1141</v>
          </cell>
          <cell r="B87" t="b">
            <v>1</v>
          </cell>
          <cell r="C87">
            <v>101141</v>
          </cell>
          <cell r="D87" t="str">
            <v>Karchery Road, DG Khan</v>
          </cell>
        </row>
        <row r="88">
          <cell r="A88">
            <v>1143</v>
          </cell>
          <cell r="B88" t="b">
            <v>1</v>
          </cell>
          <cell r="C88">
            <v>101143</v>
          </cell>
          <cell r="D88" t="str">
            <v>Burji Wala Mohalla, Jhang</v>
          </cell>
        </row>
        <row r="89">
          <cell r="A89">
            <v>1144</v>
          </cell>
          <cell r="B89" t="b">
            <v>1</v>
          </cell>
          <cell r="C89">
            <v>101144</v>
          </cell>
          <cell r="D89" t="str">
            <v>Packages Mall, Lahore</v>
          </cell>
        </row>
        <row r="90">
          <cell r="A90">
            <v>1145</v>
          </cell>
          <cell r="B90" t="b">
            <v>1</v>
          </cell>
          <cell r="C90">
            <v>101145</v>
          </cell>
          <cell r="D90" t="str">
            <v>MM Alam Road, Lahore</v>
          </cell>
        </row>
        <row r="91">
          <cell r="A91">
            <v>1146</v>
          </cell>
          <cell r="B91" t="b">
            <v>1</v>
          </cell>
          <cell r="C91">
            <v>101146</v>
          </cell>
          <cell r="D91" t="str">
            <v>Circular Road, Jaranwala</v>
          </cell>
        </row>
        <row r="92">
          <cell r="A92">
            <v>1147</v>
          </cell>
          <cell r="B92" t="b">
            <v>1</v>
          </cell>
          <cell r="C92">
            <v>101147</v>
          </cell>
          <cell r="D92" t="str">
            <v>Misqul Mall, Faisalabad</v>
          </cell>
        </row>
        <row r="93">
          <cell r="A93">
            <v>1149</v>
          </cell>
          <cell r="B93" t="b">
            <v>1</v>
          </cell>
          <cell r="C93">
            <v>101149</v>
          </cell>
          <cell r="D93" t="str">
            <v>Regal Road Anarkali, Faisalabad</v>
          </cell>
        </row>
        <row r="94">
          <cell r="A94">
            <v>1150</v>
          </cell>
          <cell r="B94" t="b">
            <v>1</v>
          </cell>
          <cell r="C94">
            <v>101150</v>
          </cell>
          <cell r="D94" t="str">
            <v>Satyana Road, Faisalabad</v>
          </cell>
        </row>
        <row r="95">
          <cell r="A95">
            <v>1151</v>
          </cell>
          <cell r="B95" t="b">
            <v>1</v>
          </cell>
          <cell r="C95">
            <v>101151</v>
          </cell>
          <cell r="D95" t="str">
            <v>Pearl City, Faisalabad</v>
          </cell>
        </row>
        <row r="96">
          <cell r="A96">
            <v>1152</v>
          </cell>
          <cell r="B96" t="b">
            <v>1</v>
          </cell>
          <cell r="C96">
            <v>101152</v>
          </cell>
          <cell r="D96" t="str">
            <v>Garrison Complex, Hyderabad</v>
          </cell>
        </row>
        <row r="97">
          <cell r="A97">
            <v>1154</v>
          </cell>
          <cell r="B97" t="b">
            <v>1</v>
          </cell>
          <cell r="C97">
            <v>101154</v>
          </cell>
          <cell r="D97" t="str">
            <v>Gulshan Market, Multan</v>
          </cell>
        </row>
        <row r="98">
          <cell r="A98">
            <v>1155</v>
          </cell>
          <cell r="B98" t="b">
            <v>1</v>
          </cell>
          <cell r="C98">
            <v>101155</v>
          </cell>
          <cell r="D98" t="str">
            <v>Multan Road, Burewala</v>
          </cell>
        </row>
        <row r="99">
          <cell r="A99">
            <v>1156</v>
          </cell>
          <cell r="B99" t="b">
            <v>1</v>
          </cell>
          <cell r="C99">
            <v>101156</v>
          </cell>
          <cell r="D99" t="str">
            <v>Chishtian</v>
          </cell>
        </row>
        <row r="100">
          <cell r="A100">
            <v>1157</v>
          </cell>
          <cell r="B100" t="b">
            <v>1</v>
          </cell>
          <cell r="C100">
            <v>101157</v>
          </cell>
          <cell r="D100" t="str">
            <v>Bunder Road, Larkana</v>
          </cell>
        </row>
        <row r="101">
          <cell r="A101">
            <v>1158</v>
          </cell>
          <cell r="B101" t="b">
            <v>1</v>
          </cell>
          <cell r="C101">
            <v>101158</v>
          </cell>
          <cell r="D101" t="str">
            <v>Shahi Road, Rahim Yar khan</v>
          </cell>
        </row>
        <row r="102">
          <cell r="A102">
            <v>1159</v>
          </cell>
          <cell r="B102" t="b">
            <v>1</v>
          </cell>
          <cell r="C102">
            <v>101159</v>
          </cell>
          <cell r="D102" t="str">
            <v>Katchery Road, Chiniot</v>
          </cell>
        </row>
        <row r="103">
          <cell r="A103">
            <v>1160</v>
          </cell>
          <cell r="B103" t="b">
            <v>1</v>
          </cell>
          <cell r="C103">
            <v>101160</v>
          </cell>
          <cell r="D103" t="str">
            <v>Haripur</v>
          </cell>
        </row>
        <row r="104">
          <cell r="A104">
            <v>1161</v>
          </cell>
          <cell r="B104" t="b">
            <v>1</v>
          </cell>
          <cell r="C104">
            <v>101161</v>
          </cell>
          <cell r="D104" t="str">
            <v>Attock</v>
          </cell>
        </row>
        <row r="105">
          <cell r="A105">
            <v>1162</v>
          </cell>
          <cell r="B105" t="b">
            <v>1</v>
          </cell>
          <cell r="C105">
            <v>101162</v>
          </cell>
          <cell r="D105" t="str">
            <v>Muzaffargarh</v>
          </cell>
        </row>
        <row r="106">
          <cell r="A106">
            <v>1166</v>
          </cell>
          <cell r="B106" t="b">
            <v>1</v>
          </cell>
          <cell r="C106">
            <v>101166</v>
          </cell>
          <cell r="D106" t="str">
            <v>College Road, Daska</v>
          </cell>
        </row>
        <row r="107">
          <cell r="A107">
            <v>1167</v>
          </cell>
          <cell r="B107" t="b">
            <v>1</v>
          </cell>
          <cell r="C107">
            <v>101167</v>
          </cell>
          <cell r="D107" t="str">
            <v>Model Colony, Karachi</v>
          </cell>
        </row>
        <row r="108">
          <cell r="A108">
            <v>1168</v>
          </cell>
          <cell r="B108" t="b">
            <v>1</v>
          </cell>
          <cell r="C108">
            <v>101168</v>
          </cell>
          <cell r="D108" t="str">
            <v>Sony Square, Sialkot</v>
          </cell>
        </row>
        <row r="109">
          <cell r="A109">
            <v>1170</v>
          </cell>
          <cell r="B109" t="b">
            <v>1</v>
          </cell>
          <cell r="C109">
            <v>101170</v>
          </cell>
          <cell r="D109" t="str">
            <v>Fazal Center, Gujranwala</v>
          </cell>
        </row>
        <row r="110">
          <cell r="A110">
            <v>1171</v>
          </cell>
          <cell r="B110" t="b">
            <v>1</v>
          </cell>
          <cell r="C110">
            <v>101171</v>
          </cell>
          <cell r="D110" t="str">
            <v>Dina Jehlum</v>
          </cell>
        </row>
        <row r="111">
          <cell r="A111">
            <v>1172</v>
          </cell>
          <cell r="B111" t="b">
            <v>1</v>
          </cell>
          <cell r="C111">
            <v>101172</v>
          </cell>
          <cell r="D111" t="str">
            <v>Gulberg, Faisalabad</v>
          </cell>
        </row>
        <row r="112">
          <cell r="A112">
            <v>1175</v>
          </cell>
          <cell r="B112" t="b">
            <v>1</v>
          </cell>
          <cell r="C112">
            <v>101175</v>
          </cell>
          <cell r="D112" t="str">
            <v>Masjid Road, Nawabshah</v>
          </cell>
        </row>
        <row r="113">
          <cell r="A113">
            <v>1176</v>
          </cell>
          <cell r="B113" t="b">
            <v>1</v>
          </cell>
          <cell r="C113">
            <v>101176</v>
          </cell>
          <cell r="D113" t="str">
            <v>Mall of Defense, Lahore</v>
          </cell>
        </row>
        <row r="114">
          <cell r="A114">
            <v>1178</v>
          </cell>
          <cell r="B114" t="b">
            <v>1</v>
          </cell>
          <cell r="C114">
            <v>101178</v>
          </cell>
          <cell r="D114" t="str">
            <v>Police Foundation PWD, Islamabad</v>
          </cell>
        </row>
        <row r="115">
          <cell r="A115">
            <v>1179</v>
          </cell>
          <cell r="B115" t="b">
            <v>1</v>
          </cell>
          <cell r="C115">
            <v>101179</v>
          </cell>
          <cell r="D115" t="str">
            <v>LayalPur Gallaria, Faisalabad</v>
          </cell>
        </row>
        <row r="116">
          <cell r="A116">
            <v>1180</v>
          </cell>
          <cell r="B116" t="b">
            <v>1</v>
          </cell>
          <cell r="C116">
            <v>101180</v>
          </cell>
          <cell r="D116" t="str">
            <v>Haidery-2, Karachi</v>
          </cell>
        </row>
        <row r="117">
          <cell r="A117">
            <v>1181</v>
          </cell>
          <cell r="B117" t="b">
            <v>1</v>
          </cell>
          <cell r="C117">
            <v>101181</v>
          </cell>
          <cell r="D117" t="str">
            <v>Highway Road, Khairpur</v>
          </cell>
        </row>
        <row r="118">
          <cell r="A118">
            <v>1182</v>
          </cell>
          <cell r="B118" t="b">
            <v>1</v>
          </cell>
          <cell r="C118">
            <v>101182</v>
          </cell>
          <cell r="D118" t="str">
            <v>Jhang Road, Toba Tek Singh</v>
          </cell>
        </row>
        <row r="119">
          <cell r="A119">
            <v>1183</v>
          </cell>
          <cell r="B119" t="b">
            <v>1</v>
          </cell>
          <cell r="C119">
            <v>101183</v>
          </cell>
          <cell r="D119" t="str">
            <v>F-7 Safa Gold, Islamabad</v>
          </cell>
        </row>
        <row r="120">
          <cell r="A120">
            <v>1184</v>
          </cell>
          <cell r="B120" t="b">
            <v>1</v>
          </cell>
          <cell r="C120">
            <v>101184</v>
          </cell>
          <cell r="D120" t="str">
            <v>Gold Crest Mall, Lahore</v>
          </cell>
        </row>
        <row r="121">
          <cell r="A121">
            <v>1185</v>
          </cell>
          <cell r="B121" t="b">
            <v>1</v>
          </cell>
          <cell r="C121">
            <v>101185</v>
          </cell>
          <cell r="D121" t="str">
            <v>Military Road, Sukkur</v>
          </cell>
        </row>
        <row r="122">
          <cell r="A122">
            <v>1186</v>
          </cell>
          <cell r="B122" t="b">
            <v>1</v>
          </cell>
          <cell r="C122">
            <v>101186</v>
          </cell>
          <cell r="D122" t="str">
            <v>Model Town Link Road 2, Lahore</v>
          </cell>
        </row>
        <row r="123">
          <cell r="A123">
            <v>1187</v>
          </cell>
          <cell r="B123" t="b">
            <v>1</v>
          </cell>
          <cell r="C123">
            <v>101187</v>
          </cell>
          <cell r="D123" t="str">
            <v>Ocean Mall, Karachi</v>
          </cell>
        </row>
        <row r="124">
          <cell r="A124">
            <v>1188</v>
          </cell>
          <cell r="B124" t="b">
            <v>1</v>
          </cell>
          <cell r="C124">
            <v>101188</v>
          </cell>
          <cell r="D124" t="str">
            <v>Millennium Mall, Quetta</v>
          </cell>
        </row>
        <row r="125">
          <cell r="A125">
            <v>1189</v>
          </cell>
          <cell r="B125" t="b">
            <v>1</v>
          </cell>
          <cell r="C125">
            <v>101189</v>
          </cell>
          <cell r="D125" t="str">
            <v>Gujar Khan</v>
          </cell>
        </row>
        <row r="126">
          <cell r="A126">
            <v>1190</v>
          </cell>
          <cell r="B126" t="b">
            <v>1</v>
          </cell>
          <cell r="C126">
            <v>101190</v>
          </cell>
          <cell r="D126" t="str">
            <v>Bank Road, Opp. Paking Plaza, Rawalpindi</v>
          </cell>
        </row>
        <row r="127">
          <cell r="A127">
            <v>1191</v>
          </cell>
          <cell r="B127" t="b">
            <v>1</v>
          </cell>
          <cell r="C127">
            <v>101191</v>
          </cell>
          <cell r="D127" t="str">
            <v>Opposite Gakhar Plaza, Rawalpindi</v>
          </cell>
        </row>
        <row r="128">
          <cell r="A128">
            <v>1192</v>
          </cell>
          <cell r="B128" t="b">
            <v>1</v>
          </cell>
          <cell r="C128">
            <v>101192</v>
          </cell>
          <cell r="D128" t="str">
            <v>Ajnala Road, Bhalwal</v>
          </cell>
        </row>
        <row r="129">
          <cell r="A129">
            <v>1193</v>
          </cell>
          <cell r="B129" t="b">
            <v>1</v>
          </cell>
          <cell r="C129">
            <v>101193</v>
          </cell>
          <cell r="D129" t="str">
            <v>Katcheri Road, Khanpur</v>
          </cell>
        </row>
        <row r="130">
          <cell r="A130">
            <v>1194</v>
          </cell>
          <cell r="B130" t="b">
            <v>1</v>
          </cell>
          <cell r="C130">
            <v>101194</v>
          </cell>
          <cell r="D130" t="str">
            <v>Model Town, Rahim Yar Khan</v>
          </cell>
        </row>
        <row r="131">
          <cell r="A131">
            <v>1195</v>
          </cell>
          <cell r="B131" t="b">
            <v>1</v>
          </cell>
          <cell r="C131">
            <v>101195</v>
          </cell>
          <cell r="D131" t="str">
            <v xml:space="preserve">Allama Iqbal Road, Pattoki </v>
          </cell>
        </row>
        <row r="132">
          <cell r="A132">
            <v>1196</v>
          </cell>
          <cell r="B132" t="b">
            <v>1</v>
          </cell>
          <cell r="C132">
            <v>101196</v>
          </cell>
          <cell r="D132" t="str">
            <v xml:space="preserve">Sahiwal Road, Pakpatan </v>
          </cell>
        </row>
        <row r="133">
          <cell r="A133">
            <v>1197</v>
          </cell>
          <cell r="B133" t="b">
            <v>1</v>
          </cell>
          <cell r="C133">
            <v>101197</v>
          </cell>
          <cell r="D133" t="str">
            <v>University Road, Karachi</v>
          </cell>
        </row>
        <row r="134">
          <cell r="A134">
            <v>1198</v>
          </cell>
          <cell r="B134" t="b">
            <v>1</v>
          </cell>
          <cell r="C134">
            <v>101198</v>
          </cell>
          <cell r="D134" t="str">
            <v>Main Faisalabad Road, Jaranwala</v>
          </cell>
        </row>
        <row r="135">
          <cell r="A135">
            <v>1199</v>
          </cell>
          <cell r="B135" t="b">
            <v>1</v>
          </cell>
          <cell r="C135">
            <v>101199</v>
          </cell>
          <cell r="D135" t="str">
            <v>Brandway Mall, Pattoki</v>
          </cell>
        </row>
        <row r="136">
          <cell r="A136">
            <v>1201</v>
          </cell>
          <cell r="B136" t="b">
            <v>1</v>
          </cell>
          <cell r="C136">
            <v>101201</v>
          </cell>
          <cell r="D136" t="str">
            <v>CP Tench Bhata, Rawalpindi</v>
          </cell>
        </row>
        <row r="137">
          <cell r="A137">
            <v>1202</v>
          </cell>
          <cell r="B137" t="b">
            <v>1</v>
          </cell>
          <cell r="C137">
            <v>101202</v>
          </cell>
          <cell r="D137" t="str">
            <v>Abid Plaza, Kamalia</v>
          </cell>
        </row>
        <row r="138">
          <cell r="A138">
            <v>1203</v>
          </cell>
          <cell r="B138" t="b">
            <v>1</v>
          </cell>
          <cell r="C138">
            <v>101203</v>
          </cell>
          <cell r="D138" t="str">
            <v>CP Mumtazabad, Multan</v>
          </cell>
        </row>
        <row r="139">
          <cell r="A139">
            <v>1204</v>
          </cell>
          <cell r="B139" t="b">
            <v>1</v>
          </cell>
          <cell r="C139">
            <v>1204</v>
          </cell>
          <cell r="D139" t="str">
            <v>Shaheed Chowk, Kotli</v>
          </cell>
        </row>
        <row r="140">
          <cell r="A140">
            <v>1205</v>
          </cell>
          <cell r="B140" t="b">
            <v>1</v>
          </cell>
          <cell r="C140">
            <v>101205</v>
          </cell>
          <cell r="D140" t="str">
            <v>Bilal Chowk, Samanabad</v>
          </cell>
        </row>
        <row r="141">
          <cell r="A141">
            <v>1206</v>
          </cell>
          <cell r="B141" t="b">
            <v>1</v>
          </cell>
          <cell r="C141">
            <v>101206</v>
          </cell>
          <cell r="D141" t="str">
            <v>Jhang Road, Faisalabad</v>
          </cell>
        </row>
        <row r="142">
          <cell r="A142">
            <v>1207</v>
          </cell>
          <cell r="B142" t="b">
            <v>1</v>
          </cell>
          <cell r="C142">
            <v>101207</v>
          </cell>
          <cell r="D142" t="str">
            <v>Shujaabad</v>
          </cell>
        </row>
        <row r="143">
          <cell r="A143">
            <v>1208</v>
          </cell>
          <cell r="B143" t="b">
            <v>1</v>
          </cell>
          <cell r="C143">
            <v>101208</v>
          </cell>
          <cell r="D143" t="str">
            <v>GM Abad, Faisalabad</v>
          </cell>
        </row>
        <row r="144">
          <cell r="A144">
            <v>1209</v>
          </cell>
          <cell r="B144" t="b">
            <v>1</v>
          </cell>
          <cell r="C144">
            <v>101209</v>
          </cell>
          <cell r="D144" t="str">
            <v>KB Plaza, Shakargarh</v>
          </cell>
        </row>
        <row r="145">
          <cell r="A145">
            <v>1210</v>
          </cell>
          <cell r="B145" t="b">
            <v>1</v>
          </cell>
          <cell r="C145">
            <v>101210</v>
          </cell>
          <cell r="D145" t="str">
            <v>Super Chowk, Lodhran</v>
          </cell>
        </row>
        <row r="146">
          <cell r="A146">
            <v>1212</v>
          </cell>
          <cell r="B146" t="b">
            <v>1</v>
          </cell>
          <cell r="C146">
            <v>101212</v>
          </cell>
          <cell r="D146" t="str">
            <v>Northwalk Mall, Karachi</v>
          </cell>
        </row>
        <row r="147">
          <cell r="A147">
            <v>1213</v>
          </cell>
          <cell r="B147" t="b">
            <v>1</v>
          </cell>
          <cell r="C147">
            <v>101213</v>
          </cell>
          <cell r="D147" t="str">
            <v>Quied e Azam Road, Haroonabad</v>
          </cell>
        </row>
        <row r="148">
          <cell r="A148">
            <v>1215</v>
          </cell>
          <cell r="B148" t="b">
            <v>1</v>
          </cell>
          <cell r="C148">
            <v>101215</v>
          </cell>
          <cell r="D148" t="str">
            <v>Square One Mall, Karachi</v>
          </cell>
        </row>
        <row r="149">
          <cell r="A149">
            <v>1216</v>
          </cell>
          <cell r="B149" t="b">
            <v>1</v>
          </cell>
          <cell r="C149">
            <v>101216</v>
          </cell>
          <cell r="D149" t="str">
            <v>CP Iqbal Town, Lahore</v>
          </cell>
        </row>
        <row r="150">
          <cell r="A150">
            <v>1217</v>
          </cell>
          <cell r="B150" t="b">
            <v>1</v>
          </cell>
          <cell r="C150">
            <v>101217</v>
          </cell>
          <cell r="D150" t="str">
            <v>Tando Adam</v>
          </cell>
        </row>
        <row r="151">
          <cell r="A151">
            <v>1218</v>
          </cell>
          <cell r="B151" t="b">
            <v>1</v>
          </cell>
          <cell r="C151">
            <v>101218</v>
          </cell>
          <cell r="D151" t="str">
            <v>Deori Roda, Ghotki</v>
          </cell>
        </row>
        <row r="152">
          <cell r="A152">
            <v>1219</v>
          </cell>
          <cell r="B152" t="b">
            <v>1</v>
          </cell>
          <cell r="C152">
            <v>101219</v>
          </cell>
          <cell r="D152" t="str">
            <v>Qasimabad</v>
          </cell>
        </row>
        <row r="153">
          <cell r="A153">
            <v>1220</v>
          </cell>
          <cell r="B153" t="b">
            <v>1</v>
          </cell>
          <cell r="C153">
            <v>101220</v>
          </cell>
          <cell r="D153" t="str">
            <v>Atrium Mall, Karachi</v>
          </cell>
        </row>
        <row r="154">
          <cell r="A154">
            <v>1221</v>
          </cell>
          <cell r="B154" t="b">
            <v>1</v>
          </cell>
          <cell r="C154">
            <v>101221</v>
          </cell>
          <cell r="D154" t="str">
            <v>Gulshan-e-Maymar, Karachi</v>
          </cell>
        </row>
        <row r="155">
          <cell r="A155">
            <v>1222</v>
          </cell>
          <cell r="B155" t="b">
            <v>1</v>
          </cell>
          <cell r="C155">
            <v>101222</v>
          </cell>
          <cell r="D155" t="str">
            <v>Zamzama, Karachi</v>
          </cell>
        </row>
        <row r="156">
          <cell r="A156">
            <v>1223</v>
          </cell>
          <cell r="B156" t="b">
            <v>1</v>
          </cell>
          <cell r="C156">
            <v>101223</v>
          </cell>
          <cell r="D156" t="str">
            <v>Railway Road, Bannu</v>
          </cell>
        </row>
        <row r="157">
          <cell r="A157">
            <v>1224</v>
          </cell>
          <cell r="B157" t="b">
            <v>1</v>
          </cell>
          <cell r="C157">
            <v>101224</v>
          </cell>
          <cell r="D157" t="str">
            <v>Kot Radha Kishan</v>
          </cell>
        </row>
        <row r="158">
          <cell r="A158">
            <v>1225</v>
          </cell>
          <cell r="B158" t="b">
            <v>1</v>
          </cell>
          <cell r="C158">
            <v>101225</v>
          </cell>
          <cell r="D158" t="str">
            <v>Gulshan-e-Hadeed, Karachi</v>
          </cell>
        </row>
        <row r="159">
          <cell r="A159">
            <v>1226</v>
          </cell>
          <cell r="B159" t="b">
            <v>1</v>
          </cell>
          <cell r="C159">
            <v>101226</v>
          </cell>
          <cell r="D159" t="str">
            <v>Fortune Arcade, Hyderabad</v>
          </cell>
        </row>
        <row r="160">
          <cell r="A160">
            <v>1228</v>
          </cell>
          <cell r="B160" t="b">
            <v>1</v>
          </cell>
          <cell r="C160">
            <v>101228</v>
          </cell>
          <cell r="D160" t="str">
            <v>Haque Center, Bahawalpur</v>
          </cell>
        </row>
        <row r="161">
          <cell r="A161">
            <v>1229</v>
          </cell>
          <cell r="B161" t="b">
            <v>1</v>
          </cell>
          <cell r="C161">
            <v>101229</v>
          </cell>
          <cell r="D161" t="str">
            <v>Madina Chowk, Dipalpur</v>
          </cell>
        </row>
        <row r="162">
          <cell r="A162">
            <v>1230</v>
          </cell>
          <cell r="B162" t="b">
            <v>1</v>
          </cell>
          <cell r="C162">
            <v>101230</v>
          </cell>
          <cell r="D162" t="str">
            <v>Pasrur</v>
          </cell>
        </row>
        <row r="163">
          <cell r="A163">
            <v>1231</v>
          </cell>
          <cell r="B163" t="b">
            <v>1</v>
          </cell>
          <cell r="C163">
            <v>101231</v>
          </cell>
          <cell r="D163" t="str">
            <v>Tandlianwala</v>
          </cell>
        </row>
        <row r="164">
          <cell r="A164">
            <v>1232</v>
          </cell>
          <cell r="B164" t="b">
            <v>1</v>
          </cell>
          <cell r="C164">
            <v>101232</v>
          </cell>
          <cell r="D164" t="str">
            <v>Moti Bazar, Rawalpindi</v>
          </cell>
        </row>
        <row r="165">
          <cell r="A165">
            <v>1233</v>
          </cell>
          <cell r="B165" t="b">
            <v>1</v>
          </cell>
          <cell r="C165">
            <v>101233</v>
          </cell>
          <cell r="D165" t="str">
            <v>Mangla Cantt</v>
          </cell>
        </row>
        <row r="166">
          <cell r="A166">
            <v>1234</v>
          </cell>
          <cell r="B166" t="b">
            <v>1</v>
          </cell>
          <cell r="C166">
            <v>101234</v>
          </cell>
          <cell r="D166" t="str">
            <v>BA Mall Quetta</v>
          </cell>
        </row>
        <row r="167">
          <cell r="A167">
            <v>1235</v>
          </cell>
          <cell r="B167" t="b">
            <v>1</v>
          </cell>
          <cell r="C167">
            <v>101235</v>
          </cell>
          <cell r="D167" t="str">
            <v>CP Township, Lahore</v>
          </cell>
        </row>
        <row r="168">
          <cell r="A168">
            <v>1236</v>
          </cell>
          <cell r="B168" t="b">
            <v>1</v>
          </cell>
          <cell r="C168">
            <v>101236</v>
          </cell>
          <cell r="D168" t="str">
            <v>Lake City, Lahore</v>
          </cell>
        </row>
        <row r="169">
          <cell r="A169">
            <v>1237</v>
          </cell>
          <cell r="B169" t="b">
            <v>1</v>
          </cell>
          <cell r="C169">
            <v>101237</v>
          </cell>
          <cell r="D169" t="str">
            <v>Model Town, Multan</v>
          </cell>
        </row>
        <row r="170">
          <cell r="A170">
            <v>1238</v>
          </cell>
          <cell r="B170" t="b">
            <v>1</v>
          </cell>
          <cell r="C170">
            <v>101238</v>
          </cell>
          <cell r="D170" t="str">
            <v>Amazon Mall ISL</v>
          </cell>
        </row>
        <row r="171">
          <cell r="A171">
            <v>1239</v>
          </cell>
          <cell r="B171" t="b">
            <v>1</v>
          </cell>
          <cell r="C171">
            <v>101239</v>
          </cell>
          <cell r="D171" t="str">
            <v>Hussain Agahi, Multan</v>
          </cell>
        </row>
        <row r="172">
          <cell r="A172">
            <v>1240</v>
          </cell>
          <cell r="B172" t="b">
            <v>1</v>
          </cell>
          <cell r="C172">
            <v>101240</v>
          </cell>
          <cell r="D172" t="str">
            <v>Hasil Pur</v>
          </cell>
        </row>
        <row r="173">
          <cell r="A173">
            <v>1241</v>
          </cell>
          <cell r="B173" t="b">
            <v>1</v>
          </cell>
          <cell r="C173">
            <v>101241</v>
          </cell>
          <cell r="D173" t="str">
            <v>Mall of Sargodha</v>
          </cell>
        </row>
        <row r="174">
          <cell r="A174">
            <v>1242</v>
          </cell>
          <cell r="B174" t="b">
            <v>1</v>
          </cell>
          <cell r="C174">
            <v>101242</v>
          </cell>
          <cell r="D174" t="str">
            <v>Dolmen Mall LHR Site</v>
          </cell>
        </row>
        <row r="175">
          <cell r="A175">
            <v>1243</v>
          </cell>
          <cell r="B175" t="b">
            <v>1</v>
          </cell>
          <cell r="C175">
            <v>101243</v>
          </cell>
          <cell r="D175" t="str">
            <v>Pine Square</v>
          </cell>
        </row>
        <row r="176">
          <cell r="A176">
            <v>1244</v>
          </cell>
          <cell r="B176" t="b">
            <v>1</v>
          </cell>
          <cell r="C176">
            <v>101244</v>
          </cell>
          <cell r="D176" t="str">
            <v>Malir Cantt, Karachi</v>
          </cell>
        </row>
        <row r="177">
          <cell r="A177">
            <v>1245</v>
          </cell>
          <cell r="B177" t="b">
            <v>1</v>
          </cell>
          <cell r="C177">
            <v>101245</v>
          </cell>
          <cell r="D177" t="str">
            <v>Arif Bazar, Burewala</v>
          </cell>
        </row>
        <row r="178">
          <cell r="A178">
            <v>1246</v>
          </cell>
          <cell r="B178" t="b">
            <v>1</v>
          </cell>
          <cell r="C178">
            <v>101246</v>
          </cell>
          <cell r="D178" t="str">
            <v>Mandi Road, Pakpattan</v>
          </cell>
        </row>
        <row r="179">
          <cell r="A179">
            <v>1247</v>
          </cell>
          <cell r="B179" t="b">
            <v>1</v>
          </cell>
          <cell r="C179">
            <v>101247</v>
          </cell>
          <cell r="D179" t="str">
            <v>Mall Of Lahore</v>
          </cell>
        </row>
        <row r="180">
          <cell r="A180">
            <v>1249</v>
          </cell>
          <cell r="B180" t="b">
            <v>1</v>
          </cell>
          <cell r="C180">
            <v>101249</v>
          </cell>
          <cell r="D180" t="str">
            <v>CP Korangi, Karachi</v>
          </cell>
        </row>
        <row r="181">
          <cell r="A181">
            <v>1250</v>
          </cell>
          <cell r="B181" t="b">
            <v>1</v>
          </cell>
          <cell r="C181">
            <v>101250</v>
          </cell>
          <cell r="D181" t="str">
            <v>Shikarpur</v>
          </cell>
        </row>
        <row r="182">
          <cell r="A182">
            <v>1251</v>
          </cell>
          <cell r="B182" t="b">
            <v>1</v>
          </cell>
          <cell r="C182">
            <v>101251</v>
          </cell>
          <cell r="D182" t="str">
            <v>College Road, Opposite J. Daska</v>
          </cell>
        </row>
        <row r="183">
          <cell r="A183">
            <v>1252</v>
          </cell>
          <cell r="B183" t="b">
            <v>1</v>
          </cell>
          <cell r="C183">
            <v>101252</v>
          </cell>
          <cell r="D183" t="str">
            <v>Jinnah Road, Quetta</v>
          </cell>
        </row>
        <row r="184">
          <cell r="A184">
            <v>1253</v>
          </cell>
          <cell r="B184" t="b">
            <v>1</v>
          </cell>
          <cell r="C184">
            <v>101253</v>
          </cell>
          <cell r="D184" t="str">
            <v>Liberty-4, Lahore</v>
          </cell>
        </row>
        <row r="185">
          <cell r="A185">
            <v>1254</v>
          </cell>
          <cell r="B185" t="b">
            <v>1</v>
          </cell>
          <cell r="C185">
            <v>101254</v>
          </cell>
          <cell r="D185" t="str">
            <v>Shahrah-e-Humayun, Karachi</v>
          </cell>
        </row>
        <row r="186">
          <cell r="A186">
            <v>1255</v>
          </cell>
          <cell r="B186" t="e">
            <v>#N/A</v>
          </cell>
          <cell r="C186">
            <v>101255</v>
          </cell>
          <cell r="D186" t="str">
            <v>Mall Of Rawalpindi Site</v>
          </cell>
        </row>
        <row r="187">
          <cell r="A187">
            <v>1256</v>
          </cell>
          <cell r="B187" t="b">
            <v>1</v>
          </cell>
          <cell r="C187">
            <v>101256</v>
          </cell>
          <cell r="D187" t="str">
            <v>Haveli Lakha</v>
          </cell>
        </row>
        <row r="188">
          <cell r="A188">
            <v>1257</v>
          </cell>
          <cell r="B188" t="b">
            <v>1</v>
          </cell>
          <cell r="C188">
            <v>101257</v>
          </cell>
          <cell r="D188" t="str">
            <v>Arifwala</v>
          </cell>
        </row>
        <row r="189">
          <cell r="A189">
            <v>1258</v>
          </cell>
          <cell r="B189" t="b">
            <v>1</v>
          </cell>
          <cell r="C189">
            <v>101258</v>
          </cell>
          <cell r="D189" t="str">
            <v>Rasheed Abad, Multan</v>
          </cell>
        </row>
        <row r="190">
          <cell r="A190">
            <v>1259</v>
          </cell>
          <cell r="B190" t="b">
            <v>1</v>
          </cell>
          <cell r="C190">
            <v>101259</v>
          </cell>
          <cell r="D190" t="str">
            <v>Brands Village, Sialkot</v>
          </cell>
        </row>
        <row r="191">
          <cell r="A191">
            <v>1260</v>
          </cell>
          <cell r="B191" t="b">
            <v>1</v>
          </cell>
          <cell r="C191">
            <v>101260</v>
          </cell>
          <cell r="D191" t="str">
            <v>DPO Road, Jacobabad</v>
          </cell>
        </row>
        <row r="192">
          <cell r="A192">
            <v>1261</v>
          </cell>
          <cell r="B192" t="b">
            <v>1</v>
          </cell>
          <cell r="C192">
            <v>101261</v>
          </cell>
          <cell r="D192" t="str">
            <v>Mumtazabad Galleria, Multan</v>
          </cell>
        </row>
        <row r="193">
          <cell r="A193">
            <v>1262</v>
          </cell>
          <cell r="B193" t="b">
            <v>1</v>
          </cell>
          <cell r="C193">
            <v>101262</v>
          </cell>
          <cell r="D193" t="str">
            <v>Mega Mall, Karachi</v>
          </cell>
        </row>
        <row r="194">
          <cell r="A194">
            <v>1263</v>
          </cell>
          <cell r="B194" t="b">
            <v>1</v>
          </cell>
          <cell r="C194">
            <v>101263</v>
          </cell>
          <cell r="D194" t="str">
            <v>Dubai Chowk, Bahawalpur</v>
          </cell>
        </row>
        <row r="195">
          <cell r="A195">
            <v>1264</v>
          </cell>
          <cell r="B195" t="b">
            <v>1</v>
          </cell>
          <cell r="C195">
            <v>101264</v>
          </cell>
          <cell r="D195" t="str">
            <v>Nishtar Chowk, Multan Site</v>
          </cell>
        </row>
        <row r="196">
          <cell r="A196">
            <v>1265</v>
          </cell>
          <cell r="B196" t="b">
            <v>1</v>
          </cell>
          <cell r="C196">
            <v>101265</v>
          </cell>
          <cell r="D196" t="str">
            <v>Khanewal College Road</v>
          </cell>
        </row>
        <row r="197">
          <cell r="A197">
            <v>1266</v>
          </cell>
          <cell r="B197" t="b">
            <v>1</v>
          </cell>
          <cell r="C197">
            <v>101266</v>
          </cell>
          <cell r="D197" t="str">
            <v>Gajju Matta Lahore</v>
          </cell>
        </row>
        <row r="198">
          <cell r="A198">
            <v>1267</v>
          </cell>
          <cell r="B198" t="b">
            <v>1</v>
          </cell>
          <cell r="C198">
            <v>101267</v>
          </cell>
          <cell r="D198" t="str">
            <v>Mall of Wah</v>
          </cell>
        </row>
        <row r="199">
          <cell r="A199">
            <v>1268</v>
          </cell>
          <cell r="B199" t="e">
            <v>#N/A</v>
          </cell>
          <cell r="C199">
            <v>101268</v>
          </cell>
          <cell r="D199" t="str">
            <v>Zeta-1 Mall Islamabad Site</v>
          </cell>
        </row>
        <row r="200">
          <cell r="A200">
            <v>1269</v>
          </cell>
          <cell r="B200" t="b">
            <v>1</v>
          </cell>
          <cell r="C200">
            <v>101269</v>
          </cell>
          <cell r="D200" t="str">
            <v>Burewala Canal Road</v>
          </cell>
        </row>
        <row r="201">
          <cell r="A201">
            <v>1270</v>
          </cell>
          <cell r="B201" t="b">
            <v>1</v>
          </cell>
          <cell r="C201">
            <v>101270</v>
          </cell>
          <cell r="D201" t="str">
            <v>CP Bedian Road Site</v>
          </cell>
        </row>
        <row r="202">
          <cell r="A202">
            <v>1271</v>
          </cell>
          <cell r="B202" t="e">
            <v>#N/A</v>
          </cell>
          <cell r="C202">
            <v>101271</v>
          </cell>
          <cell r="D202" t="str">
            <v>Raja Bazar Rawalpindi Site</v>
          </cell>
        </row>
        <row r="203">
          <cell r="A203">
            <v>1273</v>
          </cell>
          <cell r="B203" t="e">
            <v>#N/A</v>
          </cell>
          <cell r="C203">
            <v>101273</v>
          </cell>
          <cell r="D203" t="str">
            <v>Talagang Site</v>
          </cell>
        </row>
        <row r="204">
          <cell r="A204">
            <v>1501</v>
          </cell>
          <cell r="B204" t="b">
            <v>1</v>
          </cell>
          <cell r="C204">
            <v>101501</v>
          </cell>
          <cell r="D204" t="str">
            <v>Hakim Mall, Mandi Bahauddin</v>
          </cell>
        </row>
        <row r="205">
          <cell r="A205">
            <v>1503</v>
          </cell>
          <cell r="B205" t="b">
            <v>1</v>
          </cell>
          <cell r="C205">
            <v>101503</v>
          </cell>
          <cell r="D205" t="str">
            <v>Adayala Road, Rawalpindi</v>
          </cell>
        </row>
        <row r="206">
          <cell r="A206">
            <v>1504</v>
          </cell>
          <cell r="B206" t="e">
            <v>#N/A</v>
          </cell>
          <cell r="C206">
            <v>101504</v>
          </cell>
          <cell r="D206" t="str">
            <v>Nankaana Sahib</v>
          </cell>
        </row>
        <row r="207">
          <cell r="A207">
            <v>1506</v>
          </cell>
          <cell r="B207" t="e">
            <v>#N/A</v>
          </cell>
          <cell r="C207">
            <v>101506</v>
          </cell>
          <cell r="D207" t="str">
            <v>Circular Road, Jalalpur Jattan</v>
          </cell>
        </row>
        <row r="208">
          <cell r="A208">
            <v>1507</v>
          </cell>
          <cell r="B208" t="e">
            <v>#N/A</v>
          </cell>
          <cell r="C208">
            <v>101507</v>
          </cell>
          <cell r="D208" t="str">
            <v>Circular Road, Layyah</v>
          </cell>
        </row>
        <row r="209">
          <cell r="A209">
            <v>1509</v>
          </cell>
          <cell r="B209" t="b">
            <v>1</v>
          </cell>
          <cell r="C209">
            <v>101509</v>
          </cell>
          <cell r="D209" t="str">
            <v>Saidu Sharif</v>
          </cell>
        </row>
        <row r="210">
          <cell r="A210">
            <v>1512</v>
          </cell>
          <cell r="B210" t="e">
            <v>#N/A</v>
          </cell>
          <cell r="C210">
            <v>101512</v>
          </cell>
          <cell r="D210" t="str">
            <v>French Galleria Mall, Phalia</v>
          </cell>
        </row>
        <row r="211">
          <cell r="A211">
            <v>1513</v>
          </cell>
          <cell r="B211" t="e">
            <v>#N/A</v>
          </cell>
          <cell r="C211">
            <v>101513</v>
          </cell>
          <cell r="D211" t="str">
            <v>Darya Khan Road, Bhakkar</v>
          </cell>
        </row>
        <row r="212">
          <cell r="A212">
            <v>1516</v>
          </cell>
          <cell r="B212" t="e">
            <v>#N/A</v>
          </cell>
          <cell r="C212">
            <v>101516</v>
          </cell>
          <cell r="D212" t="str">
            <v>Bahria Town, Phase#07, Rawalpindi</v>
          </cell>
        </row>
        <row r="213">
          <cell r="A213">
            <v>1518</v>
          </cell>
          <cell r="B213" t="e">
            <v>#N/A</v>
          </cell>
          <cell r="C213">
            <v>101518</v>
          </cell>
          <cell r="D213" t="str">
            <v>Karim Shopping Center, Sarai Alamgir</v>
          </cell>
        </row>
        <row r="214">
          <cell r="A214">
            <v>1523</v>
          </cell>
          <cell r="B214" t="e">
            <v>#N/A</v>
          </cell>
          <cell r="C214">
            <v>101523</v>
          </cell>
          <cell r="D214" t="str">
            <v>Alipur Chatha</v>
          </cell>
        </row>
        <row r="215">
          <cell r="A215">
            <v>1524</v>
          </cell>
          <cell r="B215" t="b">
            <v>1</v>
          </cell>
          <cell r="C215">
            <v>101524</v>
          </cell>
          <cell r="D215" t="str">
            <v>Samundari</v>
          </cell>
        </row>
        <row r="216">
          <cell r="A216">
            <v>1525</v>
          </cell>
          <cell r="B216" t="b">
            <v>1</v>
          </cell>
          <cell r="C216">
            <v>101525</v>
          </cell>
          <cell r="D216" t="str">
            <v>City Max Mall, Batkhela</v>
          </cell>
        </row>
        <row r="217">
          <cell r="A217">
            <v>1527</v>
          </cell>
          <cell r="B217" t="b">
            <v>1</v>
          </cell>
          <cell r="C217">
            <v>101527</v>
          </cell>
          <cell r="D217" t="str">
            <v>Gulzar-e-Quaid, Rawalpindi</v>
          </cell>
        </row>
        <row r="218">
          <cell r="A218">
            <v>1528</v>
          </cell>
          <cell r="B218" t="b">
            <v>1</v>
          </cell>
          <cell r="C218">
            <v>101528</v>
          </cell>
          <cell r="D218" t="str">
            <v>Shahkot</v>
          </cell>
        </row>
        <row r="219">
          <cell r="A219">
            <v>1529</v>
          </cell>
          <cell r="B219" t="b">
            <v>1</v>
          </cell>
          <cell r="C219">
            <v>1529</v>
          </cell>
          <cell r="D219" t="str">
            <v>Bagh AJ &amp; K</v>
          </cell>
        </row>
        <row r="220">
          <cell r="A220">
            <v>1530</v>
          </cell>
          <cell r="B220" t="e">
            <v>#N/A</v>
          </cell>
          <cell r="C220">
            <v>101530</v>
          </cell>
          <cell r="D220" t="str">
            <v>Atrium Mall, Faisalabad</v>
          </cell>
        </row>
        <row r="221">
          <cell r="A221">
            <v>1531</v>
          </cell>
          <cell r="B221" t="e">
            <v>#N/A</v>
          </cell>
          <cell r="C221">
            <v>101531</v>
          </cell>
          <cell r="D221" t="str">
            <v>Sahib-e-Loulak Road, Pir Mahal</v>
          </cell>
        </row>
        <row r="222">
          <cell r="A222">
            <v>1532</v>
          </cell>
          <cell r="B222" t="e">
            <v>#N/A</v>
          </cell>
          <cell r="C222">
            <v>101532</v>
          </cell>
          <cell r="D222" t="str">
            <v>Matta Swat</v>
          </cell>
        </row>
        <row r="223">
          <cell r="A223">
            <v>1533</v>
          </cell>
          <cell r="B223" t="e">
            <v>#N/A</v>
          </cell>
          <cell r="C223">
            <v>101533</v>
          </cell>
          <cell r="D223" t="str">
            <v>Khanewal Road, Kabirwala</v>
          </cell>
        </row>
        <row r="224">
          <cell r="A224">
            <v>1534</v>
          </cell>
          <cell r="B224" t="b">
            <v>1</v>
          </cell>
          <cell r="C224">
            <v>101534</v>
          </cell>
          <cell r="D224" t="str">
            <v>Capital Square Mall, Islamabad</v>
          </cell>
        </row>
        <row r="225">
          <cell r="A225">
            <v>1535</v>
          </cell>
          <cell r="B225" t="e">
            <v>#N/A</v>
          </cell>
          <cell r="C225">
            <v>101535</v>
          </cell>
          <cell r="D225" t="str">
            <v>Gojra MBD</v>
          </cell>
        </row>
        <row r="226">
          <cell r="A226">
            <v>1536</v>
          </cell>
          <cell r="B226" t="e">
            <v>#N/A</v>
          </cell>
          <cell r="C226">
            <v>101536</v>
          </cell>
          <cell r="D226" t="str">
            <v>Maidan Tower, Timergara</v>
          </cell>
        </row>
        <row r="227">
          <cell r="A227">
            <v>1537</v>
          </cell>
          <cell r="B227" t="e">
            <v>#N/A</v>
          </cell>
          <cell r="C227">
            <v>101537</v>
          </cell>
          <cell r="D227" t="str">
            <v>Kot Momin</v>
          </cell>
        </row>
        <row r="228">
          <cell r="A228">
            <v>1539</v>
          </cell>
          <cell r="B228" t="e">
            <v>#N/A</v>
          </cell>
          <cell r="C228">
            <v>101539</v>
          </cell>
          <cell r="D228" t="str">
            <v>Bhera</v>
          </cell>
        </row>
        <row r="229">
          <cell r="A229">
            <v>1540</v>
          </cell>
          <cell r="B229" t="e">
            <v>#N/A</v>
          </cell>
          <cell r="C229">
            <v>101540</v>
          </cell>
          <cell r="D229" t="str">
            <v>Renal Khurd</v>
          </cell>
        </row>
        <row r="230">
          <cell r="A230">
            <v>1541</v>
          </cell>
          <cell r="B230" t="e">
            <v>#N/A</v>
          </cell>
          <cell r="C230">
            <v>101541</v>
          </cell>
          <cell r="D230" t="str">
            <v>Pak China Mall Islamabad</v>
          </cell>
        </row>
        <row r="231">
          <cell r="A231">
            <v>1542</v>
          </cell>
          <cell r="B231" t="e">
            <v>#N/A</v>
          </cell>
          <cell r="C231">
            <v>101542</v>
          </cell>
          <cell r="D231" t="str">
            <v>Dinga Site</v>
          </cell>
        </row>
        <row r="232">
          <cell r="A232">
            <v>1543</v>
          </cell>
          <cell r="B232" t="e">
            <v>#N/A</v>
          </cell>
          <cell r="C232">
            <v>101543</v>
          </cell>
          <cell r="D232" t="str">
            <v>Sharaqpur Lahore</v>
          </cell>
        </row>
        <row r="233">
          <cell r="A233">
            <v>1544</v>
          </cell>
          <cell r="B233" t="e">
            <v>#N/A</v>
          </cell>
          <cell r="C233">
            <v>101544</v>
          </cell>
          <cell r="D233" t="str">
            <v>Kotla Arab Ali Khan Site</v>
          </cell>
        </row>
        <row r="234">
          <cell r="A234">
            <v>1545</v>
          </cell>
          <cell r="B234" t="e">
            <v>#N/A</v>
          </cell>
          <cell r="C234">
            <v>101545</v>
          </cell>
          <cell r="D234" t="str">
            <v>Kahror Pacca Site</v>
          </cell>
        </row>
        <row r="235">
          <cell r="A235">
            <v>1546</v>
          </cell>
          <cell r="B235" t="e">
            <v>#N/A</v>
          </cell>
          <cell r="C235">
            <v>101546</v>
          </cell>
          <cell r="D235" t="str">
            <v>Bhimber Site</v>
          </cell>
        </row>
        <row r="236">
          <cell r="A236">
            <v>1547</v>
          </cell>
          <cell r="B236" t="e">
            <v>#N/A</v>
          </cell>
          <cell r="C236">
            <v>101547</v>
          </cell>
          <cell r="D236" t="str">
            <v>Ghauri Town ISB Site</v>
          </cell>
        </row>
        <row r="237">
          <cell r="A237">
            <v>4001</v>
          </cell>
          <cell r="B237" t="b">
            <v>1</v>
          </cell>
          <cell r="C237">
            <v>104001</v>
          </cell>
          <cell r="D237" t="str">
            <v>Model Town Link Road, Lahore</v>
          </cell>
        </row>
        <row r="238">
          <cell r="A238">
            <v>4002</v>
          </cell>
          <cell r="B238" t="b">
            <v>1</v>
          </cell>
          <cell r="C238">
            <v>104002</v>
          </cell>
          <cell r="D238" t="str">
            <v>D-Ground, Faisalabad</v>
          </cell>
        </row>
        <row r="239">
          <cell r="A239">
            <v>4003</v>
          </cell>
          <cell r="B239" t="b">
            <v>1</v>
          </cell>
          <cell r="C239">
            <v>104003</v>
          </cell>
          <cell r="D239" t="str">
            <v>Pizza Hut Road, Gulgasht Colony, Multan</v>
          </cell>
        </row>
        <row r="240">
          <cell r="A240">
            <v>4004</v>
          </cell>
          <cell r="B240" t="b">
            <v>1</v>
          </cell>
          <cell r="C240">
            <v>104004</v>
          </cell>
          <cell r="D240" t="str">
            <v>Gulf Center, Gujrat</v>
          </cell>
        </row>
        <row r="241">
          <cell r="A241">
            <v>4005</v>
          </cell>
          <cell r="B241" t="b">
            <v>1</v>
          </cell>
          <cell r="C241">
            <v>104005</v>
          </cell>
          <cell r="D241" t="str">
            <v>Main Auto Bhan, Hyderabad</v>
          </cell>
        </row>
        <row r="242">
          <cell r="A242">
            <v>4006</v>
          </cell>
          <cell r="B242" t="b">
            <v>1</v>
          </cell>
          <cell r="C242">
            <v>104006</v>
          </cell>
          <cell r="D242" t="str">
            <v>Railway Road, Bahawalpur</v>
          </cell>
        </row>
        <row r="243">
          <cell r="A243">
            <v>4007</v>
          </cell>
          <cell r="B243" t="b">
            <v>1</v>
          </cell>
          <cell r="C243">
            <v>104007</v>
          </cell>
          <cell r="D243" t="str">
            <v>CS Supply, Abbottabad</v>
          </cell>
        </row>
        <row r="244">
          <cell r="A244">
            <v>4008</v>
          </cell>
          <cell r="B244" t="b">
            <v>1</v>
          </cell>
          <cell r="C244">
            <v>104008</v>
          </cell>
          <cell r="D244" t="str">
            <v>Uni Road Near Silver Dragon, Peshawar</v>
          </cell>
        </row>
        <row r="245">
          <cell r="A245">
            <v>4010</v>
          </cell>
          <cell r="B245" t="b">
            <v>1</v>
          </cell>
          <cell r="C245">
            <v>104010</v>
          </cell>
          <cell r="D245" t="str">
            <v>Jaan Heights, Gujranwala</v>
          </cell>
        </row>
        <row r="246">
          <cell r="A246">
            <v>4011</v>
          </cell>
          <cell r="B246" t="b">
            <v>1</v>
          </cell>
          <cell r="C246">
            <v>104011</v>
          </cell>
          <cell r="D246" t="str">
            <v>College Road, Sahiwal</v>
          </cell>
        </row>
        <row r="247">
          <cell r="A247">
            <v>4012</v>
          </cell>
          <cell r="B247" t="b">
            <v>1</v>
          </cell>
          <cell r="C247">
            <v>104012</v>
          </cell>
          <cell r="D247" t="str">
            <v>PWD Road, Islamabad</v>
          </cell>
        </row>
        <row r="248">
          <cell r="A248">
            <v>4013</v>
          </cell>
          <cell r="B248" t="b">
            <v>1</v>
          </cell>
          <cell r="C248">
            <v>104013</v>
          </cell>
          <cell r="D248" t="str">
            <v>By Pass, Gujranwala</v>
          </cell>
        </row>
        <row r="249">
          <cell r="A249">
            <v>4014</v>
          </cell>
          <cell r="B249" t="b">
            <v>1</v>
          </cell>
          <cell r="C249">
            <v>104014</v>
          </cell>
          <cell r="D249" t="str">
            <v>Swabi</v>
          </cell>
        </row>
        <row r="250">
          <cell r="A250">
            <v>4016</v>
          </cell>
          <cell r="B250" t="b">
            <v>1</v>
          </cell>
          <cell r="C250">
            <v>104016</v>
          </cell>
          <cell r="D250" t="str">
            <v>Shalimar Link Road, Lahore</v>
          </cell>
        </row>
        <row r="251">
          <cell r="A251">
            <v>4017</v>
          </cell>
          <cell r="B251" t="b">
            <v>1</v>
          </cell>
          <cell r="C251">
            <v>104017</v>
          </cell>
          <cell r="D251" t="str">
            <v>Ludden Road, Vehari</v>
          </cell>
        </row>
        <row r="252">
          <cell r="A252">
            <v>4018</v>
          </cell>
          <cell r="B252" t="b">
            <v>1</v>
          </cell>
          <cell r="C252">
            <v>104018</v>
          </cell>
          <cell r="D252" t="str">
            <v>Talagang Road, Chakwal</v>
          </cell>
        </row>
        <row r="253">
          <cell r="A253">
            <v>4019</v>
          </cell>
          <cell r="B253" t="b">
            <v>1</v>
          </cell>
          <cell r="C253">
            <v>104019</v>
          </cell>
          <cell r="D253" t="str">
            <v>Khayaban-e-Ittehad, Karachi</v>
          </cell>
        </row>
        <row r="254">
          <cell r="A254">
            <v>4020</v>
          </cell>
          <cell r="B254" t="b">
            <v>1</v>
          </cell>
          <cell r="C254">
            <v>104020</v>
          </cell>
          <cell r="D254" t="str">
            <v>F-10 Al Asad Plaza, Islamabad</v>
          </cell>
        </row>
        <row r="255">
          <cell r="A255">
            <v>4021</v>
          </cell>
          <cell r="B255" t="b">
            <v>1</v>
          </cell>
          <cell r="C255">
            <v>104021</v>
          </cell>
          <cell r="D255" t="str">
            <v>Main Rawalpindi Road, Kohat</v>
          </cell>
        </row>
        <row r="256">
          <cell r="A256">
            <v>4022</v>
          </cell>
          <cell r="B256" t="b">
            <v>1</v>
          </cell>
          <cell r="C256">
            <v>104022</v>
          </cell>
          <cell r="D256" t="str">
            <v>Kambar Road, Sawat</v>
          </cell>
        </row>
        <row r="257">
          <cell r="A257">
            <v>4023</v>
          </cell>
          <cell r="B257" t="b">
            <v>1</v>
          </cell>
          <cell r="C257">
            <v>104023</v>
          </cell>
          <cell r="D257" t="str">
            <v>Fateh Garh, Lahore</v>
          </cell>
        </row>
        <row r="258">
          <cell r="A258">
            <v>4024</v>
          </cell>
          <cell r="B258" t="b">
            <v>1</v>
          </cell>
          <cell r="C258">
            <v>104024</v>
          </cell>
          <cell r="D258" t="str">
            <v>Batti Chowk, Sheikhupura</v>
          </cell>
        </row>
        <row r="259">
          <cell r="A259">
            <v>4025</v>
          </cell>
          <cell r="B259" t="b">
            <v>1</v>
          </cell>
          <cell r="C259">
            <v>104025</v>
          </cell>
          <cell r="D259" t="str">
            <v>Aziz Shaheed Raod, Sialkot.</v>
          </cell>
        </row>
        <row r="260">
          <cell r="A260">
            <v>4026</v>
          </cell>
          <cell r="B260" t="b">
            <v>1</v>
          </cell>
          <cell r="C260">
            <v>104026</v>
          </cell>
          <cell r="D260" t="str">
            <v>GT Road, Gujrat</v>
          </cell>
        </row>
        <row r="261">
          <cell r="A261">
            <v>4027</v>
          </cell>
          <cell r="B261" t="b">
            <v>1</v>
          </cell>
          <cell r="C261">
            <v>104027</v>
          </cell>
          <cell r="D261" t="str">
            <v>Main GT Road, Wah Cant</v>
          </cell>
        </row>
        <row r="262">
          <cell r="A262">
            <v>4028</v>
          </cell>
          <cell r="B262" t="b">
            <v>1</v>
          </cell>
          <cell r="C262">
            <v>4028</v>
          </cell>
          <cell r="D262" t="str">
            <v>Neelam Road, Muzaffarbad</v>
          </cell>
        </row>
        <row r="263">
          <cell r="A263">
            <v>4029</v>
          </cell>
          <cell r="B263" t="b">
            <v>1</v>
          </cell>
          <cell r="C263">
            <v>104029</v>
          </cell>
          <cell r="D263" t="str">
            <v>Yousaf Shah Road, Jhang</v>
          </cell>
        </row>
        <row r="264">
          <cell r="A264">
            <v>4030</v>
          </cell>
          <cell r="B264" t="b">
            <v>1</v>
          </cell>
          <cell r="C264">
            <v>104030</v>
          </cell>
          <cell r="D264" t="str">
            <v>Nishtar Road, Mian Channu</v>
          </cell>
        </row>
        <row r="265">
          <cell r="A265">
            <v>4031</v>
          </cell>
          <cell r="B265" t="b">
            <v>1</v>
          </cell>
          <cell r="C265">
            <v>4031</v>
          </cell>
          <cell r="D265" t="str">
            <v xml:space="preserve">Bank Road, Rawalacot </v>
          </cell>
        </row>
        <row r="266">
          <cell r="A266">
            <v>4032</v>
          </cell>
          <cell r="B266" t="b">
            <v>1</v>
          </cell>
          <cell r="C266">
            <v>104032</v>
          </cell>
          <cell r="D266" t="str">
            <v>Soney Khail Plaza, Mianwali</v>
          </cell>
        </row>
        <row r="267">
          <cell r="A267">
            <v>4033</v>
          </cell>
          <cell r="B267" t="b">
            <v>1</v>
          </cell>
          <cell r="C267">
            <v>104033</v>
          </cell>
          <cell r="D267" t="str">
            <v>College Road, Chishtian</v>
          </cell>
        </row>
        <row r="268">
          <cell r="A268">
            <v>4034</v>
          </cell>
          <cell r="B268" t="b">
            <v>1</v>
          </cell>
          <cell r="C268">
            <v>104034</v>
          </cell>
          <cell r="D268" t="str">
            <v>Shahbaz Khan Road, Kasur</v>
          </cell>
        </row>
        <row r="269">
          <cell r="A269">
            <v>4035</v>
          </cell>
          <cell r="B269" t="b">
            <v>1</v>
          </cell>
          <cell r="C269">
            <v>104035</v>
          </cell>
          <cell r="D269" t="str">
            <v>Bahria Town, Lahore</v>
          </cell>
        </row>
        <row r="270">
          <cell r="A270">
            <v>4036</v>
          </cell>
          <cell r="B270" t="b">
            <v>1</v>
          </cell>
          <cell r="C270">
            <v>104036</v>
          </cell>
          <cell r="D270" t="str">
            <v>SP Chowk Cantt, Multan</v>
          </cell>
        </row>
        <row r="271">
          <cell r="A271">
            <v>4037</v>
          </cell>
          <cell r="B271" t="b">
            <v>1</v>
          </cell>
          <cell r="C271">
            <v>104037</v>
          </cell>
          <cell r="D271" t="str">
            <v>TMA Road, Gojra</v>
          </cell>
        </row>
        <row r="272">
          <cell r="A272">
            <v>4038</v>
          </cell>
          <cell r="B272" t="b">
            <v>1</v>
          </cell>
          <cell r="C272">
            <v>104038</v>
          </cell>
          <cell r="D272" t="str">
            <v>Johar Town, Lahore</v>
          </cell>
        </row>
        <row r="273">
          <cell r="A273">
            <v>4039</v>
          </cell>
          <cell r="B273" t="b">
            <v>1</v>
          </cell>
          <cell r="C273">
            <v>104039</v>
          </cell>
          <cell r="D273" t="str">
            <v>EME Canal Road, Lahore</v>
          </cell>
        </row>
        <row r="274">
          <cell r="A274">
            <v>4040</v>
          </cell>
          <cell r="B274" t="b">
            <v>1</v>
          </cell>
          <cell r="C274">
            <v>104040</v>
          </cell>
          <cell r="D274" t="str">
            <v>Mansehra Road, Abbottabad</v>
          </cell>
        </row>
        <row r="275">
          <cell r="A275">
            <v>4041</v>
          </cell>
          <cell r="B275" t="b">
            <v>1</v>
          </cell>
          <cell r="C275">
            <v>104041</v>
          </cell>
          <cell r="D275" t="str">
            <v>AK Arcade, Mirpurkhas</v>
          </cell>
        </row>
        <row r="276">
          <cell r="A276">
            <v>4042</v>
          </cell>
          <cell r="B276" t="b">
            <v>1</v>
          </cell>
          <cell r="C276">
            <v>104042</v>
          </cell>
          <cell r="D276" t="str">
            <v>Fawara Chowk, Sadiqabad</v>
          </cell>
        </row>
        <row r="277">
          <cell r="A277">
            <v>4043</v>
          </cell>
          <cell r="B277" t="b">
            <v>1</v>
          </cell>
          <cell r="C277">
            <v>104043</v>
          </cell>
          <cell r="D277" t="str">
            <v>Phalia Road, Mandi Bahauddin</v>
          </cell>
        </row>
        <row r="278">
          <cell r="A278">
            <v>4044</v>
          </cell>
          <cell r="B278" t="b">
            <v>1</v>
          </cell>
          <cell r="C278">
            <v>4044</v>
          </cell>
          <cell r="D278" t="str">
            <v>Kotli Road, Opposite AIOU, Mirpur AJ&amp;K</v>
          </cell>
        </row>
        <row r="279">
          <cell r="A279">
            <v>4045</v>
          </cell>
          <cell r="B279" t="b">
            <v>1</v>
          </cell>
          <cell r="C279">
            <v>104045</v>
          </cell>
          <cell r="D279" t="str">
            <v>MA Jinnah Road, Okara</v>
          </cell>
        </row>
        <row r="280">
          <cell r="A280">
            <v>4046</v>
          </cell>
          <cell r="B280" t="b">
            <v>1</v>
          </cell>
          <cell r="C280">
            <v>104046</v>
          </cell>
          <cell r="D280" t="str">
            <v>University Road, Sargodha</v>
          </cell>
        </row>
        <row r="281">
          <cell r="A281">
            <v>4047</v>
          </cell>
          <cell r="B281" t="b">
            <v>1</v>
          </cell>
          <cell r="C281">
            <v>104047</v>
          </cell>
          <cell r="D281" t="str">
            <v>Mishal Khan Plaza, Abbotabad</v>
          </cell>
        </row>
        <row r="282">
          <cell r="A282">
            <v>4048</v>
          </cell>
          <cell r="B282" t="b">
            <v>1</v>
          </cell>
          <cell r="C282">
            <v>104048</v>
          </cell>
          <cell r="D282" t="str">
            <v>Saddar Cantt, Peshawar</v>
          </cell>
        </row>
        <row r="283">
          <cell r="A283">
            <v>4049</v>
          </cell>
          <cell r="B283" t="b">
            <v>1</v>
          </cell>
          <cell r="C283">
            <v>104049</v>
          </cell>
          <cell r="D283" t="str">
            <v>Jail Road, Bahawalnagar</v>
          </cell>
        </row>
        <row r="284">
          <cell r="A284">
            <v>4050</v>
          </cell>
          <cell r="B284" t="b">
            <v>1</v>
          </cell>
          <cell r="C284">
            <v>104050</v>
          </cell>
          <cell r="D284" t="str">
            <v>Aslam Arcade, Attock</v>
          </cell>
        </row>
        <row r="285">
          <cell r="A285">
            <v>4051</v>
          </cell>
          <cell r="B285" t="b">
            <v>1</v>
          </cell>
          <cell r="C285">
            <v>104051</v>
          </cell>
          <cell r="D285" t="str">
            <v>Main Bazar, Joharabad</v>
          </cell>
        </row>
        <row r="286">
          <cell r="A286">
            <v>4052</v>
          </cell>
          <cell r="B286" t="b">
            <v>1</v>
          </cell>
          <cell r="C286">
            <v>104052</v>
          </cell>
          <cell r="D286" t="str">
            <v>Circular Road, Narowal</v>
          </cell>
        </row>
        <row r="287">
          <cell r="A287">
            <v>4053</v>
          </cell>
          <cell r="B287" t="b">
            <v>1</v>
          </cell>
          <cell r="C287">
            <v>104053</v>
          </cell>
          <cell r="D287" t="str">
            <v>High Street, Sahiwal</v>
          </cell>
        </row>
        <row r="288">
          <cell r="A288">
            <v>4054</v>
          </cell>
          <cell r="B288" t="b">
            <v>1</v>
          </cell>
          <cell r="C288">
            <v>104054</v>
          </cell>
          <cell r="D288" t="str">
            <v>Bank Road, Near Kashmir Road, Rawalpindi</v>
          </cell>
        </row>
        <row r="289">
          <cell r="A289">
            <v>4055</v>
          </cell>
          <cell r="B289" t="b">
            <v>1</v>
          </cell>
          <cell r="C289">
            <v>104055</v>
          </cell>
          <cell r="D289" t="str">
            <v>Bahria Town, Rawalpindi</v>
          </cell>
        </row>
        <row r="290">
          <cell r="A290">
            <v>4056</v>
          </cell>
          <cell r="B290" t="b">
            <v>1</v>
          </cell>
          <cell r="C290">
            <v>104056</v>
          </cell>
          <cell r="D290" t="str">
            <v>Minar Road, Wah Cantt</v>
          </cell>
        </row>
        <row r="291">
          <cell r="A291">
            <v>4057</v>
          </cell>
          <cell r="B291" t="b">
            <v>1</v>
          </cell>
          <cell r="C291">
            <v>104057</v>
          </cell>
          <cell r="D291" t="str">
            <v>CS Mianwali Hospital Road</v>
          </cell>
        </row>
        <row r="292">
          <cell r="A292">
            <v>4060</v>
          </cell>
          <cell r="B292" t="b">
            <v>1</v>
          </cell>
          <cell r="C292">
            <v>104060</v>
          </cell>
          <cell r="D292" t="str">
            <v>Central Park, Lahore</v>
          </cell>
        </row>
        <row r="293">
          <cell r="A293">
            <v>4061</v>
          </cell>
          <cell r="B293" t="b">
            <v>1</v>
          </cell>
          <cell r="C293">
            <v>104061</v>
          </cell>
          <cell r="D293" t="str">
            <v>Manawan, Lahore</v>
          </cell>
        </row>
        <row r="294">
          <cell r="A294">
            <v>4062</v>
          </cell>
          <cell r="B294" t="b">
            <v>1</v>
          </cell>
          <cell r="C294">
            <v>104062</v>
          </cell>
          <cell r="D294" t="str">
            <v>CS Peshawar University Road-2 Site</v>
          </cell>
        </row>
        <row r="295">
          <cell r="A295">
            <v>1261</v>
          </cell>
          <cell r="B295" t="b">
            <v>1</v>
          </cell>
          <cell r="C295">
            <v>101261</v>
          </cell>
          <cell r="D295" t="str">
            <v>Mumtazabad Galleria, Multan</v>
          </cell>
        </row>
        <row r="296">
          <cell r="A296">
            <v>1262</v>
          </cell>
          <cell r="B296" t="b">
            <v>1</v>
          </cell>
          <cell r="C296">
            <v>101262</v>
          </cell>
          <cell r="D296" t="str">
            <v>Mega Mall, Karachi</v>
          </cell>
        </row>
        <row r="297">
          <cell r="A297" t="str">
            <v>NS - 01</v>
          </cell>
          <cell r="C297" t="str">
            <v>NS - 01</v>
          </cell>
        </row>
        <row r="298">
          <cell r="A298" t="str">
            <v>NS - 02</v>
          </cell>
          <cell r="C298" t="str">
            <v>NS - 02</v>
          </cell>
        </row>
        <row r="299">
          <cell r="A299" t="str">
            <v>NS - 03</v>
          </cell>
          <cell r="C299" t="str">
            <v>NS - 03</v>
          </cell>
        </row>
        <row r="300">
          <cell r="A300" t="str">
            <v>NS - 04</v>
          </cell>
          <cell r="C300" t="str">
            <v>NS - 04</v>
          </cell>
        </row>
        <row r="301">
          <cell r="A301" t="str">
            <v>NS - 05</v>
          </cell>
          <cell r="C301" t="str">
            <v>NS - 05</v>
          </cell>
        </row>
        <row r="302">
          <cell r="A302" t="str">
            <v>NS - 06</v>
          </cell>
          <cell r="C302" t="str">
            <v>NS - 06</v>
          </cell>
        </row>
        <row r="303">
          <cell r="A303" t="str">
            <v>NS - 07</v>
          </cell>
          <cell r="C303" t="str">
            <v>NS - 07</v>
          </cell>
        </row>
        <row r="304">
          <cell r="A304" t="str">
            <v>NS - 08</v>
          </cell>
          <cell r="C304" t="str">
            <v>NS - 08</v>
          </cell>
        </row>
        <row r="305">
          <cell r="A305" t="str">
            <v>NS - 09</v>
          </cell>
          <cell r="C305" t="str">
            <v>NS - 09</v>
          </cell>
        </row>
        <row r="306">
          <cell r="A306" t="str">
            <v>NS - 10</v>
          </cell>
          <cell r="C306" t="str">
            <v>NS - 10</v>
          </cell>
        </row>
        <row r="307">
          <cell r="A307" t="str">
            <v>NS - 11</v>
          </cell>
          <cell r="C307" t="str">
            <v>NS - 11</v>
          </cell>
        </row>
        <row r="308">
          <cell r="A308" t="str">
            <v>NS - 12</v>
          </cell>
          <cell r="C308" t="str">
            <v>NS - 12</v>
          </cell>
        </row>
        <row r="309">
          <cell r="A309" t="str">
            <v>NS - 13</v>
          </cell>
          <cell r="C309" t="str">
            <v>NS - 13</v>
          </cell>
        </row>
        <row r="310">
          <cell r="A310" t="str">
            <v>NS - 14</v>
          </cell>
          <cell r="C310" t="str">
            <v>NS - 14</v>
          </cell>
        </row>
        <row r="311">
          <cell r="A311" t="str">
            <v>NS - 15</v>
          </cell>
          <cell r="C311" t="str">
            <v>NS - 15</v>
          </cell>
        </row>
        <row r="312">
          <cell r="A312" t="str">
            <v>NS - 16</v>
          </cell>
          <cell r="C312" t="str">
            <v>NS - 16</v>
          </cell>
        </row>
        <row r="313">
          <cell r="A313" t="str">
            <v>NS - 17</v>
          </cell>
          <cell r="C313" t="str">
            <v>NS - 17</v>
          </cell>
        </row>
        <row r="314">
          <cell r="A314" t="str">
            <v>NS - 18</v>
          </cell>
          <cell r="C314" t="str">
            <v>NS - 18</v>
          </cell>
        </row>
        <row r="315">
          <cell r="A315" t="str">
            <v>NS - 19</v>
          </cell>
          <cell r="C315" t="str">
            <v>NS - 19</v>
          </cell>
        </row>
        <row r="316">
          <cell r="A316" t="str">
            <v>NS - 20</v>
          </cell>
          <cell r="C316" t="str">
            <v>NS - 20</v>
          </cell>
        </row>
        <row r="317">
          <cell r="A317" t="str">
            <v>NS - 21</v>
          </cell>
          <cell r="C317" t="str">
            <v>NS - 21</v>
          </cell>
        </row>
        <row r="318">
          <cell r="A318" t="str">
            <v>NS - 22</v>
          </cell>
          <cell r="C318" t="str">
            <v>NS - 22</v>
          </cell>
        </row>
        <row r="319">
          <cell r="A319" t="str">
            <v>NS - 23</v>
          </cell>
          <cell r="C319" t="str">
            <v>NS - 23</v>
          </cell>
        </row>
        <row r="320">
          <cell r="A320" t="str">
            <v>NS - 24</v>
          </cell>
          <cell r="C320" t="str">
            <v>NS - 24</v>
          </cell>
        </row>
        <row r="321">
          <cell r="A321" t="str">
            <v>NS - 25</v>
          </cell>
          <cell r="C321" t="str">
            <v>NS - 25</v>
          </cell>
        </row>
        <row r="322">
          <cell r="A322" t="str">
            <v>NS - 26</v>
          </cell>
          <cell r="C322" t="str">
            <v>NS - 26</v>
          </cell>
        </row>
        <row r="323">
          <cell r="A323" t="str">
            <v>NS - 27</v>
          </cell>
          <cell r="C323" t="str">
            <v>NS - 27</v>
          </cell>
        </row>
        <row r="324">
          <cell r="A324" t="str">
            <v>NS - 28</v>
          </cell>
          <cell r="C324" t="str">
            <v>NS - 28</v>
          </cell>
        </row>
        <row r="325">
          <cell r="A325" t="str">
            <v>NS - 29</v>
          </cell>
          <cell r="C325" t="str">
            <v>NS - 29</v>
          </cell>
        </row>
        <row r="326">
          <cell r="A326" t="str">
            <v>NS - 30</v>
          </cell>
          <cell r="C326" t="str">
            <v>NS - 30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01F2-5BD4-470A-B79C-97D6B60D719F}">
  <sheetPr filterMode="1"/>
  <dimension ref="A1:S276"/>
  <sheetViews>
    <sheetView showGridLines="0" tabSelected="1" topLeftCell="C1" zoomScale="92" zoomScaleNormal="72" workbookViewId="0">
      <pane ySplit="2" topLeftCell="A80" activePane="bottomLeft" state="frozen"/>
      <selection activeCell="A2" sqref="A2"/>
      <selection pane="bottomLeft" activeCell="K282" sqref="K282"/>
    </sheetView>
  </sheetViews>
  <sheetFormatPr defaultRowHeight="14.4" x14ac:dyDescent="0.3"/>
  <cols>
    <col min="1" max="1" width="6.88671875" bestFit="1" customWidth="1"/>
    <col min="2" max="3" width="11.33203125" style="1" bestFit="1" customWidth="1"/>
    <col min="4" max="4" width="39.6640625" bestFit="1" customWidth="1"/>
    <col min="5" max="5" width="9.6640625" bestFit="1" customWidth="1"/>
    <col min="6" max="6" width="9.44140625" bestFit="1" customWidth="1"/>
    <col min="7" max="7" width="10.109375" bestFit="1" customWidth="1"/>
    <col min="8" max="8" width="9.6640625" bestFit="1" customWidth="1"/>
    <col min="9" max="9" width="9.5546875" bestFit="1" customWidth="1"/>
    <col min="10" max="10" width="9.33203125" bestFit="1" customWidth="1"/>
    <col min="11" max="11" width="8.88671875" bestFit="1" customWidth="1"/>
    <col min="12" max="12" width="9.33203125" bestFit="1" customWidth="1"/>
    <col min="13" max="13" width="9.33203125" customWidth="1"/>
    <col min="14" max="16" width="10.109375" bestFit="1" customWidth="1"/>
    <col min="17" max="17" width="10.77734375" bestFit="1" customWidth="1"/>
    <col min="18" max="18" width="25" style="2" bestFit="1" customWidth="1"/>
  </cols>
  <sheetData>
    <row r="1" spans="1:18" ht="15" thickBot="1" x14ac:dyDescent="0.35">
      <c r="A1">
        <f>242</f>
        <v>242</v>
      </c>
      <c r="E1" s="74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8" ht="15" thickBot="1" x14ac:dyDescent="0.35">
      <c r="A2" s="3" t="s">
        <v>1</v>
      </c>
      <c r="B2" s="77" t="s">
        <v>2</v>
      </c>
      <c r="C2" s="78"/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26" t="s">
        <v>25</v>
      </c>
      <c r="P2" s="27" t="s">
        <v>26</v>
      </c>
      <c r="Q2" s="5" t="s">
        <v>14</v>
      </c>
      <c r="R2" s="6" t="s">
        <v>16</v>
      </c>
    </row>
    <row r="3" spans="1:18" hidden="1" x14ac:dyDescent="0.3">
      <c r="A3" s="1">
        <v>1</v>
      </c>
      <c r="B3" s="1">
        <v>1002</v>
      </c>
      <c r="C3" s="7">
        <v>101002</v>
      </c>
      <c r="D3" t="str">
        <f>VLOOKUP(B3,[2]Electricity!$A$8:$D$326,4,0)</f>
        <v>Anarkali, Lahore</v>
      </c>
      <c r="E3" s="8">
        <f>288+1648+1947+703</f>
        <v>4586</v>
      </c>
      <c r="F3" s="9">
        <f>298+1808+1997+669</f>
        <v>4772</v>
      </c>
      <c r="G3" s="9">
        <f>292+1368+2053+681</f>
        <v>4394</v>
      </c>
      <c r="H3" s="9">
        <f>410+1518+2127+709</f>
        <v>4764</v>
      </c>
      <c r="I3" s="9">
        <f>360+1111+852+721</f>
        <v>3044</v>
      </c>
      <c r="J3" s="9">
        <f>233+3+750+564</f>
        <v>1550</v>
      </c>
      <c r="K3" s="9">
        <f>244+834+398+291</f>
        <v>1767</v>
      </c>
      <c r="L3" s="9">
        <f>236+1279</f>
        <v>1515</v>
      </c>
      <c r="M3" s="9">
        <f>242+1+1</f>
        <v>244</v>
      </c>
      <c r="N3" s="9">
        <f>560+28+570</f>
        <v>1158</v>
      </c>
      <c r="O3" s="9">
        <f>426+802+289+301</f>
        <v>1818</v>
      </c>
      <c r="P3" s="9">
        <f>424+617+556</f>
        <v>1597</v>
      </c>
      <c r="Q3" s="10">
        <f>SUM(E3:P3)</f>
        <v>31209</v>
      </c>
      <c r="R3" s="2" t="s">
        <v>836</v>
      </c>
    </row>
    <row r="4" spans="1:18" hidden="1" x14ac:dyDescent="0.3">
      <c r="A4" s="1">
        <f>A3+1</f>
        <v>2</v>
      </c>
      <c r="B4" s="1">
        <v>1005</v>
      </c>
      <c r="C4" s="7">
        <v>101005</v>
      </c>
      <c r="D4" t="str">
        <f>VLOOKUP(B4,[2]Electricity!$A$8:$D$326,4,0)</f>
        <v>F-6 Super Market, Islamabad</v>
      </c>
      <c r="E4" s="12">
        <f>1799+1485</f>
        <v>3284</v>
      </c>
      <c r="F4" s="13">
        <f>1941+1731</f>
        <v>3672</v>
      </c>
      <c r="G4" s="13">
        <f>1681+1250</f>
        <v>2931</v>
      </c>
      <c r="H4" s="13">
        <f>1987+854</f>
        <v>2841</v>
      </c>
      <c r="I4" s="13">
        <f>941+170</f>
        <v>1111</v>
      </c>
      <c r="J4" s="13">
        <f>1599+16</f>
        <v>1615</v>
      </c>
      <c r="K4" s="13">
        <v>1830</v>
      </c>
      <c r="L4" s="13">
        <f>1795+2</f>
        <v>1797</v>
      </c>
      <c r="M4" s="13">
        <f>1533+3</f>
        <v>1536</v>
      </c>
      <c r="N4" s="13">
        <f>1680+436</f>
        <v>2116</v>
      </c>
      <c r="O4" s="13">
        <f>1495+1131</f>
        <v>2626</v>
      </c>
      <c r="P4" s="13">
        <f>1413+1314</f>
        <v>2727</v>
      </c>
      <c r="Q4" s="14">
        <f t="shared" ref="Q4:Q68" si="0">SUM(E4:P4)</f>
        <v>28086</v>
      </c>
      <c r="R4" s="2" t="s">
        <v>834</v>
      </c>
    </row>
    <row r="5" spans="1:18" hidden="1" x14ac:dyDescent="0.3">
      <c r="A5" s="1">
        <f t="shared" ref="A5:A68" si="1">A4+1</f>
        <v>3</v>
      </c>
      <c r="B5" s="1">
        <v>1006</v>
      </c>
      <c r="C5" s="7">
        <v>101006</v>
      </c>
      <c r="D5" t="str">
        <f>VLOOKUP(B5,[2]Electricity!$A$8:$D$326,4,0)</f>
        <v>Y-Block DHA, Lahore</v>
      </c>
      <c r="E5" s="12">
        <v>7520</v>
      </c>
      <c r="F5" s="13">
        <v>8720</v>
      </c>
      <c r="G5" s="13">
        <v>6500</v>
      </c>
      <c r="H5" s="13">
        <v>6480</v>
      </c>
      <c r="I5" s="13">
        <v>3160</v>
      </c>
      <c r="J5" s="13">
        <v>5100</v>
      </c>
      <c r="K5" s="13">
        <v>4300</v>
      </c>
      <c r="L5" s="13">
        <v>4220</v>
      </c>
      <c r="M5" s="13">
        <v>6520</v>
      </c>
      <c r="N5" s="13">
        <v>5840</v>
      </c>
      <c r="O5" s="13">
        <v>7840</v>
      </c>
      <c r="P5" s="13">
        <v>6820</v>
      </c>
      <c r="Q5" s="14">
        <f t="shared" si="0"/>
        <v>73020</v>
      </c>
      <c r="R5" s="2" t="s">
        <v>834</v>
      </c>
    </row>
    <row r="6" spans="1:18" hidden="1" x14ac:dyDescent="0.3">
      <c r="A6" s="1">
        <f t="shared" si="1"/>
        <v>4</v>
      </c>
      <c r="B6" s="1">
        <v>1007</v>
      </c>
      <c r="C6" s="7">
        <v>101007</v>
      </c>
      <c r="D6" t="str">
        <f>VLOOKUP(B6,[2]Electricity!$A$8:$D$326,4,0)</f>
        <v>Niazi Shopping Center, Rawalpindi</v>
      </c>
      <c r="E6" s="12">
        <v>2974</v>
      </c>
      <c r="F6" s="13">
        <v>3769</v>
      </c>
      <c r="G6" s="13">
        <v>3644</v>
      </c>
      <c r="H6" s="13">
        <v>2877</v>
      </c>
      <c r="I6" s="13">
        <v>2444</v>
      </c>
      <c r="J6" s="13">
        <v>1819</v>
      </c>
      <c r="K6" s="13">
        <v>2054</v>
      </c>
      <c r="L6" s="13">
        <v>2049</v>
      </c>
      <c r="M6" s="13">
        <v>1928</v>
      </c>
      <c r="N6" s="13">
        <v>2790</v>
      </c>
      <c r="O6" s="13">
        <v>3191</v>
      </c>
      <c r="P6" s="13">
        <v>3623</v>
      </c>
      <c r="Q6" s="14">
        <f t="shared" si="0"/>
        <v>33162</v>
      </c>
      <c r="R6" s="2" t="s">
        <v>834</v>
      </c>
    </row>
    <row r="7" spans="1:18" hidden="1" x14ac:dyDescent="0.3">
      <c r="A7" s="1">
        <f t="shared" si="1"/>
        <v>5</v>
      </c>
      <c r="B7" s="1">
        <v>1010</v>
      </c>
      <c r="C7" s="7">
        <v>101010</v>
      </c>
      <c r="D7" t="str">
        <f>VLOOKUP(B7,[2]Electricity!$A$8:$D$326,4,0)</f>
        <v>Katchery Road, Gujrat</v>
      </c>
      <c r="E7" s="12">
        <v>6260</v>
      </c>
      <c r="F7" s="13">
        <f>6413+134</f>
        <v>6547</v>
      </c>
      <c r="G7" s="13">
        <v>5367</v>
      </c>
      <c r="H7" s="13">
        <v>4417</v>
      </c>
      <c r="I7" s="13">
        <v>3928</v>
      </c>
      <c r="J7" s="13">
        <v>2404</v>
      </c>
      <c r="K7" s="13">
        <f>2476+79</f>
        <v>2555</v>
      </c>
      <c r="L7" s="13">
        <f>2415+331</f>
        <v>2746</v>
      </c>
      <c r="M7" s="13">
        <v>2567</v>
      </c>
      <c r="N7" s="13">
        <v>3661</v>
      </c>
      <c r="O7" s="13">
        <v>5082</v>
      </c>
      <c r="P7" s="13">
        <v>6443</v>
      </c>
      <c r="Q7" s="14">
        <f t="shared" si="0"/>
        <v>51977</v>
      </c>
      <c r="R7" s="2" t="s">
        <v>834</v>
      </c>
    </row>
    <row r="8" spans="1:18" hidden="1" x14ac:dyDescent="0.3">
      <c r="A8" s="1">
        <f t="shared" si="1"/>
        <v>6</v>
      </c>
      <c r="B8" s="1">
        <v>1011</v>
      </c>
      <c r="C8" s="7">
        <v>101011</v>
      </c>
      <c r="D8" t="str">
        <f>VLOOKUP(B8,[2]Electricity!$A$8:$D$326,4,0)</f>
        <v>Sattelite Town, Gujranwala</v>
      </c>
      <c r="E8" s="12">
        <v>5977</v>
      </c>
      <c r="F8" s="13">
        <v>6500</v>
      </c>
      <c r="G8" s="13">
        <v>6986</v>
      </c>
      <c r="H8" s="13">
        <v>5042</v>
      </c>
      <c r="I8" s="13">
        <v>3345</v>
      </c>
      <c r="J8" s="13">
        <v>3470</v>
      </c>
      <c r="K8" s="13">
        <v>3564</v>
      </c>
      <c r="L8" s="13">
        <v>3185</v>
      </c>
      <c r="M8" s="13">
        <v>4218</v>
      </c>
      <c r="N8" s="13">
        <v>3088</v>
      </c>
      <c r="O8" s="13">
        <v>12124</v>
      </c>
      <c r="P8" s="13">
        <v>11078</v>
      </c>
      <c r="Q8" s="14">
        <f t="shared" si="0"/>
        <v>68577</v>
      </c>
      <c r="R8" s="2" t="s">
        <v>835</v>
      </c>
    </row>
    <row r="9" spans="1:18" hidden="1" x14ac:dyDescent="0.3">
      <c r="A9" s="1">
        <f t="shared" si="1"/>
        <v>7</v>
      </c>
      <c r="B9" s="1">
        <v>1014</v>
      </c>
      <c r="C9" s="7">
        <v>101014</v>
      </c>
      <c r="D9" t="str">
        <f>VLOOKUP(B9,[2]Electricity!$A$8:$D$326,4,0)</f>
        <v>Arbab Road, Peshawar</v>
      </c>
      <c r="E9" s="12">
        <f>2493+2413</f>
        <v>4906</v>
      </c>
      <c r="F9" s="13">
        <f>1622+1506</f>
        <v>3128</v>
      </c>
      <c r="G9" s="13">
        <f>2070+2030</f>
        <v>4100</v>
      </c>
      <c r="H9" s="13">
        <f>2055+1987</f>
        <v>4042</v>
      </c>
      <c r="I9" s="13">
        <f>1796+1015</f>
        <v>2811</v>
      </c>
      <c r="J9" s="13">
        <f>1679+446</f>
        <v>2125</v>
      </c>
      <c r="K9" s="13">
        <f>1518+237</f>
        <v>1755</v>
      </c>
      <c r="L9" s="13">
        <f>1969+303</f>
        <v>2272</v>
      </c>
      <c r="M9" s="13">
        <f>1668+199</f>
        <v>1867</v>
      </c>
      <c r="N9" s="13">
        <f>2063+505</f>
        <v>2568</v>
      </c>
      <c r="O9" s="13">
        <f>2228+1200</f>
        <v>3428</v>
      </c>
      <c r="P9" s="13">
        <f>2213+1781</f>
        <v>3994</v>
      </c>
      <c r="Q9" s="14">
        <f t="shared" si="0"/>
        <v>36996</v>
      </c>
      <c r="R9" s="2" t="s">
        <v>834</v>
      </c>
    </row>
    <row r="10" spans="1:18" hidden="1" x14ac:dyDescent="0.3">
      <c r="A10" s="1">
        <f t="shared" si="1"/>
        <v>8</v>
      </c>
      <c r="B10" s="1">
        <v>1015</v>
      </c>
      <c r="C10" s="7">
        <v>101015</v>
      </c>
      <c r="D10" t="str">
        <f>VLOOKUP(B10,[2]Electricity!$A$8:$D$326,4,0)</f>
        <v>Civic Shopping Center, Abbottabad</v>
      </c>
      <c r="E10" s="12">
        <v>3533</v>
      </c>
      <c r="F10" s="13">
        <v>4264</v>
      </c>
      <c r="G10" s="13">
        <v>4421</v>
      </c>
      <c r="H10" s="13">
        <v>1947</v>
      </c>
      <c r="I10" s="13">
        <v>2745</v>
      </c>
      <c r="J10" s="13">
        <v>2379</v>
      </c>
      <c r="K10" s="13">
        <v>2794</v>
      </c>
      <c r="L10" s="13">
        <v>2358</v>
      </c>
      <c r="M10" s="13">
        <v>2393</v>
      </c>
      <c r="N10" s="13">
        <v>3189</v>
      </c>
      <c r="O10" s="13">
        <v>2322</v>
      </c>
      <c r="P10" s="13">
        <v>3986</v>
      </c>
      <c r="Q10" s="14">
        <f t="shared" si="0"/>
        <v>36331</v>
      </c>
      <c r="R10" s="2" t="s">
        <v>834</v>
      </c>
    </row>
    <row r="11" spans="1:18" hidden="1" x14ac:dyDescent="0.3">
      <c r="A11" s="1">
        <f t="shared" si="1"/>
        <v>9</v>
      </c>
      <c r="B11" s="1">
        <v>1016</v>
      </c>
      <c r="C11" s="7">
        <v>101016</v>
      </c>
      <c r="D11" t="str">
        <f>VLOOKUP(B11,[2]Electricity!$A$8:$D$326,4,0)</f>
        <v>Allama Iqbal Town, Lahore</v>
      </c>
      <c r="E11" s="12">
        <v>14680</v>
      </c>
      <c r="F11" s="13">
        <v>9000</v>
      </c>
      <c r="G11" s="13">
        <v>4880</v>
      </c>
      <c r="H11" s="13">
        <v>4080</v>
      </c>
      <c r="I11" s="13">
        <v>5640</v>
      </c>
      <c r="J11" s="13">
        <v>5520</v>
      </c>
      <c r="K11" s="13">
        <v>5640</v>
      </c>
      <c r="L11" s="13">
        <v>3120</v>
      </c>
      <c r="M11" s="13">
        <f>1840+3520</f>
        <v>5360</v>
      </c>
      <c r="N11" s="13">
        <v>6680</v>
      </c>
      <c r="O11" s="13">
        <v>7880</v>
      </c>
      <c r="P11" s="13">
        <v>5800</v>
      </c>
      <c r="Q11" s="14">
        <f t="shared" si="0"/>
        <v>78280</v>
      </c>
      <c r="R11" s="2" t="s">
        <v>834</v>
      </c>
    </row>
    <row r="12" spans="1:18" hidden="1" x14ac:dyDescent="0.3">
      <c r="A12" s="1">
        <f t="shared" si="1"/>
        <v>10</v>
      </c>
      <c r="B12" s="1">
        <v>1017</v>
      </c>
      <c r="C12" s="7">
        <v>101017</v>
      </c>
      <c r="D12" t="str">
        <f>VLOOKUP(B12,[2]Electricity!$A$8:$D$326,4,0)</f>
        <v>Circular Road, Bahawalpur</v>
      </c>
      <c r="E12" s="12">
        <v>12303</v>
      </c>
      <c r="F12" s="13">
        <v>11925</v>
      </c>
      <c r="G12" s="13">
        <v>11855</v>
      </c>
      <c r="H12" s="13">
        <v>10814</v>
      </c>
      <c r="I12" s="13">
        <v>8924</v>
      </c>
      <c r="J12" s="13">
        <v>6607</v>
      </c>
      <c r="K12" s="13">
        <v>4792</v>
      </c>
      <c r="L12" s="13">
        <v>4996</v>
      </c>
      <c r="M12" s="13">
        <v>4934</v>
      </c>
      <c r="N12" s="13">
        <v>9362</v>
      </c>
      <c r="O12" s="13">
        <v>8851</v>
      </c>
      <c r="P12" s="13">
        <v>12519</v>
      </c>
      <c r="Q12" s="14">
        <f t="shared" si="0"/>
        <v>107882</v>
      </c>
      <c r="R12" s="2" t="s">
        <v>834</v>
      </c>
    </row>
    <row r="13" spans="1:18" hidden="1" x14ac:dyDescent="0.3">
      <c r="A13" s="1">
        <f t="shared" si="1"/>
        <v>11</v>
      </c>
      <c r="B13" s="15">
        <v>1020</v>
      </c>
      <c r="C13" s="1">
        <v>1020</v>
      </c>
      <c r="D13" t="str">
        <f>VLOOKUP(B13,[2]Electricity!$A$8:$D$326,4,0)</f>
        <v>Kotli Road, Mirpur AJ&amp;K</v>
      </c>
      <c r="E13" s="12">
        <v>5290</v>
      </c>
      <c r="F13" s="13">
        <v>4067</v>
      </c>
      <c r="G13" s="13">
        <v>6581</v>
      </c>
      <c r="H13" s="13">
        <v>3988</v>
      </c>
      <c r="I13" s="13">
        <v>0</v>
      </c>
      <c r="J13" s="13">
        <v>0</v>
      </c>
      <c r="K13" s="13">
        <v>2236</v>
      </c>
      <c r="L13" s="13">
        <v>1730</v>
      </c>
      <c r="M13" s="13">
        <v>2646</v>
      </c>
      <c r="N13" s="13">
        <v>2935</v>
      </c>
      <c r="O13" s="13">
        <v>4137</v>
      </c>
      <c r="P13" s="13">
        <v>5422</v>
      </c>
      <c r="Q13" s="14">
        <f t="shared" si="0"/>
        <v>39032</v>
      </c>
      <c r="R13" s="2" t="s">
        <v>834</v>
      </c>
    </row>
    <row r="14" spans="1:18" hidden="1" x14ac:dyDescent="0.3">
      <c r="A14" s="1">
        <f t="shared" si="1"/>
        <v>12</v>
      </c>
      <c r="B14" s="1">
        <v>1021</v>
      </c>
      <c r="C14" s="7">
        <v>101021</v>
      </c>
      <c r="D14" t="str">
        <f>VLOOKUP(B14,[2]Electricity!$A$8:$D$326,4,0)</f>
        <v>V-Mall, Sialkot</v>
      </c>
      <c r="E14" s="12">
        <v>8839</v>
      </c>
      <c r="F14" s="13">
        <v>9909</v>
      </c>
      <c r="G14" s="13">
        <v>9051</v>
      </c>
      <c r="H14" s="13">
        <v>7203</v>
      </c>
      <c r="I14" s="13">
        <v>5727</v>
      </c>
      <c r="J14" s="13">
        <v>5276</v>
      </c>
      <c r="K14" s="13">
        <v>5264</v>
      </c>
      <c r="L14" s="13">
        <v>4619</v>
      </c>
      <c r="M14" s="13">
        <v>6749</v>
      </c>
      <c r="N14" s="13">
        <v>7421</v>
      </c>
      <c r="O14" s="13">
        <v>8214</v>
      </c>
      <c r="P14" s="13">
        <v>7960</v>
      </c>
      <c r="Q14" s="14">
        <f t="shared" si="0"/>
        <v>86232</v>
      </c>
      <c r="R14" s="2" t="s">
        <v>834</v>
      </c>
    </row>
    <row r="15" spans="1:18" hidden="1" x14ac:dyDescent="0.3">
      <c r="A15" s="1">
        <f t="shared" si="1"/>
        <v>13</v>
      </c>
      <c r="B15" s="1">
        <v>1022</v>
      </c>
      <c r="C15" s="1">
        <v>101022</v>
      </c>
      <c r="D15" t="str">
        <f>VLOOKUP(B15,[2]Electricity!$A$8:$D$326,4,0)</f>
        <v>Ansaar Road, Sahiwal</v>
      </c>
      <c r="E15" s="12">
        <f>59+7216</f>
        <v>7275</v>
      </c>
      <c r="F15" s="13">
        <f>66+7494</f>
        <v>7560</v>
      </c>
      <c r="G15" s="13">
        <f>66+6854</f>
        <v>6920</v>
      </c>
      <c r="H15" s="13">
        <f>70+6155</f>
        <v>6225</v>
      </c>
      <c r="I15" s="13">
        <f>74+6854</f>
        <v>6928</v>
      </c>
      <c r="J15" s="13">
        <f>54+6155</f>
        <v>6209</v>
      </c>
      <c r="K15" s="13">
        <f>44+4489</f>
        <v>4533</v>
      </c>
      <c r="L15" s="13">
        <f>26+2615</f>
        <v>2641</v>
      </c>
      <c r="M15" s="13">
        <f>40+2359</f>
        <v>2399</v>
      </c>
      <c r="N15" s="13">
        <f>102+4542</f>
        <v>4644</v>
      </c>
      <c r="O15" s="13">
        <f>2249+62</f>
        <v>2311</v>
      </c>
      <c r="P15" s="13">
        <f>8200+75</f>
        <v>8275</v>
      </c>
      <c r="Q15" s="14">
        <f t="shared" si="0"/>
        <v>65920</v>
      </c>
      <c r="R15" s="2" t="s">
        <v>834</v>
      </c>
    </row>
    <row r="16" spans="1:18" hidden="1" x14ac:dyDescent="0.3">
      <c r="A16" s="1">
        <f t="shared" si="1"/>
        <v>14</v>
      </c>
      <c r="B16" s="1">
        <v>1024</v>
      </c>
      <c r="C16" s="7">
        <v>101024</v>
      </c>
      <c r="D16" t="str">
        <f>VLOOKUP(B16,[2]Electricity!$A$8:$D$326,4,0)</f>
        <v>Baghbanpura, Lahore</v>
      </c>
      <c r="E16" s="12">
        <v>3980</v>
      </c>
      <c r="F16" s="13">
        <v>4060</v>
      </c>
      <c r="G16" s="13">
        <v>5080</v>
      </c>
      <c r="H16" s="13">
        <v>5140</v>
      </c>
      <c r="I16" s="13">
        <v>5380</v>
      </c>
      <c r="J16" s="13">
        <v>5280</v>
      </c>
      <c r="K16" s="13">
        <v>0</v>
      </c>
      <c r="L16" s="13">
        <v>840</v>
      </c>
      <c r="M16" s="13">
        <v>1320</v>
      </c>
      <c r="N16" s="13">
        <v>3520</v>
      </c>
      <c r="O16" s="13">
        <v>5760</v>
      </c>
      <c r="P16" s="13">
        <v>5560</v>
      </c>
      <c r="Q16" s="14">
        <f t="shared" si="0"/>
        <v>45920</v>
      </c>
      <c r="R16" s="2" t="s">
        <v>834</v>
      </c>
    </row>
    <row r="17" spans="1:19" hidden="1" x14ac:dyDescent="0.3">
      <c r="A17" s="1">
        <f t="shared" si="1"/>
        <v>15</v>
      </c>
      <c r="B17" s="1">
        <v>1027</v>
      </c>
      <c r="C17" s="1">
        <v>101027</v>
      </c>
      <c r="D17" t="str">
        <f>VLOOKUP(B17,[2]Electricity!$A$8:$D$326,4,0)</f>
        <v>Fortress Stadium, Lahore</v>
      </c>
      <c r="E17" s="71" t="s">
        <v>17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3"/>
      <c r="Q17" s="14">
        <f t="shared" si="0"/>
        <v>0</v>
      </c>
      <c r="R17" s="2" t="s">
        <v>18</v>
      </c>
    </row>
    <row r="18" spans="1:19" hidden="1" x14ac:dyDescent="0.3">
      <c r="A18" s="1">
        <f t="shared" si="1"/>
        <v>16</v>
      </c>
      <c r="B18" s="1">
        <v>1028</v>
      </c>
      <c r="C18" s="7">
        <v>101028</v>
      </c>
      <c r="D18" t="str">
        <f>VLOOKUP(B18,[2]Electricity!$A$8:$D$326,4,0)</f>
        <v>CP StTown Commercial Mkt, Rawalpindi</v>
      </c>
      <c r="E18" s="12">
        <f>2062+7360+4963</f>
        <v>14385</v>
      </c>
      <c r="F18" s="13">
        <f>2502+9100+6342</f>
        <v>17944</v>
      </c>
      <c r="G18" s="13">
        <f>2444+8500+5954</f>
        <v>16898</v>
      </c>
      <c r="H18" s="13">
        <f>2144+6660+4859</f>
        <v>13663</v>
      </c>
      <c r="I18" s="13">
        <f>1878+4240</f>
        <v>6118</v>
      </c>
      <c r="J18" s="13">
        <f>1964+2920</f>
        <v>4884</v>
      </c>
      <c r="K18" s="13">
        <f>2163+3040+8058</f>
        <v>13261</v>
      </c>
      <c r="L18" s="13">
        <f>2210+2900+2748</f>
        <v>7858</v>
      </c>
      <c r="M18" s="13">
        <f>1902+3380+2522</f>
        <v>7804</v>
      </c>
      <c r="N18" s="13">
        <f>2268+6080+3738</f>
        <v>12086</v>
      </c>
      <c r="O18" s="13">
        <f>2516+6720+4327</f>
        <v>13563</v>
      </c>
      <c r="P18" s="13">
        <f>3289+8340+4792</f>
        <v>16421</v>
      </c>
      <c r="Q18" s="14">
        <f t="shared" si="0"/>
        <v>144885</v>
      </c>
      <c r="R18" s="2" t="s">
        <v>834</v>
      </c>
    </row>
    <row r="19" spans="1:19" hidden="1" x14ac:dyDescent="0.3">
      <c r="A19" s="1">
        <f t="shared" si="1"/>
        <v>17</v>
      </c>
      <c r="B19" s="1">
        <v>1029</v>
      </c>
      <c r="C19" s="7">
        <v>101029</v>
      </c>
      <c r="D19" t="str">
        <f>VLOOKUP(B19,[2]Electricity!$A$8:$D$326,4,0)</f>
        <v>CP Shaheed Chowk, Okara</v>
      </c>
      <c r="E19" s="12">
        <v>2386</v>
      </c>
      <c r="F19" s="13">
        <v>1336</v>
      </c>
      <c r="G19" s="13">
        <v>5437</v>
      </c>
      <c r="H19" s="13">
        <v>2628</v>
      </c>
      <c r="I19" s="13">
        <v>1872</v>
      </c>
      <c r="J19" s="13">
        <v>3067</v>
      </c>
      <c r="K19" s="13">
        <v>2303</v>
      </c>
      <c r="L19" s="13">
        <v>1829</v>
      </c>
      <c r="M19" s="13">
        <v>3058</v>
      </c>
      <c r="N19" s="13">
        <v>2974</v>
      </c>
      <c r="O19" s="13">
        <v>4265</v>
      </c>
      <c r="P19" s="13">
        <v>3731</v>
      </c>
      <c r="Q19" s="14">
        <f t="shared" si="0"/>
        <v>34886</v>
      </c>
      <c r="R19" s="2" t="s">
        <v>834</v>
      </c>
    </row>
    <row r="20" spans="1:19" hidden="1" x14ac:dyDescent="0.3">
      <c r="A20" s="1">
        <f t="shared" si="1"/>
        <v>18</v>
      </c>
      <c r="B20" s="1">
        <v>1030</v>
      </c>
      <c r="C20" s="7">
        <v>101030</v>
      </c>
      <c r="D20" t="str">
        <f>VLOOKUP(B20,[2]Electricity!$A$8:$D$326,4,0)</f>
        <v>Haidery-1, Karachi</v>
      </c>
      <c r="E20" s="12">
        <v>9493</v>
      </c>
      <c r="F20" s="13">
        <v>7871</v>
      </c>
      <c r="G20" s="13">
        <v>7595</v>
      </c>
      <c r="H20" s="13">
        <v>7919</v>
      </c>
      <c r="I20" s="13">
        <v>7575</v>
      </c>
      <c r="J20" s="13">
        <v>6965</v>
      </c>
      <c r="K20" s="13">
        <v>4406</v>
      </c>
      <c r="L20" s="13">
        <v>5103</v>
      </c>
      <c r="M20" s="13">
        <v>6093</v>
      </c>
      <c r="N20" s="13">
        <v>7973</v>
      </c>
      <c r="O20" s="13">
        <v>6248</v>
      </c>
      <c r="P20" s="13">
        <v>7009</v>
      </c>
      <c r="Q20" s="14">
        <f t="shared" si="0"/>
        <v>84250</v>
      </c>
      <c r="R20" s="16" t="s">
        <v>834</v>
      </c>
      <c r="S20" s="11"/>
    </row>
    <row r="21" spans="1:19" hidden="1" x14ac:dyDescent="0.3">
      <c r="A21" s="1">
        <f t="shared" si="1"/>
        <v>19</v>
      </c>
      <c r="B21" s="1">
        <v>1031</v>
      </c>
      <c r="C21" s="7">
        <v>101031</v>
      </c>
      <c r="D21" t="str">
        <f>VLOOKUP(B21,[2]Electricity!$A$8:$D$326,4,0)</f>
        <v>Gulgasht Colony, Multan</v>
      </c>
      <c r="E21" s="12">
        <v>5380</v>
      </c>
      <c r="F21" s="13">
        <v>5660</v>
      </c>
      <c r="G21" s="13">
        <v>6100</v>
      </c>
      <c r="H21" s="13">
        <v>5560</v>
      </c>
      <c r="I21" s="13">
        <v>3460</v>
      </c>
      <c r="J21" s="13">
        <v>3160</v>
      </c>
      <c r="K21" s="13">
        <v>3460</v>
      </c>
      <c r="L21" s="13">
        <v>3326</v>
      </c>
      <c r="M21" s="13">
        <v>6759</v>
      </c>
      <c r="N21" s="13">
        <v>6906</v>
      </c>
      <c r="O21" s="13">
        <v>7638</v>
      </c>
      <c r="P21" s="13">
        <v>5482</v>
      </c>
      <c r="Q21" s="14">
        <f t="shared" si="0"/>
        <v>62891</v>
      </c>
      <c r="R21" s="2" t="s">
        <v>834</v>
      </c>
    </row>
    <row r="22" spans="1:19" hidden="1" x14ac:dyDescent="0.3">
      <c r="A22" s="1">
        <f t="shared" si="1"/>
        <v>20</v>
      </c>
      <c r="B22" s="1">
        <v>1032</v>
      </c>
      <c r="C22" s="7">
        <v>101032</v>
      </c>
      <c r="D22" t="str">
        <f>VLOOKUP(B22,[2]Electricity!$A$8:$D$326,4,0)</f>
        <v>Saddar Bazar, DG Khan</v>
      </c>
      <c r="E22" s="12">
        <f>3333+710</f>
        <v>4043</v>
      </c>
      <c r="F22" s="13">
        <f>3169+663</f>
        <v>3832</v>
      </c>
      <c r="G22" s="13">
        <f>2684+473</f>
        <v>3157</v>
      </c>
      <c r="H22" s="13">
        <f>2391+383</f>
        <v>2774</v>
      </c>
      <c r="I22" s="13">
        <f>1955+219</f>
        <v>2174</v>
      </c>
      <c r="J22" s="13">
        <f>2105+145</f>
        <v>2250</v>
      </c>
      <c r="K22" s="13">
        <f>1469+132</f>
        <v>1601</v>
      </c>
      <c r="L22" s="13">
        <f>856+156</f>
        <v>1012</v>
      </c>
      <c r="M22" s="13">
        <f>1301+253</f>
        <v>1554</v>
      </c>
      <c r="N22" s="13">
        <f>2204+412</f>
        <v>2616</v>
      </c>
      <c r="O22" s="13">
        <f>2592+612</f>
        <v>3204</v>
      </c>
      <c r="P22" s="13">
        <f>2260+724</f>
        <v>2984</v>
      </c>
      <c r="Q22" s="14">
        <f t="shared" si="0"/>
        <v>31201</v>
      </c>
      <c r="R22" s="2" t="s">
        <v>834</v>
      </c>
    </row>
    <row r="23" spans="1:19" hidden="1" x14ac:dyDescent="0.3">
      <c r="A23" s="1">
        <f t="shared" si="1"/>
        <v>21</v>
      </c>
      <c r="B23" s="1">
        <v>1033</v>
      </c>
      <c r="C23" s="7">
        <v>101033</v>
      </c>
      <c r="D23" t="str">
        <f>VLOOKUP(B23,[2]Electricity!$A$8:$D$326,4,0)</f>
        <v>Shahdarah, Lahore</v>
      </c>
      <c r="E23" s="12">
        <v>6560</v>
      </c>
      <c r="F23" s="13">
        <v>6618</v>
      </c>
      <c r="G23" s="13">
        <v>6150</v>
      </c>
      <c r="H23" s="13">
        <v>5794</v>
      </c>
      <c r="I23" s="13">
        <v>4295</v>
      </c>
      <c r="J23" s="13">
        <v>4035</v>
      </c>
      <c r="K23" s="13">
        <v>5637</v>
      </c>
      <c r="L23" s="13">
        <v>5036</v>
      </c>
      <c r="M23" s="13">
        <v>5576</v>
      </c>
      <c r="N23" s="13">
        <v>8325</v>
      </c>
      <c r="O23" s="13">
        <v>8371</v>
      </c>
      <c r="P23" s="13">
        <v>10035</v>
      </c>
      <c r="Q23" s="14">
        <f t="shared" si="0"/>
        <v>76432</v>
      </c>
      <c r="R23" s="2" t="s">
        <v>834</v>
      </c>
    </row>
    <row r="24" spans="1:19" hidden="1" x14ac:dyDescent="0.3">
      <c r="A24" s="1">
        <f t="shared" si="1"/>
        <v>22</v>
      </c>
      <c r="B24" s="1">
        <v>1035</v>
      </c>
      <c r="C24" s="7">
        <v>101035</v>
      </c>
      <c r="D24" t="str">
        <f>VLOOKUP(B24,[2]Electricity!$A$8:$D$326,4,0)</f>
        <v>Main GT Road, Kharian</v>
      </c>
      <c r="E24" s="12">
        <v>6395</v>
      </c>
      <c r="F24" s="13">
        <v>4364</v>
      </c>
      <c r="G24" s="13">
        <v>7596</v>
      </c>
      <c r="H24" s="13">
        <v>7102</v>
      </c>
      <c r="I24" s="13">
        <v>5507</v>
      </c>
      <c r="J24" s="13">
        <v>3716</v>
      </c>
      <c r="K24" s="13">
        <v>4469</v>
      </c>
      <c r="L24" s="13">
        <v>3978</v>
      </c>
      <c r="M24" s="13">
        <v>5866</v>
      </c>
      <c r="N24" s="13">
        <v>7121</v>
      </c>
      <c r="O24" s="13">
        <v>8165</v>
      </c>
      <c r="P24" s="13">
        <v>7863</v>
      </c>
      <c r="Q24" s="14">
        <f t="shared" si="0"/>
        <v>72142</v>
      </c>
      <c r="R24" s="2" t="s">
        <v>834</v>
      </c>
    </row>
    <row r="25" spans="1:19" hidden="1" x14ac:dyDescent="0.3">
      <c r="A25" s="1">
        <f t="shared" si="1"/>
        <v>23</v>
      </c>
      <c r="B25" s="1">
        <v>1036</v>
      </c>
      <c r="C25" s="7">
        <v>101036</v>
      </c>
      <c r="D25" t="str">
        <f>VLOOKUP(B25,[2]Electricity!$A$8:$D$326,4,0)</f>
        <v>Kohinoor, Faisalabad</v>
      </c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>
        <f t="shared" si="0"/>
        <v>0</v>
      </c>
      <c r="R25" s="2" t="s">
        <v>837</v>
      </c>
    </row>
    <row r="26" spans="1:19" hidden="1" x14ac:dyDescent="0.3">
      <c r="A26" s="1">
        <f t="shared" si="1"/>
        <v>24</v>
      </c>
      <c r="B26" s="1">
        <v>1038</v>
      </c>
      <c r="C26" s="1">
        <v>101038</v>
      </c>
      <c r="D26" t="str">
        <f>VLOOKUP(B26,[2]Electricity!$A$8:$D$326,4,0)</f>
        <v>Kechehry Bazar, Mandi bahuddin</v>
      </c>
      <c r="E26" s="12">
        <v>2937</v>
      </c>
      <c r="F26" s="13">
        <v>3012</v>
      </c>
      <c r="G26" s="13">
        <v>3290</v>
      </c>
      <c r="H26" s="13">
        <v>2661</v>
      </c>
      <c r="I26" s="13">
        <v>2222</v>
      </c>
      <c r="J26" s="13">
        <v>1207</v>
      </c>
      <c r="K26" s="13">
        <v>1273</v>
      </c>
      <c r="L26" s="13">
        <v>1036</v>
      </c>
      <c r="M26" s="13">
        <v>1266</v>
      </c>
      <c r="N26" s="13">
        <v>3398</v>
      </c>
      <c r="O26" s="13">
        <v>2576</v>
      </c>
      <c r="P26" s="13">
        <v>2029</v>
      </c>
      <c r="Q26" s="14">
        <f t="shared" si="0"/>
        <v>26907</v>
      </c>
      <c r="R26" s="2" t="s">
        <v>834</v>
      </c>
    </row>
    <row r="27" spans="1:19" hidden="1" x14ac:dyDescent="0.3">
      <c r="A27" s="1">
        <f t="shared" si="1"/>
        <v>25</v>
      </c>
      <c r="B27" s="1">
        <v>1039</v>
      </c>
      <c r="C27" s="7">
        <v>101039</v>
      </c>
      <c r="D27" t="str">
        <f>VLOOKUP(B27,[2]Electricity!$A$8:$D$326,4,0)</f>
        <v>Civil Quarter Road, Sheikhupura</v>
      </c>
      <c r="E27" s="12">
        <f>797+5398</f>
        <v>6195</v>
      </c>
      <c r="F27" s="13">
        <f>701+4659</f>
        <v>5360</v>
      </c>
      <c r="G27" s="13">
        <f>854+4841</f>
        <v>5695</v>
      </c>
      <c r="H27" s="13">
        <f>793+3537</f>
        <v>4330</v>
      </c>
      <c r="I27" s="13">
        <f>796+3123</f>
        <v>3919</v>
      </c>
      <c r="J27" s="13">
        <f>100+2542</f>
        <v>2642</v>
      </c>
      <c r="K27" s="13">
        <f>67+2459</f>
        <v>2526</v>
      </c>
      <c r="L27" s="13">
        <f>147+2366</f>
        <v>2513</v>
      </c>
      <c r="M27" s="13">
        <f>484+3696</f>
        <v>4180</v>
      </c>
      <c r="N27" s="13">
        <f>525+3886</f>
        <v>4411</v>
      </c>
      <c r="O27" s="13">
        <f>1053+5039</f>
        <v>6092</v>
      </c>
      <c r="P27" s="13">
        <f>1217+4246</f>
        <v>5463</v>
      </c>
      <c r="Q27" s="14">
        <f t="shared" si="0"/>
        <v>53326</v>
      </c>
      <c r="R27" s="2" t="s">
        <v>834</v>
      </c>
    </row>
    <row r="28" spans="1:19" hidden="1" x14ac:dyDescent="0.3">
      <c r="A28" s="1">
        <f t="shared" si="1"/>
        <v>26</v>
      </c>
      <c r="B28" s="1">
        <v>1041</v>
      </c>
      <c r="C28" s="7">
        <v>101041</v>
      </c>
      <c r="D28" t="str">
        <f>VLOOKUP(B28,[2]Electricity!$A$8:$D$326,4,0)</f>
        <v>Wapda Town, Lahore</v>
      </c>
      <c r="E28" s="12">
        <f>5128+4390</f>
        <v>9518</v>
      </c>
      <c r="F28" s="13">
        <f>4448+3759</f>
        <v>8207</v>
      </c>
      <c r="G28" s="13">
        <f>4704+4198</f>
        <v>8902</v>
      </c>
      <c r="H28" s="13">
        <f>3954+3773</f>
        <v>7727</v>
      </c>
      <c r="I28" s="13">
        <f>2374+2131</f>
        <v>4505</v>
      </c>
      <c r="J28" s="13">
        <f>3373+1624</f>
        <v>4997</v>
      </c>
      <c r="K28" s="13">
        <f>1198+2563</f>
        <v>3761</v>
      </c>
      <c r="L28" s="13">
        <f>3253+590</f>
        <v>3843</v>
      </c>
      <c r="M28" s="13">
        <f>2292+3853</f>
        <v>6145</v>
      </c>
      <c r="N28" s="13">
        <f>3213+2267</f>
        <v>5480</v>
      </c>
      <c r="O28" s="13">
        <f>4801+5760</f>
        <v>10561</v>
      </c>
      <c r="P28" s="13">
        <f>4178+2225</f>
        <v>6403</v>
      </c>
      <c r="Q28" s="14">
        <f t="shared" si="0"/>
        <v>80049</v>
      </c>
      <c r="R28" s="2" t="s">
        <v>834</v>
      </c>
    </row>
    <row r="29" spans="1:19" hidden="1" x14ac:dyDescent="0.3">
      <c r="A29" s="1">
        <f t="shared" si="1"/>
        <v>27</v>
      </c>
      <c r="B29" s="1">
        <v>1042</v>
      </c>
      <c r="C29" s="7">
        <v>101042</v>
      </c>
      <c r="D29" t="str">
        <f>VLOOKUP(B29,[2]Electricity!$A$8:$D$326,4,0)</f>
        <v>Tariq Road, Karachi</v>
      </c>
      <c r="E29" s="12">
        <f>2276+3183+3283+337+1334</f>
        <v>10413</v>
      </c>
      <c r="F29" s="13">
        <f>1811+2963+5153+207+1440</f>
        <v>11574</v>
      </c>
      <c r="G29" s="13">
        <f>2096+2928+2214+1+1544</f>
        <v>8783</v>
      </c>
      <c r="H29" s="13">
        <f>2072+2842+3713+20+1667</f>
        <v>10314</v>
      </c>
      <c r="I29" s="13">
        <f>2083+2609+4002+308+1601</f>
        <v>10603</v>
      </c>
      <c r="J29" s="13">
        <f>1860+2213+3666+290+1588</f>
        <v>9617</v>
      </c>
      <c r="K29" s="13">
        <f>1463+1648+2635+277+1259</f>
        <v>7282</v>
      </c>
      <c r="L29" s="13">
        <f>1325+1693+2529+275+1068</f>
        <v>6890</v>
      </c>
      <c r="M29" s="13">
        <f>1199+1377+1662+248+1157</f>
        <v>5643</v>
      </c>
      <c r="N29" s="13">
        <f>2532+4228+3390+273+1049</f>
        <v>11472</v>
      </c>
      <c r="O29" s="13">
        <f>2226+3462+6378+263+1037</f>
        <v>13366</v>
      </c>
      <c r="P29" s="13">
        <f>591+5626+3306+1077+1560</f>
        <v>12160</v>
      </c>
      <c r="Q29" s="14">
        <f t="shared" si="0"/>
        <v>118117</v>
      </c>
      <c r="R29" s="2" t="s">
        <v>834</v>
      </c>
    </row>
    <row r="30" spans="1:19" hidden="1" x14ac:dyDescent="0.3">
      <c r="A30" s="1">
        <f t="shared" si="1"/>
        <v>28</v>
      </c>
      <c r="B30" s="1">
        <v>1043</v>
      </c>
      <c r="C30" s="7">
        <v>101043</v>
      </c>
      <c r="D30" t="str">
        <f>VLOOKUP(B30,[2]Electricity!$A$8:$D$326,4,0)</f>
        <v>F-10 Sajjad Plaza, Islamabad</v>
      </c>
      <c r="E30" s="12">
        <f>1225+3397</f>
        <v>4622</v>
      </c>
      <c r="F30" s="13">
        <f>1241+3702</f>
        <v>4943</v>
      </c>
      <c r="G30" s="13">
        <f>1277+3046</f>
        <v>4323</v>
      </c>
      <c r="H30" s="13">
        <f>1071+2424</f>
        <v>3495</v>
      </c>
      <c r="I30" s="13">
        <f>1084+1852</f>
        <v>2936</v>
      </c>
      <c r="J30" s="13">
        <f>942+1392</f>
        <v>2334</v>
      </c>
      <c r="K30" s="13">
        <f>1017+1520</f>
        <v>2537</v>
      </c>
      <c r="L30" s="13">
        <f>997+1460</f>
        <v>2457</v>
      </c>
      <c r="M30" s="13">
        <f>974+1379</f>
        <v>2353</v>
      </c>
      <c r="N30" s="13">
        <f>1483+2297</f>
        <v>3780</v>
      </c>
      <c r="O30" s="13">
        <f>1403+2867</f>
        <v>4270</v>
      </c>
      <c r="P30" s="13">
        <f>1606+3300</f>
        <v>4906</v>
      </c>
      <c r="Q30" s="14">
        <f t="shared" si="0"/>
        <v>42956</v>
      </c>
      <c r="R30" s="2" t="s">
        <v>834</v>
      </c>
    </row>
    <row r="31" spans="1:19" hidden="1" x14ac:dyDescent="0.3">
      <c r="A31" s="1">
        <f t="shared" si="1"/>
        <v>29</v>
      </c>
      <c r="B31" s="1">
        <v>1046</v>
      </c>
      <c r="C31" s="7">
        <v>101046</v>
      </c>
      <c r="D31" t="str">
        <f>VLOOKUP(B31,[2]Electricity!$A$8:$D$326,4,0)</f>
        <v>Al-Hajj Tower, Peshawar</v>
      </c>
      <c r="E31" s="12">
        <v>7674</v>
      </c>
      <c r="F31" s="13">
        <v>7692</v>
      </c>
      <c r="G31" s="13">
        <v>7240</v>
      </c>
      <c r="H31" s="13">
        <v>7277</v>
      </c>
      <c r="I31" s="13">
        <v>5184</v>
      </c>
      <c r="J31" s="13">
        <v>4366</v>
      </c>
      <c r="K31" s="13">
        <v>3915</v>
      </c>
      <c r="L31" s="13">
        <v>4183</v>
      </c>
      <c r="M31" s="13">
        <v>3691</v>
      </c>
      <c r="N31" s="13">
        <v>4931</v>
      </c>
      <c r="O31" s="13">
        <v>4910</v>
      </c>
      <c r="P31" s="13">
        <v>6546</v>
      </c>
      <c r="Q31" s="14">
        <f t="shared" si="0"/>
        <v>67609</v>
      </c>
      <c r="R31" s="2" t="s">
        <v>834</v>
      </c>
    </row>
    <row r="32" spans="1:19" hidden="1" x14ac:dyDescent="0.3">
      <c r="A32" s="1">
        <f t="shared" si="1"/>
        <v>30</v>
      </c>
      <c r="B32" s="1">
        <v>1047</v>
      </c>
      <c r="C32" s="7">
        <v>101047</v>
      </c>
      <c r="D32" t="str">
        <f>VLOOKUP(B32,[2]Electricity!$A$8:$D$326,4,0)</f>
        <v>Basti Lala Rukh, Wah Cant</v>
      </c>
      <c r="E32" s="12">
        <v>7349</v>
      </c>
      <c r="F32" s="13">
        <v>9232</v>
      </c>
      <c r="G32" s="13">
        <v>8916</v>
      </c>
      <c r="H32" s="13">
        <v>8722</v>
      </c>
      <c r="I32" s="13">
        <v>6544</v>
      </c>
      <c r="J32" s="13">
        <v>3607</v>
      </c>
      <c r="K32" s="13">
        <v>3570</v>
      </c>
      <c r="L32" s="13">
        <v>3768</v>
      </c>
      <c r="M32" s="13">
        <v>4436</v>
      </c>
      <c r="N32" s="13">
        <v>8084</v>
      </c>
      <c r="O32" s="13">
        <v>9257</v>
      </c>
      <c r="P32" s="13">
        <v>10135</v>
      </c>
      <c r="Q32" s="14">
        <f t="shared" si="0"/>
        <v>83620</v>
      </c>
      <c r="R32" s="2" t="s">
        <v>834</v>
      </c>
    </row>
    <row r="33" spans="1:18" hidden="1" x14ac:dyDescent="0.3">
      <c r="A33" s="1">
        <f t="shared" si="1"/>
        <v>31</v>
      </c>
      <c r="B33" s="1">
        <v>1049</v>
      </c>
      <c r="C33" s="1">
        <v>101049</v>
      </c>
      <c r="D33" t="str">
        <f>VLOOKUP(B33,[2]Electricity!$A$8:$D$326,4,0)</f>
        <v>Millenium Mall, Karachi</v>
      </c>
      <c r="E33" s="71" t="s">
        <v>17</v>
      </c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3"/>
      <c r="Q33" s="14">
        <f t="shared" si="0"/>
        <v>0</v>
      </c>
      <c r="R33" s="2" t="s">
        <v>23</v>
      </c>
    </row>
    <row r="34" spans="1:18" hidden="1" x14ac:dyDescent="0.3">
      <c r="A34" s="1">
        <f t="shared" si="1"/>
        <v>32</v>
      </c>
      <c r="B34" s="1">
        <v>1052</v>
      </c>
      <c r="C34" s="7">
        <v>101052</v>
      </c>
      <c r="D34" t="str">
        <f>VLOOKUP(B34,[2]Electricity!$A$8:$D$326,4,0)</f>
        <v>Allied Plaza, Sukkur</v>
      </c>
      <c r="E34" s="12">
        <v>5847</v>
      </c>
      <c r="F34" s="13">
        <v>4857</v>
      </c>
      <c r="G34" s="13">
        <v>3569</v>
      </c>
      <c r="H34" s="13">
        <v>4706</v>
      </c>
      <c r="I34" s="13">
        <v>3235</v>
      </c>
      <c r="J34" s="13">
        <v>2117</v>
      </c>
      <c r="K34" s="13">
        <v>1689</v>
      </c>
      <c r="L34" s="13">
        <v>1799</v>
      </c>
      <c r="M34" s="13">
        <v>2136</v>
      </c>
      <c r="N34" s="13">
        <v>3869</v>
      </c>
      <c r="O34" s="13">
        <v>5053</v>
      </c>
      <c r="P34" s="13">
        <v>6776</v>
      </c>
      <c r="Q34" s="14">
        <f t="shared" si="0"/>
        <v>45653</v>
      </c>
      <c r="R34" s="2" t="s">
        <v>834</v>
      </c>
    </row>
    <row r="35" spans="1:18" hidden="1" x14ac:dyDescent="0.3">
      <c r="A35" s="1">
        <f t="shared" si="1"/>
        <v>33</v>
      </c>
      <c r="B35" s="1">
        <v>1053</v>
      </c>
      <c r="C35" s="7">
        <v>101053</v>
      </c>
      <c r="D35" t="str">
        <f>VLOOKUP(B35,[2]Electricity!$A$8:$D$326,4,0)</f>
        <v>Noor Center, Sialkot</v>
      </c>
      <c r="E35" s="12">
        <v>3224</v>
      </c>
      <c r="F35" s="13">
        <v>2781</v>
      </c>
      <c r="G35" s="13">
        <v>2847</v>
      </c>
      <c r="H35" s="13">
        <v>3415</v>
      </c>
      <c r="I35" s="13">
        <v>2459</v>
      </c>
      <c r="J35" s="13">
        <v>1759</v>
      </c>
      <c r="K35" s="13">
        <v>1824</v>
      </c>
      <c r="L35" s="13">
        <v>1810</v>
      </c>
      <c r="M35" s="13">
        <v>1330</v>
      </c>
      <c r="N35" s="13">
        <v>3054</v>
      </c>
      <c r="O35" s="13">
        <v>4780</v>
      </c>
      <c r="P35" s="13">
        <v>3112</v>
      </c>
      <c r="Q35" s="14">
        <f t="shared" si="0"/>
        <v>32395</v>
      </c>
      <c r="R35" s="2" t="s">
        <v>834</v>
      </c>
    </row>
    <row r="36" spans="1:18" hidden="1" x14ac:dyDescent="0.3">
      <c r="A36" s="1">
        <f t="shared" si="1"/>
        <v>34</v>
      </c>
      <c r="B36" s="1">
        <v>1056</v>
      </c>
      <c r="C36" s="7">
        <v>101056</v>
      </c>
      <c r="D36" t="str">
        <f>VLOOKUP(B36,[2]Electricity!$A$8:$D$326,4,0)</f>
        <v>Quaid-E-Azam Road, Gojra</v>
      </c>
      <c r="E36" s="12">
        <v>5948</v>
      </c>
      <c r="F36" s="13">
        <v>5912</v>
      </c>
      <c r="G36" s="13">
        <v>5565</v>
      </c>
      <c r="H36" s="13">
        <v>4554</v>
      </c>
      <c r="I36" s="13">
        <v>3112</v>
      </c>
      <c r="J36" s="13">
        <v>2646</v>
      </c>
      <c r="K36" s="13">
        <v>3044</v>
      </c>
      <c r="L36" s="13">
        <v>2291</v>
      </c>
      <c r="M36" s="13">
        <v>4009</v>
      </c>
      <c r="N36" s="13">
        <v>4986</v>
      </c>
      <c r="O36" s="13">
        <v>6291</v>
      </c>
      <c r="P36" s="13">
        <v>6007</v>
      </c>
      <c r="Q36" s="14">
        <f t="shared" si="0"/>
        <v>54365</v>
      </c>
      <c r="R36" s="2" t="s">
        <v>834</v>
      </c>
    </row>
    <row r="37" spans="1:18" hidden="1" x14ac:dyDescent="0.3">
      <c r="A37" s="1">
        <f t="shared" si="1"/>
        <v>35</v>
      </c>
      <c r="B37" s="1">
        <v>1058</v>
      </c>
      <c r="C37" s="7">
        <v>101058</v>
      </c>
      <c r="D37" t="str">
        <f>VLOOKUP(B37,[2]Electricity!$A$8:$D$326,4,0)</f>
        <v>Chen One Plaza, Sargodha</v>
      </c>
      <c r="E37" s="12">
        <v>2029</v>
      </c>
      <c r="F37" s="13">
        <v>8388</v>
      </c>
      <c r="G37" s="13">
        <v>5017</v>
      </c>
      <c r="H37" s="13">
        <v>4172</v>
      </c>
      <c r="I37" s="13">
        <v>3575</v>
      </c>
      <c r="J37" s="13">
        <v>3050</v>
      </c>
      <c r="K37" s="13">
        <v>3173</v>
      </c>
      <c r="L37" s="13">
        <v>2573</v>
      </c>
      <c r="M37" s="13">
        <v>3860</v>
      </c>
      <c r="N37" s="13">
        <v>4263</v>
      </c>
      <c r="O37" s="13">
        <v>4998</v>
      </c>
      <c r="P37" s="13">
        <v>5850</v>
      </c>
      <c r="Q37" s="14">
        <f t="shared" si="0"/>
        <v>50948</v>
      </c>
      <c r="R37" s="2" t="s">
        <v>834</v>
      </c>
    </row>
    <row r="38" spans="1:18" hidden="1" x14ac:dyDescent="0.3">
      <c r="A38" s="1">
        <f t="shared" si="1"/>
        <v>36</v>
      </c>
      <c r="B38" s="1">
        <v>1061</v>
      </c>
      <c r="C38" s="7">
        <v>101061</v>
      </c>
      <c r="D38" t="str">
        <f>VLOOKUP(B38,[2]Electricity!$A$8:$D$326,4,0)</f>
        <v>Bank Road, Joharabad</v>
      </c>
      <c r="E38" s="12">
        <v>2631</v>
      </c>
      <c r="F38" s="13">
        <v>1842</v>
      </c>
      <c r="G38" s="13">
        <v>3570</v>
      </c>
      <c r="H38" s="13">
        <v>2184</v>
      </c>
      <c r="I38" s="13">
        <v>1535</v>
      </c>
      <c r="J38" s="13">
        <v>1377</v>
      </c>
      <c r="K38" s="13">
        <v>1547</v>
      </c>
      <c r="L38" s="13">
        <v>1301</v>
      </c>
      <c r="M38" s="13">
        <v>1766</v>
      </c>
      <c r="N38" s="13">
        <v>2242</v>
      </c>
      <c r="O38" s="13">
        <v>2265</v>
      </c>
      <c r="P38" s="13">
        <v>2913</v>
      </c>
      <c r="Q38" s="14">
        <f t="shared" si="0"/>
        <v>25173</v>
      </c>
      <c r="R38" s="2" t="s">
        <v>834</v>
      </c>
    </row>
    <row r="39" spans="1:18" hidden="1" x14ac:dyDescent="0.3">
      <c r="A39" s="1">
        <f t="shared" si="1"/>
        <v>37</v>
      </c>
      <c r="B39" s="1">
        <v>1063</v>
      </c>
      <c r="C39" s="7">
        <v>101063</v>
      </c>
      <c r="D39" t="str">
        <f>VLOOKUP(B39,[2]Electricity!$A$8:$D$326,4,0)</f>
        <v>Hussain Plaza, Khanewal</v>
      </c>
      <c r="E39" s="12">
        <f>527+120+8412</f>
        <v>9059</v>
      </c>
      <c r="F39" s="13">
        <f>584+146+7359</f>
        <v>8089</v>
      </c>
      <c r="G39" s="13">
        <f>477+145+6749</f>
        <v>7371</v>
      </c>
      <c r="H39" s="13">
        <f>389+206+6256</f>
        <v>6851</v>
      </c>
      <c r="I39" s="13">
        <f>287+243+5634</f>
        <v>6164</v>
      </c>
      <c r="J39" s="13">
        <f>185+223+3159</f>
        <v>3567</v>
      </c>
      <c r="K39" s="13">
        <f>241+214+2706</f>
        <v>3161</v>
      </c>
      <c r="L39" s="13">
        <f>210+189+1944</f>
        <v>2343</v>
      </c>
      <c r="M39" s="13">
        <f>201+175+2328</f>
        <v>2704</v>
      </c>
      <c r="N39" s="13">
        <f>293+202+3952</f>
        <v>4447</v>
      </c>
      <c r="O39" s="13">
        <f>284+155+5182</f>
        <v>5621</v>
      </c>
      <c r="P39" s="13">
        <f>149+342+8022</f>
        <v>8513</v>
      </c>
      <c r="Q39" s="14">
        <f t="shared" si="0"/>
        <v>67890</v>
      </c>
      <c r="R39" s="2" t="s">
        <v>834</v>
      </c>
    </row>
    <row r="40" spans="1:18" hidden="1" x14ac:dyDescent="0.3">
      <c r="A40" s="1">
        <f t="shared" si="1"/>
        <v>38</v>
      </c>
      <c r="B40" s="1">
        <v>1064</v>
      </c>
      <c r="C40" s="7">
        <v>101064</v>
      </c>
      <c r="D40" t="str">
        <f>VLOOKUP(B40,[2]Electricity!$A$8:$D$326,4,0)</f>
        <v>CP Gujranwala</v>
      </c>
      <c r="E40" s="12">
        <v>4841</v>
      </c>
      <c r="F40" s="13">
        <v>5401</v>
      </c>
      <c r="G40" s="13">
        <v>4771</v>
      </c>
      <c r="H40" s="13">
        <v>4908</v>
      </c>
      <c r="I40" s="13">
        <v>2695</v>
      </c>
      <c r="J40" s="13">
        <v>2552</v>
      </c>
      <c r="K40" s="13">
        <v>6981</v>
      </c>
      <c r="L40" s="13">
        <v>895</v>
      </c>
      <c r="M40" s="13">
        <v>1886</v>
      </c>
      <c r="N40" s="13">
        <v>4820</v>
      </c>
      <c r="O40" s="13">
        <v>5653</v>
      </c>
      <c r="P40" s="13">
        <v>5413</v>
      </c>
      <c r="Q40" s="14">
        <f t="shared" si="0"/>
        <v>50816</v>
      </c>
      <c r="R40" s="2" t="s">
        <v>834</v>
      </c>
    </row>
    <row r="41" spans="1:18" hidden="1" x14ac:dyDescent="0.3">
      <c r="A41" s="1">
        <f t="shared" si="1"/>
        <v>39</v>
      </c>
      <c r="B41" s="1">
        <v>1066</v>
      </c>
      <c r="C41" s="7">
        <v>101066</v>
      </c>
      <c r="D41" t="str">
        <f>VLOOKUP(B41,[2]Electricity!$A$8:$D$326,4,0)</f>
        <v>Saima Pari Mall, Karachi</v>
      </c>
      <c r="E41" s="12">
        <f>719+161+1176+1289+621</f>
        <v>3966</v>
      </c>
      <c r="F41" s="13">
        <f>68+165+713+2329+589</f>
        <v>3864</v>
      </c>
      <c r="G41" s="13">
        <f>76+191+796+2443+575</f>
        <v>4081</v>
      </c>
      <c r="H41" s="13">
        <f>75+174+894+2978+473</f>
        <v>4594</v>
      </c>
      <c r="I41" s="13">
        <f>74+255+860+2891+470</f>
        <v>4550</v>
      </c>
      <c r="J41" s="13">
        <f>75+315+849+2769+471</f>
        <v>4479</v>
      </c>
      <c r="K41" s="13">
        <f>74+325+831+2800+433</f>
        <v>4463</v>
      </c>
      <c r="L41" s="13">
        <f>71+317+836+2559+425</f>
        <v>4208</v>
      </c>
      <c r="M41" s="13">
        <f>0+401+652+2015+399</f>
        <v>3467</v>
      </c>
      <c r="N41" s="13">
        <f>0+1007+903+2343+423</f>
        <v>4676</v>
      </c>
      <c r="O41" s="13">
        <f>890+767+2043+433</f>
        <v>4133</v>
      </c>
      <c r="P41" s="13">
        <f>879+503+1229+485</f>
        <v>3096</v>
      </c>
      <c r="Q41" s="14">
        <f t="shared" si="0"/>
        <v>49577</v>
      </c>
      <c r="R41" s="2" t="s">
        <v>834</v>
      </c>
    </row>
    <row r="42" spans="1:18" hidden="1" x14ac:dyDescent="0.3">
      <c r="A42" s="1">
        <f t="shared" si="1"/>
        <v>40</v>
      </c>
      <c r="B42" s="1">
        <v>1068</v>
      </c>
      <c r="C42" s="7">
        <v>101068</v>
      </c>
      <c r="D42" t="str">
        <f>VLOOKUP(B42,[2]Electricity!$A$8:$D$326,4,0)</f>
        <v>KDA Market, Karachi</v>
      </c>
      <c r="E42" s="12">
        <v>8188</v>
      </c>
      <c r="F42" s="13">
        <v>8744</v>
      </c>
      <c r="G42" s="13">
        <v>7482</v>
      </c>
      <c r="H42" s="13">
        <v>7973</v>
      </c>
      <c r="I42" s="13">
        <v>8306</v>
      </c>
      <c r="J42" s="13">
        <v>4857</v>
      </c>
      <c r="K42" s="13">
        <v>7258</v>
      </c>
      <c r="L42" s="13">
        <v>7556</v>
      </c>
      <c r="M42" s="13">
        <v>7096</v>
      </c>
      <c r="N42" s="13">
        <v>9014</v>
      </c>
      <c r="O42" s="13">
        <v>4530</v>
      </c>
      <c r="P42" s="13">
        <v>3357</v>
      </c>
      <c r="Q42" s="14">
        <f t="shared" si="0"/>
        <v>84361</v>
      </c>
      <c r="R42" s="2" t="s">
        <v>23</v>
      </c>
    </row>
    <row r="43" spans="1:18" hidden="1" x14ac:dyDescent="0.3">
      <c r="A43" s="1">
        <f t="shared" si="1"/>
        <v>41</v>
      </c>
      <c r="B43" s="1">
        <v>1069</v>
      </c>
      <c r="C43" s="1">
        <v>101069</v>
      </c>
      <c r="D43" t="str">
        <f>VLOOKUP(B43,[2]Electricity!$A$8:$D$326,4,0)</f>
        <v>Fahad Plaza, Mianwali</v>
      </c>
      <c r="E43" s="71" t="s">
        <v>19</v>
      </c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  <c r="Q43" s="14">
        <f t="shared" si="0"/>
        <v>0</v>
      </c>
      <c r="R43" s="2" t="s">
        <v>20</v>
      </c>
    </row>
    <row r="44" spans="1:18" hidden="1" x14ac:dyDescent="0.3">
      <c r="A44" s="1">
        <f t="shared" si="1"/>
        <v>42</v>
      </c>
      <c r="B44" s="1">
        <v>1081</v>
      </c>
      <c r="C44" s="7">
        <v>101081</v>
      </c>
      <c r="D44" t="str">
        <f>VLOOKUP(B44,[2]Electricity!$A$8:$D$326,4,0)</f>
        <v>Baldia Chowk, Bahawalnagar</v>
      </c>
      <c r="E44" s="12">
        <v>5946</v>
      </c>
      <c r="F44" s="13">
        <v>8258</v>
      </c>
      <c r="G44" s="13">
        <v>6926</v>
      </c>
      <c r="H44" s="13">
        <v>6823</v>
      </c>
      <c r="I44" s="13">
        <v>5477</v>
      </c>
      <c r="J44" s="13">
        <v>3518</v>
      </c>
      <c r="K44" s="13">
        <v>2917</v>
      </c>
      <c r="L44" s="13">
        <v>2999</v>
      </c>
      <c r="M44" s="13">
        <v>2675</v>
      </c>
      <c r="N44" s="13">
        <v>4582</v>
      </c>
      <c r="O44" s="13">
        <v>4565</v>
      </c>
      <c r="P44" s="13">
        <v>7164</v>
      </c>
      <c r="Q44" s="14">
        <f t="shared" si="0"/>
        <v>61850</v>
      </c>
      <c r="R44" s="2" t="s">
        <v>834</v>
      </c>
    </row>
    <row r="45" spans="1:18" hidden="1" x14ac:dyDescent="0.3">
      <c r="A45" s="1">
        <f t="shared" si="1"/>
        <v>43</v>
      </c>
      <c r="B45" s="1">
        <v>1083</v>
      </c>
      <c r="C45" s="7">
        <v>101083</v>
      </c>
      <c r="D45" t="str">
        <f>VLOOKUP(B45,[2]Electricity!$A$8:$D$326,4,0)</f>
        <v>MA Jinnah Road, Mirpurkhas</v>
      </c>
      <c r="E45" s="12">
        <v>2674</v>
      </c>
      <c r="F45" s="13">
        <v>2320</v>
      </c>
      <c r="G45" s="13">
        <v>2126</v>
      </c>
      <c r="H45" s="13">
        <v>2063</v>
      </c>
      <c r="I45" s="13">
        <v>1209</v>
      </c>
      <c r="J45" s="13">
        <v>1409</v>
      </c>
      <c r="K45" s="13">
        <v>1028</v>
      </c>
      <c r="L45" s="13">
        <v>1504</v>
      </c>
      <c r="M45" s="13">
        <v>1911</v>
      </c>
      <c r="N45" s="13">
        <v>2636</v>
      </c>
      <c r="O45" s="13">
        <v>2308</v>
      </c>
      <c r="P45" s="13">
        <v>2691</v>
      </c>
      <c r="Q45" s="14">
        <f t="shared" si="0"/>
        <v>23879</v>
      </c>
      <c r="R45" s="2" t="s">
        <v>834</v>
      </c>
    </row>
    <row r="46" spans="1:18" hidden="1" x14ac:dyDescent="0.3">
      <c r="A46" s="1">
        <f t="shared" si="1"/>
        <v>44</v>
      </c>
      <c r="B46" s="1">
        <v>1084</v>
      </c>
      <c r="C46" s="7">
        <v>101084</v>
      </c>
      <c r="D46" t="str">
        <f>VLOOKUP(B46,[2]Electricity!$A$8:$D$326,4,0)</f>
        <v>Bhon Chowk, Chakwal</v>
      </c>
      <c r="E46" s="12">
        <f>1000+714</f>
        <v>1714</v>
      </c>
      <c r="F46" s="13">
        <f>1039+897</f>
        <v>1936</v>
      </c>
      <c r="G46" s="13">
        <f>714+882</f>
        <v>1596</v>
      </c>
      <c r="H46" s="13">
        <f>704+984</f>
        <v>1688</v>
      </c>
      <c r="I46" s="13">
        <f>218+1006</f>
        <v>1224</v>
      </c>
      <c r="J46" s="13">
        <v>736</v>
      </c>
      <c r="K46" s="13">
        <v>804</v>
      </c>
      <c r="L46" s="13">
        <f>3+819</f>
        <v>822</v>
      </c>
      <c r="M46" s="13">
        <v>691</v>
      </c>
      <c r="N46" s="13">
        <f>320+969</f>
        <v>1289</v>
      </c>
      <c r="O46" s="13">
        <f>1089+715</f>
        <v>1804</v>
      </c>
      <c r="P46" s="13">
        <f>1028+1198</f>
        <v>2226</v>
      </c>
      <c r="Q46" s="14">
        <f t="shared" si="0"/>
        <v>16530</v>
      </c>
      <c r="R46" s="2" t="s">
        <v>834</v>
      </c>
    </row>
    <row r="47" spans="1:18" hidden="1" x14ac:dyDescent="0.3">
      <c r="A47" s="1">
        <f t="shared" si="1"/>
        <v>45</v>
      </c>
      <c r="B47" s="1">
        <v>1086</v>
      </c>
      <c r="C47" s="7">
        <v>101086</v>
      </c>
      <c r="D47" t="str">
        <f>VLOOKUP(B47,[2]Electricity!$A$8:$D$326,4,0)</f>
        <v>Circular Road, DI  Khan</v>
      </c>
      <c r="E47" s="12">
        <v>1861</v>
      </c>
      <c r="F47" s="13">
        <v>2805</v>
      </c>
      <c r="G47" s="13">
        <v>1634</v>
      </c>
      <c r="H47" s="13">
        <v>1238</v>
      </c>
      <c r="I47" s="13">
        <v>2019</v>
      </c>
      <c r="J47" s="13">
        <v>2593</v>
      </c>
      <c r="K47" s="13">
        <v>2087</v>
      </c>
      <c r="L47" s="13">
        <v>2040</v>
      </c>
      <c r="M47" s="13">
        <v>1417</v>
      </c>
      <c r="N47" s="13">
        <v>2805</v>
      </c>
      <c r="O47" s="13">
        <v>3393</v>
      </c>
      <c r="P47" s="13">
        <v>3976</v>
      </c>
      <c r="Q47" s="14">
        <f t="shared" si="0"/>
        <v>27868</v>
      </c>
      <c r="R47" s="2" t="s">
        <v>834</v>
      </c>
    </row>
    <row r="48" spans="1:18" hidden="1" x14ac:dyDescent="0.3">
      <c r="A48" s="1">
        <f t="shared" si="1"/>
        <v>46</v>
      </c>
      <c r="B48" s="1">
        <v>1089</v>
      </c>
      <c r="C48" s="7">
        <v>101089</v>
      </c>
      <c r="D48" t="str">
        <f>VLOOKUP(B48,[2]Electricity!$A$8:$D$326,4,0)</f>
        <v>Hafizabad</v>
      </c>
      <c r="E48" s="12">
        <v>4367</v>
      </c>
      <c r="F48" s="13">
        <v>4059</v>
      </c>
      <c r="G48" s="13">
        <v>4089</v>
      </c>
      <c r="H48" s="13">
        <v>3210</v>
      </c>
      <c r="I48" s="13">
        <v>1673</v>
      </c>
      <c r="J48" s="13">
        <v>1530</v>
      </c>
      <c r="K48" s="13">
        <v>1522</v>
      </c>
      <c r="L48" s="13">
        <v>1352</v>
      </c>
      <c r="M48" s="13">
        <v>1836</v>
      </c>
      <c r="N48" s="13">
        <v>2842</v>
      </c>
      <c r="O48" s="13">
        <v>3958</v>
      </c>
      <c r="P48" s="13">
        <v>3656</v>
      </c>
      <c r="Q48" s="14">
        <f t="shared" si="0"/>
        <v>34094</v>
      </c>
      <c r="R48" s="2" t="s">
        <v>834</v>
      </c>
    </row>
    <row r="49" spans="1:18" hidden="1" x14ac:dyDescent="0.3">
      <c r="A49" s="1">
        <f t="shared" si="1"/>
        <v>47</v>
      </c>
      <c r="B49" s="15">
        <v>1090</v>
      </c>
      <c r="C49" s="7">
        <v>1090</v>
      </c>
      <c r="D49" t="str">
        <f>VLOOKUP(B49,[2]Electricity!$A$8:$D$326,4,0)</f>
        <v>Madina Maket, Muzaffarbad</v>
      </c>
      <c r="E49" s="12">
        <v>3449</v>
      </c>
      <c r="F49" s="13">
        <v>3896</v>
      </c>
      <c r="G49" s="13">
        <v>3799</v>
      </c>
      <c r="H49" s="13">
        <v>2738</v>
      </c>
      <c r="I49" s="13">
        <v>1911</v>
      </c>
      <c r="J49" s="13">
        <v>1292</v>
      </c>
      <c r="K49" s="13">
        <v>1080</v>
      </c>
      <c r="L49" s="13">
        <v>2873</v>
      </c>
      <c r="M49" s="13">
        <v>2072</v>
      </c>
      <c r="N49" s="13">
        <v>1697</v>
      </c>
      <c r="O49" s="13">
        <v>3242</v>
      </c>
      <c r="P49" s="13">
        <v>0</v>
      </c>
      <c r="Q49" s="14">
        <f t="shared" si="0"/>
        <v>28049</v>
      </c>
      <c r="R49" s="2" t="s">
        <v>856</v>
      </c>
    </row>
    <row r="50" spans="1:18" hidden="1" x14ac:dyDescent="0.3">
      <c r="A50" s="1">
        <f t="shared" si="1"/>
        <v>48</v>
      </c>
      <c r="B50" s="1">
        <v>1091</v>
      </c>
      <c r="C50" s="1">
        <v>101091</v>
      </c>
      <c r="D50" t="str">
        <f>VLOOKUP(B50,[2]Electricity!$A$8:$D$326,4,0)</f>
        <v>Resham Galli, Larkana</v>
      </c>
      <c r="E50" s="12">
        <v>1888</v>
      </c>
      <c r="F50" s="13">
        <v>1818</v>
      </c>
      <c r="G50" s="13">
        <v>2677</v>
      </c>
      <c r="H50" s="13">
        <v>2451</v>
      </c>
      <c r="I50" s="13">
        <v>1590</v>
      </c>
      <c r="J50" s="13">
        <v>1601</v>
      </c>
      <c r="K50" s="13">
        <v>780</v>
      </c>
      <c r="L50" s="13">
        <v>889</v>
      </c>
      <c r="M50" s="13">
        <v>848</v>
      </c>
      <c r="N50" s="13">
        <v>2136</v>
      </c>
      <c r="O50" s="13">
        <v>967</v>
      </c>
      <c r="P50" s="13">
        <v>4237</v>
      </c>
      <c r="Q50" s="14">
        <f t="shared" si="0"/>
        <v>21882</v>
      </c>
      <c r="R50" s="2" t="s">
        <v>838</v>
      </c>
    </row>
    <row r="51" spans="1:18" hidden="1" x14ac:dyDescent="0.3">
      <c r="A51" s="1">
        <f t="shared" si="1"/>
        <v>49</v>
      </c>
      <c r="B51" s="1">
        <v>1093</v>
      </c>
      <c r="C51" s="7">
        <v>101093</v>
      </c>
      <c r="D51" t="str">
        <f>VLOOKUP(B51,[2]Electricity!$A$8:$D$326,4,0)</f>
        <v>Railway Road, Kasur</v>
      </c>
      <c r="E51" s="12">
        <v>5846</v>
      </c>
      <c r="F51" s="13">
        <v>5772</v>
      </c>
      <c r="G51" s="13">
        <v>4997</v>
      </c>
      <c r="H51" s="13">
        <v>4847</v>
      </c>
      <c r="I51" s="13">
        <v>3040</v>
      </c>
      <c r="J51" s="13">
        <v>1815</v>
      </c>
      <c r="K51" s="13">
        <v>3628</v>
      </c>
      <c r="L51" s="13">
        <v>2490</v>
      </c>
      <c r="M51" s="13">
        <v>4088</v>
      </c>
      <c r="N51" s="13">
        <v>5171</v>
      </c>
      <c r="O51" s="13">
        <v>6014</v>
      </c>
      <c r="P51" s="13">
        <v>5345</v>
      </c>
      <c r="Q51" s="14">
        <f t="shared" si="0"/>
        <v>53053</v>
      </c>
      <c r="R51" s="2" t="s">
        <v>834</v>
      </c>
    </row>
    <row r="52" spans="1:18" hidden="1" x14ac:dyDescent="0.3">
      <c r="A52" s="1">
        <f t="shared" si="1"/>
        <v>50</v>
      </c>
      <c r="B52" s="1">
        <v>1094</v>
      </c>
      <c r="C52" s="7">
        <v>101094</v>
      </c>
      <c r="D52" t="str">
        <f>VLOOKUP(B52,[2]Electricity!$A$8:$D$326,4,0)</f>
        <v xml:space="preserve">Bank Road, Mardan </v>
      </c>
      <c r="E52" s="12">
        <v>3386</v>
      </c>
      <c r="F52" s="13">
        <v>3574</v>
      </c>
      <c r="G52" s="13">
        <v>2875</v>
      </c>
      <c r="H52" s="13">
        <v>2058</v>
      </c>
      <c r="I52" s="13">
        <v>2119</v>
      </c>
      <c r="J52" s="13">
        <v>1552</v>
      </c>
      <c r="K52" s="13">
        <v>1702</v>
      </c>
      <c r="L52" s="13">
        <v>1332</v>
      </c>
      <c r="M52" s="13">
        <v>1623</v>
      </c>
      <c r="N52" s="13">
        <v>1896</v>
      </c>
      <c r="O52" s="13">
        <v>1768</v>
      </c>
      <c r="P52" s="13">
        <v>2131</v>
      </c>
      <c r="Q52" s="14">
        <f t="shared" si="0"/>
        <v>26016</v>
      </c>
      <c r="R52" s="2" t="s">
        <v>834</v>
      </c>
    </row>
    <row r="53" spans="1:18" hidden="1" x14ac:dyDescent="0.3">
      <c r="A53" s="1">
        <f t="shared" si="1"/>
        <v>51</v>
      </c>
      <c r="B53" s="1">
        <v>1096</v>
      </c>
      <c r="C53" s="7">
        <v>101096</v>
      </c>
      <c r="D53" t="str">
        <f>VLOOKUP(B53,[2]Electricity!$A$8:$D$326,4,0)</f>
        <v>Allama Iqbal Road, Mian Channu</v>
      </c>
      <c r="E53" s="12">
        <v>4716</v>
      </c>
      <c r="F53" s="13">
        <v>5592</v>
      </c>
      <c r="G53" s="13">
        <v>5062</v>
      </c>
      <c r="H53" s="13">
        <v>4746</v>
      </c>
      <c r="I53" s="13">
        <v>3083</v>
      </c>
      <c r="J53" s="13">
        <v>2605</v>
      </c>
      <c r="K53" s="13">
        <v>2572</v>
      </c>
      <c r="L53" s="13">
        <v>1898</v>
      </c>
      <c r="M53" s="13">
        <v>3179</v>
      </c>
      <c r="N53" s="13">
        <v>3635</v>
      </c>
      <c r="O53" s="13">
        <v>5541</v>
      </c>
      <c r="P53" s="13">
        <v>4392</v>
      </c>
      <c r="Q53" s="14">
        <f t="shared" si="0"/>
        <v>47021</v>
      </c>
      <c r="R53" s="2" t="s">
        <v>834</v>
      </c>
    </row>
    <row r="54" spans="1:18" hidden="1" x14ac:dyDescent="0.3">
      <c r="A54" s="1">
        <f t="shared" si="1"/>
        <v>52</v>
      </c>
      <c r="B54" s="1">
        <v>1098</v>
      </c>
      <c r="C54" s="1">
        <v>101098</v>
      </c>
      <c r="D54" t="s">
        <v>21</v>
      </c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>
        <f t="shared" si="0"/>
        <v>0</v>
      </c>
      <c r="R54" s="2" t="s">
        <v>839</v>
      </c>
    </row>
    <row r="55" spans="1:18" hidden="1" x14ac:dyDescent="0.3">
      <c r="A55" s="1">
        <f t="shared" si="1"/>
        <v>53</v>
      </c>
      <c r="B55" s="1">
        <v>1099</v>
      </c>
      <c r="C55" s="7">
        <v>101099</v>
      </c>
      <c r="D55" t="str">
        <f>VLOOKUP(B55,[2]Electricity!$A$8:$D$326,4,0)</f>
        <v>Gulshan-e-Ravi, Lahore</v>
      </c>
      <c r="E55" s="12">
        <f>2476+2711</f>
        <v>5187</v>
      </c>
      <c r="F55" s="13">
        <f>2339+2757</f>
        <v>5096</v>
      </c>
      <c r="G55" s="13">
        <f>2669+2706</f>
        <v>5375</v>
      </c>
      <c r="H55" s="13">
        <f>1738+2446</f>
        <v>4184</v>
      </c>
      <c r="I55" s="13">
        <f>858+1194</f>
        <v>2052</v>
      </c>
      <c r="J55" s="13">
        <f>630+1915</f>
        <v>2545</v>
      </c>
      <c r="K55" s="13">
        <f>757+1797</f>
        <v>2554</v>
      </c>
      <c r="L55" s="13">
        <f>541+1599</f>
        <v>2140</v>
      </c>
      <c r="M55" s="13">
        <f>1260+2528</f>
        <v>3788</v>
      </c>
      <c r="N55" s="13">
        <f>1221+2317</f>
        <v>3538</v>
      </c>
      <c r="O55" s="13">
        <f>1957+2817</f>
        <v>4774</v>
      </c>
      <c r="P55" s="13">
        <f>839+1984</f>
        <v>2823</v>
      </c>
      <c r="Q55" s="14">
        <f t="shared" si="0"/>
        <v>44056</v>
      </c>
      <c r="R55" s="2" t="s">
        <v>834</v>
      </c>
    </row>
    <row r="56" spans="1:18" hidden="1" x14ac:dyDescent="0.3">
      <c r="A56" s="1">
        <f>A55+1</f>
        <v>54</v>
      </c>
      <c r="B56" s="1">
        <v>1100</v>
      </c>
      <c r="C56" s="7">
        <v>101100</v>
      </c>
      <c r="D56" t="str">
        <f>VLOOKUP(B56,[2]Electricity!$A$8:$D$326,4,0)</f>
        <v>Jinnah Road, Vehari</v>
      </c>
      <c r="E56" s="12">
        <f>5173+6016</f>
        <v>11189</v>
      </c>
      <c r="F56" s="13">
        <f>4565+4996</f>
        <v>9561</v>
      </c>
      <c r="G56" s="13">
        <f>2182+6586</f>
        <v>8768</v>
      </c>
      <c r="H56" s="13">
        <f>800+8296</f>
        <v>9096</v>
      </c>
      <c r="I56" s="13">
        <f>3619+4412</f>
        <v>8031</v>
      </c>
      <c r="J56" s="13">
        <f>2160+2630</f>
        <v>4790</v>
      </c>
      <c r="K56" s="13">
        <f>2123+2364</f>
        <v>4487</v>
      </c>
      <c r="L56" s="13">
        <f>2137+2271</f>
        <v>4408</v>
      </c>
      <c r="M56" s="13">
        <f>2451+2219</f>
        <v>4670</v>
      </c>
      <c r="N56" s="13">
        <f>3709+3806</f>
        <v>7515</v>
      </c>
      <c r="O56" s="13">
        <f>3974+4356</f>
        <v>8330</v>
      </c>
      <c r="P56" s="13">
        <f>4801+5294</f>
        <v>10095</v>
      </c>
      <c r="Q56" s="14">
        <f t="shared" si="0"/>
        <v>90940</v>
      </c>
      <c r="R56" s="2" t="s">
        <v>834</v>
      </c>
    </row>
    <row r="57" spans="1:18" hidden="1" x14ac:dyDescent="0.3">
      <c r="A57" s="1">
        <f t="shared" si="1"/>
        <v>55</v>
      </c>
      <c r="B57" s="1">
        <v>1103</v>
      </c>
      <c r="C57" s="1">
        <v>101103</v>
      </c>
      <c r="D57" t="str">
        <f>VLOOKUP(B57,[2]Electricity!$A$8:$D$326,4,0)</f>
        <v>Centurus Mall, Islamabad</v>
      </c>
      <c r="E57" s="71" t="s">
        <v>17</v>
      </c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3"/>
      <c r="Q57" s="14">
        <f t="shared" si="0"/>
        <v>0</v>
      </c>
      <c r="R57" s="2" t="s">
        <v>22</v>
      </c>
    </row>
    <row r="58" spans="1:18" hidden="1" x14ac:dyDescent="0.3">
      <c r="A58" s="1">
        <f t="shared" si="1"/>
        <v>56</v>
      </c>
      <c r="B58" s="1">
        <v>1104</v>
      </c>
      <c r="C58" s="7">
        <v>101104</v>
      </c>
      <c r="D58" t="str">
        <f>VLOOKUP(B58,[2]Electricity!$A$8:$D$326,4,0)</f>
        <v>Tariq Road-2, Karachi</v>
      </c>
      <c r="E58" s="12">
        <v>8141</v>
      </c>
      <c r="F58" s="13">
        <v>7463</v>
      </c>
      <c r="G58" s="13">
        <v>8354</v>
      </c>
      <c r="H58" s="13">
        <v>8503</v>
      </c>
      <c r="I58" s="13">
        <v>8817</v>
      </c>
      <c r="J58" s="13">
        <v>8040</v>
      </c>
      <c r="K58" s="13">
        <v>5295</v>
      </c>
      <c r="L58" s="13">
        <v>5662</v>
      </c>
      <c r="M58" s="13">
        <v>6366</v>
      </c>
      <c r="N58" s="13">
        <v>8288</v>
      </c>
      <c r="O58" s="13">
        <v>7917</v>
      </c>
      <c r="P58" s="13">
        <v>8442</v>
      </c>
      <c r="Q58" s="14">
        <f t="shared" si="0"/>
        <v>91288</v>
      </c>
      <c r="R58" s="2" t="s">
        <v>834</v>
      </c>
    </row>
    <row r="59" spans="1:18" hidden="1" x14ac:dyDescent="0.3">
      <c r="A59" s="1">
        <f t="shared" si="1"/>
        <v>57</v>
      </c>
      <c r="B59" s="1">
        <v>1106</v>
      </c>
      <c r="C59" s="7">
        <v>101106</v>
      </c>
      <c r="D59" t="str">
        <f>VLOOKUP(B59,[2]Electricity!$A$8:$D$326,4,0)</f>
        <v>Al-Rahim Complex, Quetta</v>
      </c>
      <c r="E59" s="12">
        <v>9020</v>
      </c>
      <c r="F59" s="13">
        <v>2080</v>
      </c>
      <c r="G59" s="13">
        <v>6760</v>
      </c>
      <c r="H59" s="13">
        <v>9760</v>
      </c>
      <c r="I59" s="13">
        <v>8880</v>
      </c>
      <c r="J59" s="13">
        <v>6960</v>
      </c>
      <c r="K59" s="13">
        <v>7140</v>
      </c>
      <c r="L59" s="13">
        <v>6860</v>
      </c>
      <c r="M59" s="13">
        <v>6720</v>
      </c>
      <c r="N59" s="13">
        <v>8960</v>
      </c>
      <c r="O59" s="13">
        <v>9100</v>
      </c>
      <c r="P59" s="13">
        <v>10920</v>
      </c>
      <c r="Q59" s="14">
        <f t="shared" si="0"/>
        <v>93160</v>
      </c>
      <c r="R59" s="2" t="s">
        <v>834</v>
      </c>
    </row>
    <row r="60" spans="1:18" hidden="1" x14ac:dyDescent="0.3">
      <c r="A60" s="1">
        <f t="shared" si="1"/>
        <v>58</v>
      </c>
      <c r="B60" s="1">
        <v>1107</v>
      </c>
      <c r="C60" s="7">
        <v>101107</v>
      </c>
      <c r="D60" t="str">
        <f>VLOOKUP(B60,[2]Electricity!$A$8:$D$326,4,0)</f>
        <v>Liberty-2, Lahore</v>
      </c>
      <c r="E60" s="12">
        <v>14700</v>
      </c>
      <c r="F60" s="13">
        <v>15120</v>
      </c>
      <c r="G60" s="13">
        <v>21480</v>
      </c>
      <c r="H60" s="13">
        <v>6700</v>
      </c>
      <c r="I60" s="13">
        <v>9600</v>
      </c>
      <c r="J60" s="13">
        <v>13760</v>
      </c>
      <c r="K60" s="13">
        <v>3200</v>
      </c>
      <c r="L60" s="13">
        <v>23380</v>
      </c>
      <c r="M60" s="13">
        <f>10040+3740</f>
        <v>13780</v>
      </c>
      <c r="N60" s="13">
        <v>9880</v>
      </c>
      <c r="O60" s="13">
        <v>13320</v>
      </c>
      <c r="P60" s="13">
        <v>15720</v>
      </c>
      <c r="Q60" s="14">
        <f t="shared" si="0"/>
        <v>160640</v>
      </c>
      <c r="R60" s="2" t="s">
        <v>834</v>
      </c>
    </row>
    <row r="61" spans="1:18" hidden="1" x14ac:dyDescent="0.3">
      <c r="A61" s="1">
        <f t="shared" si="1"/>
        <v>59</v>
      </c>
      <c r="B61" s="1">
        <v>1108</v>
      </c>
      <c r="C61" s="7">
        <v>101108</v>
      </c>
      <c r="D61" t="str">
        <f>VLOOKUP(B61,[2]Electricity!$A$8:$D$326,4,0)</f>
        <v>Kings Mall, Gujranwala</v>
      </c>
      <c r="E61" s="12">
        <v>2458</v>
      </c>
      <c r="F61" s="13">
        <v>2773</v>
      </c>
      <c r="G61" s="13">
        <v>2750</v>
      </c>
      <c r="H61" s="13">
        <v>2600</v>
      </c>
      <c r="I61" s="13">
        <v>2312</v>
      </c>
      <c r="J61" s="13">
        <v>1885</v>
      </c>
      <c r="K61" s="13">
        <v>2455</v>
      </c>
      <c r="L61" s="13">
        <v>2585</v>
      </c>
      <c r="M61" s="13">
        <v>3945</v>
      </c>
      <c r="N61" s="13">
        <v>1400</v>
      </c>
      <c r="O61" s="13">
        <v>3939</v>
      </c>
      <c r="P61" s="13">
        <v>2629</v>
      </c>
      <c r="Q61" s="14">
        <f t="shared" si="0"/>
        <v>31731</v>
      </c>
      <c r="R61" s="2" t="s">
        <v>834</v>
      </c>
    </row>
    <row r="62" spans="1:18" hidden="1" x14ac:dyDescent="0.3">
      <c r="A62" s="1">
        <f t="shared" si="1"/>
        <v>60</v>
      </c>
      <c r="B62" s="1">
        <v>1109</v>
      </c>
      <c r="C62" s="7">
        <v>101109</v>
      </c>
      <c r="D62" t="str">
        <f>VLOOKUP(B62,[2]Electricity!$A$8:$D$326,4,0)</f>
        <v>Sadar Cantt, Lahore</v>
      </c>
      <c r="E62" s="12">
        <f>2563+293+551</f>
        <v>3407</v>
      </c>
      <c r="F62" s="13">
        <f>3558+0+0</f>
        <v>3558</v>
      </c>
      <c r="G62" s="13">
        <f>2682+90+183</f>
        <v>2955</v>
      </c>
      <c r="H62" s="13">
        <f>2488+215+368</f>
        <v>3071</v>
      </c>
      <c r="I62" s="13">
        <f>1525+268+412</f>
        <v>2205</v>
      </c>
      <c r="J62" s="13">
        <f>636+226+322</f>
        <v>1184</v>
      </c>
      <c r="K62" s="13">
        <f>793+248+407</f>
        <v>1448</v>
      </c>
      <c r="L62" s="13">
        <f>792+237+403</f>
        <v>1432</v>
      </c>
      <c r="M62" s="13">
        <f>913+204+386</f>
        <v>1503</v>
      </c>
      <c r="N62" s="13">
        <f>1991+223+416</f>
        <v>2630</v>
      </c>
      <c r="O62" s="13">
        <f>2473+240+350</f>
        <v>3063</v>
      </c>
      <c r="P62" s="13">
        <f>3122+245+344</f>
        <v>3711</v>
      </c>
      <c r="Q62" s="14">
        <f t="shared" si="0"/>
        <v>30167</v>
      </c>
      <c r="R62" s="2" t="s">
        <v>834</v>
      </c>
    </row>
    <row r="63" spans="1:18" hidden="1" x14ac:dyDescent="0.3">
      <c r="A63" s="1">
        <f t="shared" si="1"/>
        <v>61</v>
      </c>
      <c r="B63" s="1">
        <v>1110</v>
      </c>
      <c r="C63" s="7">
        <v>101110</v>
      </c>
      <c r="D63" t="str">
        <f>VLOOKUP(B63,[2]Electricity!$A$8:$D$326,4,0)</f>
        <v>Shandar Chowk, Jehlum</v>
      </c>
      <c r="E63" s="12">
        <v>10232</v>
      </c>
      <c r="F63" s="13">
        <v>12268</v>
      </c>
      <c r="G63" s="13">
        <v>11570</v>
      </c>
      <c r="H63" s="13">
        <v>11801</v>
      </c>
      <c r="I63" s="13">
        <v>8289</v>
      </c>
      <c r="J63" s="13">
        <v>4353</v>
      </c>
      <c r="K63" s="13">
        <v>4186</v>
      </c>
      <c r="L63" s="13">
        <v>4079</v>
      </c>
      <c r="M63" s="13">
        <v>4502</v>
      </c>
      <c r="N63" s="13">
        <v>9330</v>
      </c>
      <c r="O63" s="13">
        <v>10033</v>
      </c>
      <c r="P63" s="13">
        <v>11847</v>
      </c>
      <c r="Q63" s="14">
        <f t="shared" si="0"/>
        <v>102490</v>
      </c>
      <c r="R63" s="2" t="s">
        <v>834</v>
      </c>
    </row>
    <row r="64" spans="1:18" hidden="1" x14ac:dyDescent="0.3">
      <c r="A64" s="1">
        <f t="shared" si="1"/>
        <v>62</v>
      </c>
      <c r="B64" s="1">
        <v>1111</v>
      </c>
      <c r="C64" s="7">
        <v>101111</v>
      </c>
      <c r="D64" t="str">
        <f>VLOOKUP(B64,[2]Electricity!$A$8:$D$326,4,0)</f>
        <v>G-9 Markaz, Islamabad</v>
      </c>
      <c r="E64" s="12">
        <f>4036+1615+460</f>
        <v>6111</v>
      </c>
      <c r="F64" s="13">
        <f>4077+1860+560</f>
        <v>6497</v>
      </c>
      <c r="G64" s="13">
        <f>3664+1676+460</f>
        <v>5800</v>
      </c>
      <c r="H64" s="13">
        <f>2983+1509+400</f>
        <v>4892</v>
      </c>
      <c r="I64" s="13">
        <f>2054+1657+320</f>
        <v>4031</v>
      </c>
      <c r="J64" s="13">
        <f>1064+1683+240</f>
        <v>2987</v>
      </c>
      <c r="K64" s="13">
        <f>1142+1828+260</f>
        <v>3230</v>
      </c>
      <c r="L64" s="13">
        <f>1217+1952+1880</f>
        <v>5049</v>
      </c>
      <c r="M64" s="13">
        <f>1180+1754</f>
        <v>2934</v>
      </c>
      <c r="N64" s="13">
        <f>2562+1737</f>
        <v>4299</v>
      </c>
      <c r="O64" s="13">
        <f>3291+1731</f>
        <v>5022</v>
      </c>
      <c r="P64" s="13">
        <f>3901+1825</f>
        <v>5726</v>
      </c>
      <c r="Q64" s="14">
        <f>SUM(E64:P64)</f>
        <v>56578</v>
      </c>
      <c r="R64" s="2" t="s">
        <v>834</v>
      </c>
    </row>
    <row r="65" spans="1:18" hidden="1" x14ac:dyDescent="0.3">
      <c r="A65" s="1">
        <f t="shared" si="1"/>
        <v>63</v>
      </c>
      <c r="B65" s="1">
        <v>1112</v>
      </c>
      <c r="C65" s="7">
        <v>101112</v>
      </c>
      <c r="D65" t="str">
        <f>VLOOKUP(B65,[2]Electricity!$A$8:$D$326,4,0)</f>
        <v>Zaman Centre, Rawalpindi</v>
      </c>
      <c r="E65" s="12">
        <v>3800</v>
      </c>
      <c r="F65" s="13">
        <v>4680</v>
      </c>
      <c r="G65" s="13">
        <v>4240</v>
      </c>
      <c r="H65" s="13">
        <v>3480</v>
      </c>
      <c r="I65" s="13">
        <v>4280</v>
      </c>
      <c r="J65" s="13">
        <v>3280</v>
      </c>
      <c r="K65" s="13">
        <v>3320</v>
      </c>
      <c r="L65" s="13">
        <v>3520</v>
      </c>
      <c r="M65" s="13">
        <v>3280</v>
      </c>
      <c r="N65" s="13">
        <v>4720</v>
      </c>
      <c r="O65" s="13">
        <v>5200</v>
      </c>
      <c r="P65" s="13">
        <v>10080</v>
      </c>
      <c r="Q65" s="14">
        <f t="shared" si="0"/>
        <v>53880</v>
      </c>
      <c r="R65" s="2" t="s">
        <v>840</v>
      </c>
    </row>
    <row r="66" spans="1:18" hidden="1" x14ac:dyDescent="0.3">
      <c r="A66" s="1">
        <f t="shared" si="1"/>
        <v>64</v>
      </c>
      <c r="B66" s="1">
        <v>1113</v>
      </c>
      <c r="C66" s="7">
        <v>101113</v>
      </c>
      <c r="D66" t="str">
        <f>VLOOKUP(B66,[2]Electricity!$A$8:$D$326,4,0)</f>
        <v>Liaqat Bazar, Quetta</v>
      </c>
      <c r="E66" s="12">
        <v>5138</v>
      </c>
      <c r="F66" s="13">
        <v>5530</v>
      </c>
      <c r="G66" s="13">
        <v>5373</v>
      </c>
      <c r="H66" s="13">
        <v>4323</v>
      </c>
      <c r="I66" s="13">
        <v>3219</v>
      </c>
      <c r="J66" s="13">
        <v>2157</v>
      </c>
      <c r="K66" s="13">
        <v>3374</v>
      </c>
      <c r="L66" s="13">
        <v>3130</v>
      </c>
      <c r="M66" s="13">
        <v>2594</v>
      </c>
      <c r="N66" s="13">
        <v>3494</v>
      </c>
      <c r="O66" s="13">
        <v>2816</v>
      </c>
      <c r="P66" s="13">
        <v>3858</v>
      </c>
      <c r="Q66" s="14">
        <f t="shared" si="0"/>
        <v>45006</v>
      </c>
      <c r="R66" s="2" t="s">
        <v>834</v>
      </c>
    </row>
    <row r="67" spans="1:18" hidden="1" x14ac:dyDescent="0.3">
      <c r="A67" s="1">
        <f t="shared" si="1"/>
        <v>65</v>
      </c>
      <c r="B67" s="1">
        <v>1116</v>
      </c>
      <c r="C67" s="7">
        <v>101116</v>
      </c>
      <c r="D67" t="str">
        <f>VLOOKUP(B67,[2]Electricity!$A$8:$D$326,4,0)</f>
        <v>Bahadurabad, Karachi</v>
      </c>
      <c r="E67" s="12">
        <f>3072+2721+1616</f>
        <v>7409</v>
      </c>
      <c r="F67" s="13">
        <f>2995+2845+2145</f>
        <v>7985</v>
      </c>
      <c r="G67" s="13">
        <f>3095+1801+2716</f>
        <v>7612</v>
      </c>
      <c r="H67" s="13">
        <f>3228+1671+2771</f>
        <v>7670</v>
      </c>
      <c r="I67" s="13">
        <f>3806+2449+3080</f>
        <v>9335</v>
      </c>
      <c r="J67" s="13">
        <f>3756+1774+2924</f>
        <v>8454</v>
      </c>
      <c r="K67" s="13">
        <f>3489+530+1210</f>
        <v>5229</v>
      </c>
      <c r="L67" s="13">
        <f>3640+558+1239</f>
        <v>5437</v>
      </c>
      <c r="M67" s="13">
        <f>3623+1093+1795</f>
        <v>6511</v>
      </c>
      <c r="N67" s="13">
        <f>3010+1444+2979</f>
        <v>7433</v>
      </c>
      <c r="O67" s="13">
        <f>5189+1714+2484</f>
        <v>9387</v>
      </c>
      <c r="P67" s="13">
        <f>3964+2338+2738</f>
        <v>9040</v>
      </c>
      <c r="Q67" s="14">
        <f t="shared" si="0"/>
        <v>91502</v>
      </c>
      <c r="R67" s="2" t="s">
        <v>834</v>
      </c>
    </row>
    <row r="68" spans="1:18" hidden="1" x14ac:dyDescent="0.3">
      <c r="A68" s="1">
        <f t="shared" si="1"/>
        <v>66</v>
      </c>
      <c r="B68" s="1">
        <v>1117</v>
      </c>
      <c r="C68" s="7">
        <v>101117</v>
      </c>
      <c r="D68" t="str">
        <f>VLOOKUP(B68,[2]Electricity!$A$8:$D$326,4,0)</f>
        <v>City Center, Sawat</v>
      </c>
      <c r="E68" s="12">
        <v>4041</v>
      </c>
      <c r="F68" s="13">
        <v>4440</v>
      </c>
      <c r="G68" s="13">
        <v>4767</v>
      </c>
      <c r="H68" s="13">
        <v>4359</v>
      </c>
      <c r="I68" s="13">
        <v>2848</v>
      </c>
      <c r="J68" s="13">
        <v>2551</v>
      </c>
      <c r="K68" s="13">
        <v>2665</v>
      </c>
      <c r="L68" s="13">
        <v>2756</v>
      </c>
      <c r="M68" s="13">
        <v>2442</v>
      </c>
      <c r="N68" s="13">
        <v>3845</v>
      </c>
      <c r="O68" s="13">
        <v>5558</v>
      </c>
      <c r="P68" s="13">
        <v>7659</v>
      </c>
      <c r="Q68" s="14">
        <f t="shared" si="0"/>
        <v>47931</v>
      </c>
      <c r="R68" s="2" t="s">
        <v>841</v>
      </c>
    </row>
    <row r="69" spans="1:18" hidden="1" x14ac:dyDescent="0.3">
      <c r="A69" s="1">
        <f t="shared" ref="A69:A132" si="2">A68+1</f>
        <v>67</v>
      </c>
      <c r="B69" s="1">
        <v>1119</v>
      </c>
      <c r="C69" s="1">
        <v>101119</v>
      </c>
      <c r="D69" t="str">
        <f>VLOOKUP(B69,[2]Electricity!$A$8:$D$326,4,0)</f>
        <v>Dolmen Mall, Karachi</v>
      </c>
      <c r="E69" s="71" t="s">
        <v>17</v>
      </c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3"/>
      <c r="Q69" s="14">
        <f t="shared" ref="Q69:Q132" si="3">SUM(E69:P69)</f>
        <v>0</v>
      </c>
      <c r="R69" s="2" t="s">
        <v>22</v>
      </c>
    </row>
    <row r="70" spans="1:18" hidden="1" x14ac:dyDescent="0.3">
      <c r="A70" s="1">
        <f t="shared" si="2"/>
        <v>68</v>
      </c>
      <c r="B70" s="1">
        <v>1121</v>
      </c>
      <c r="C70" s="7">
        <v>101121</v>
      </c>
      <c r="D70" t="str">
        <f>VLOOKUP(B70,[2]Electricity!$A$8:$D$326,4,0)</f>
        <v>Sahibzada Plaza, Mardan</v>
      </c>
      <c r="E70" s="12">
        <v>4734</v>
      </c>
      <c r="F70" s="13">
        <v>5265</v>
      </c>
      <c r="G70" s="13">
        <v>5517</v>
      </c>
      <c r="H70" s="13">
        <v>6986</v>
      </c>
      <c r="I70" s="13">
        <v>4471</v>
      </c>
      <c r="J70" s="13">
        <v>3407</v>
      </c>
      <c r="K70" s="13">
        <v>3827</v>
      </c>
      <c r="L70" s="13">
        <v>4288</v>
      </c>
      <c r="M70" s="13">
        <v>3361</v>
      </c>
      <c r="N70" s="13">
        <v>4121</v>
      </c>
      <c r="O70" s="13">
        <v>4725</v>
      </c>
      <c r="P70" s="13">
        <v>7913</v>
      </c>
      <c r="Q70" s="14">
        <f t="shared" si="3"/>
        <v>58615</v>
      </c>
      <c r="R70" s="2" t="s">
        <v>834</v>
      </c>
    </row>
    <row r="71" spans="1:18" hidden="1" x14ac:dyDescent="0.3">
      <c r="A71" s="1">
        <f t="shared" si="2"/>
        <v>69</v>
      </c>
      <c r="B71" s="1">
        <v>1122</v>
      </c>
      <c r="C71" s="7">
        <v>101122</v>
      </c>
      <c r="D71" t="str">
        <f>VLOOKUP(B71,[2]Electricity!$A$8:$D$326,4,0)</f>
        <v>Tehsil Road, Okara</v>
      </c>
      <c r="E71" s="12">
        <v>4240</v>
      </c>
      <c r="F71" s="13">
        <v>12840</v>
      </c>
      <c r="G71" s="13">
        <v>8640</v>
      </c>
      <c r="H71" s="13">
        <v>8200</v>
      </c>
      <c r="I71" s="13">
        <v>5960</v>
      </c>
      <c r="J71" s="13">
        <v>4000</v>
      </c>
      <c r="K71" s="13">
        <v>4440</v>
      </c>
      <c r="L71" s="13">
        <v>4120</v>
      </c>
      <c r="M71" s="13">
        <f>6600+1880</f>
        <v>8480</v>
      </c>
      <c r="N71" s="13">
        <v>4680</v>
      </c>
      <c r="O71" s="13">
        <v>10400</v>
      </c>
      <c r="P71" s="13">
        <v>9360</v>
      </c>
      <c r="Q71" s="14">
        <f t="shared" si="3"/>
        <v>85360</v>
      </c>
      <c r="R71" s="2" t="s">
        <v>834</v>
      </c>
    </row>
    <row r="72" spans="1:18" hidden="1" x14ac:dyDescent="0.3">
      <c r="A72" s="1">
        <f t="shared" si="2"/>
        <v>70</v>
      </c>
      <c r="B72" s="1">
        <v>1124</v>
      </c>
      <c r="C72" s="7">
        <v>101124</v>
      </c>
      <c r="D72" t="str">
        <f>VLOOKUP(B72,[2]Electricity!$A$8:$D$326,4,0)</f>
        <v xml:space="preserve">CP City Road, Sargodha </v>
      </c>
      <c r="E72" s="12">
        <v>2603</v>
      </c>
      <c r="F72" s="13">
        <v>3208</v>
      </c>
      <c r="G72" s="13">
        <v>869</v>
      </c>
      <c r="H72" s="13">
        <v>836</v>
      </c>
      <c r="I72" s="13">
        <v>626</v>
      </c>
      <c r="J72" s="13">
        <v>744</v>
      </c>
      <c r="K72" s="13">
        <v>751</v>
      </c>
      <c r="L72" s="13">
        <v>900</v>
      </c>
      <c r="M72" s="13">
        <v>2818</v>
      </c>
      <c r="N72" s="13">
        <v>5986</v>
      </c>
      <c r="O72" s="13">
        <v>7992</v>
      </c>
      <c r="P72" s="13">
        <v>8286</v>
      </c>
      <c r="Q72" s="14">
        <f t="shared" si="3"/>
        <v>35619</v>
      </c>
      <c r="R72" s="2" t="s">
        <v>842</v>
      </c>
    </row>
    <row r="73" spans="1:18" hidden="1" x14ac:dyDescent="0.3">
      <c r="A73" s="1">
        <f t="shared" si="2"/>
        <v>71</v>
      </c>
      <c r="B73" s="1">
        <v>1125</v>
      </c>
      <c r="C73" s="1">
        <v>101125</v>
      </c>
      <c r="D73" t="str">
        <f>VLOOKUP(B73,[2]Electricity!$A$8:$D$326,4,0)</f>
        <v>WTC Giga Mall, Islamabad</v>
      </c>
      <c r="E73" s="71" t="s">
        <v>17</v>
      </c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3"/>
      <c r="Q73" s="14">
        <f t="shared" si="3"/>
        <v>0</v>
      </c>
      <c r="R73" s="2" t="s">
        <v>18</v>
      </c>
    </row>
    <row r="74" spans="1:18" hidden="1" x14ac:dyDescent="0.3">
      <c r="A74" s="1">
        <f t="shared" si="2"/>
        <v>72</v>
      </c>
      <c r="B74" s="1">
        <v>1126</v>
      </c>
      <c r="C74" s="1">
        <v>101126</v>
      </c>
      <c r="D74" t="str">
        <f>VLOOKUP(B74,[2]Electricity!$A$8:$D$326,4,0)</f>
        <v>Boulevard Mall, Hyderabad</v>
      </c>
      <c r="E74" s="71" t="s">
        <v>17</v>
      </c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3"/>
      <c r="Q74" s="14">
        <f t="shared" si="3"/>
        <v>0</v>
      </c>
      <c r="R74" s="2" t="s">
        <v>18</v>
      </c>
    </row>
    <row r="75" spans="1:18" hidden="1" x14ac:dyDescent="0.3">
      <c r="A75" s="1">
        <f t="shared" si="2"/>
        <v>73</v>
      </c>
      <c r="B75" s="1">
        <v>1127</v>
      </c>
      <c r="C75" s="1">
        <v>101127</v>
      </c>
      <c r="D75" t="str">
        <f>VLOOKUP(B75,[2]Electricity!$A$8:$D$326,4,0)</f>
        <v>Lucky Mall, Karachi</v>
      </c>
      <c r="E75" s="71" t="s">
        <v>17</v>
      </c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3"/>
      <c r="Q75" s="14">
        <f t="shared" si="3"/>
        <v>0</v>
      </c>
      <c r="R75" s="2" t="s">
        <v>18</v>
      </c>
    </row>
    <row r="76" spans="1:18" hidden="1" x14ac:dyDescent="0.3">
      <c r="A76" s="1">
        <f t="shared" si="2"/>
        <v>74</v>
      </c>
      <c r="B76" s="1">
        <v>1128</v>
      </c>
      <c r="C76" s="1">
        <v>101128</v>
      </c>
      <c r="D76" t="str">
        <f>VLOOKUP(B76,[2]Electricity!$A$8:$D$326,4,0)</f>
        <v>Nishat Emporium Mall, Lahore</v>
      </c>
      <c r="E76" s="71" t="s">
        <v>17</v>
      </c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3"/>
      <c r="Q76" s="14">
        <f t="shared" si="3"/>
        <v>0</v>
      </c>
    </row>
    <row r="77" spans="1:18" hidden="1" x14ac:dyDescent="0.3">
      <c r="A77" s="1">
        <f t="shared" si="2"/>
        <v>75</v>
      </c>
      <c r="B77" s="1">
        <v>1130</v>
      </c>
      <c r="C77" s="1">
        <v>101130</v>
      </c>
      <c r="D77" t="str">
        <f>VLOOKUP(B77,[2]Electricity!$A$8:$D$326,4,0)</f>
        <v>Shadbagh, Lahore</v>
      </c>
      <c r="E77" s="12">
        <f>716+6020</f>
        <v>6736</v>
      </c>
      <c r="F77" s="13">
        <f>746+7800</f>
        <v>8546</v>
      </c>
      <c r="G77" s="13">
        <f>305+8780</f>
        <v>9085</v>
      </c>
      <c r="H77" s="13">
        <f>173+5740</f>
        <v>5913</v>
      </c>
      <c r="I77" s="13">
        <f>22+1380</f>
        <v>1402</v>
      </c>
      <c r="J77" s="13">
        <v>6080</v>
      </c>
      <c r="K77" s="13">
        <v>3720</v>
      </c>
      <c r="L77" s="13">
        <v>3820</v>
      </c>
      <c r="M77" s="13">
        <v>6380</v>
      </c>
      <c r="N77" s="13">
        <f>3500+2320</f>
        <v>5820</v>
      </c>
      <c r="O77" s="13">
        <v>8160</v>
      </c>
      <c r="P77" s="13">
        <v>7260</v>
      </c>
      <c r="Q77" s="14">
        <f t="shared" si="3"/>
        <v>72922</v>
      </c>
      <c r="R77" s="2" t="s">
        <v>834</v>
      </c>
    </row>
    <row r="78" spans="1:18" hidden="1" x14ac:dyDescent="0.3">
      <c r="A78" s="1">
        <f t="shared" si="2"/>
        <v>76</v>
      </c>
      <c r="B78" s="1">
        <v>1131</v>
      </c>
      <c r="C78" s="1">
        <v>101131</v>
      </c>
      <c r="D78" t="str">
        <f>VLOOKUP(B78,[2]Electricity!$A$8:$D$326,4,0)</f>
        <v>Mall Of Sialkot</v>
      </c>
      <c r="E78" s="71" t="s">
        <v>17</v>
      </c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3"/>
      <c r="Q78" s="14">
        <f t="shared" si="3"/>
        <v>0</v>
      </c>
      <c r="R78" s="2" t="s">
        <v>18</v>
      </c>
    </row>
    <row r="79" spans="1:18" hidden="1" x14ac:dyDescent="0.3">
      <c r="A79" s="1">
        <f t="shared" si="2"/>
        <v>77</v>
      </c>
      <c r="B79" s="1">
        <v>1133</v>
      </c>
      <c r="C79" s="7">
        <v>101133</v>
      </c>
      <c r="D79" t="str">
        <f>VLOOKUP(B79,[2]Electricity!$A$8:$D$326,4,0)</f>
        <v>Gulistan-e-Johar, Karachi</v>
      </c>
      <c r="E79" s="12">
        <v>6705</v>
      </c>
      <c r="F79" s="13">
        <v>6518</v>
      </c>
      <c r="G79" s="13">
        <v>7169</v>
      </c>
      <c r="H79" s="13">
        <v>6118</v>
      </c>
      <c r="I79" s="13">
        <v>6295</v>
      </c>
      <c r="J79" s="13">
        <v>5704</v>
      </c>
      <c r="K79" s="13">
        <v>4286</v>
      </c>
      <c r="L79" s="13">
        <v>4545</v>
      </c>
      <c r="M79" s="13">
        <v>5288</v>
      </c>
      <c r="N79" s="13">
        <v>8052</v>
      </c>
      <c r="O79" s="13">
        <v>6926</v>
      </c>
      <c r="P79" s="13">
        <v>7731</v>
      </c>
      <c r="Q79" s="14">
        <f t="shared" si="3"/>
        <v>75337</v>
      </c>
      <c r="R79" s="2" t="s">
        <v>834</v>
      </c>
    </row>
    <row r="80" spans="1:18" hidden="1" x14ac:dyDescent="0.3">
      <c r="A80" s="1">
        <f t="shared" si="2"/>
        <v>78</v>
      </c>
      <c r="B80" s="1">
        <v>1134</v>
      </c>
      <c r="C80" s="7">
        <v>101134</v>
      </c>
      <c r="D80" t="str">
        <f>VLOOKUP(B80,[2]Electricity!$A$8:$D$326,4,0)</f>
        <v>City Road, Sargodha</v>
      </c>
      <c r="E80" s="12">
        <f>3972+198+105</f>
        <v>4275</v>
      </c>
      <c r="F80" s="13">
        <f>4214+181+86</f>
        <v>4481</v>
      </c>
      <c r="G80" s="13">
        <f>5186+206+114</f>
        <v>5506</v>
      </c>
      <c r="H80" s="13">
        <f>4915+214+122</f>
        <v>5251</v>
      </c>
      <c r="I80" s="13">
        <f>3655+216+172</f>
        <v>4043</v>
      </c>
      <c r="J80" s="13">
        <f>2591+158+162</f>
        <v>2911</v>
      </c>
      <c r="K80" s="13">
        <f>2385+167+160</f>
        <v>2712</v>
      </c>
      <c r="L80" s="13">
        <f>2139+157+139</f>
        <v>2435</v>
      </c>
      <c r="M80" s="13">
        <f>1888+122+122</f>
        <v>2132</v>
      </c>
      <c r="N80" s="13">
        <f>2756+479+324</f>
        <v>3559</v>
      </c>
      <c r="O80" s="13">
        <f>3857+390+128</f>
        <v>4375</v>
      </c>
      <c r="P80" s="13">
        <f>4586+281+100</f>
        <v>4967</v>
      </c>
      <c r="Q80" s="14">
        <f t="shared" si="3"/>
        <v>46647</v>
      </c>
      <c r="R80" s="2" t="s">
        <v>834</v>
      </c>
    </row>
    <row r="81" spans="1:18" hidden="1" x14ac:dyDescent="0.3">
      <c r="A81" s="1">
        <f t="shared" si="2"/>
        <v>79</v>
      </c>
      <c r="B81" s="1">
        <v>1137</v>
      </c>
      <c r="C81" s="7">
        <v>101137</v>
      </c>
      <c r="D81" t="str">
        <f>VLOOKUP(B81,[2]Electricity!$A$8:$D$326,4,0)</f>
        <v>Farooq Shaheed Chowk, Chichawatni</v>
      </c>
      <c r="E81" s="12">
        <v>11020</v>
      </c>
      <c r="F81" s="13">
        <v>6200</v>
      </c>
      <c r="G81" s="13">
        <v>8120</v>
      </c>
      <c r="H81" s="13">
        <v>5240</v>
      </c>
      <c r="I81" s="13">
        <v>2380</v>
      </c>
      <c r="J81" s="13">
        <v>5760</v>
      </c>
      <c r="K81" s="13">
        <v>3500</v>
      </c>
      <c r="L81" s="13">
        <v>2560</v>
      </c>
      <c r="M81" s="13">
        <v>6800</v>
      </c>
      <c r="N81" s="13">
        <v>5643</v>
      </c>
      <c r="O81" s="13">
        <v>7227</v>
      </c>
      <c r="P81" s="13">
        <v>7453</v>
      </c>
      <c r="Q81" s="14">
        <f t="shared" si="3"/>
        <v>71903</v>
      </c>
      <c r="R81" s="2" t="s">
        <v>834</v>
      </c>
    </row>
    <row r="82" spans="1:18" hidden="1" x14ac:dyDescent="0.3">
      <c r="A82" s="1">
        <f t="shared" si="2"/>
        <v>80</v>
      </c>
      <c r="B82" s="1">
        <v>1139</v>
      </c>
      <c r="C82" s="7">
        <v>101139</v>
      </c>
      <c r="D82" t="str">
        <f>VLOOKUP(B82,[2]Electricity!$A$8:$D$326,4,0)</f>
        <v>Wazirabad</v>
      </c>
      <c r="E82" s="12">
        <v>6440</v>
      </c>
      <c r="F82" s="13">
        <v>6247</v>
      </c>
      <c r="G82" s="13">
        <v>6454</v>
      </c>
      <c r="H82" s="13">
        <v>5032</v>
      </c>
      <c r="I82" s="13">
        <v>2876</v>
      </c>
      <c r="J82" s="13">
        <v>2578</v>
      </c>
      <c r="K82" s="13">
        <v>2744</v>
      </c>
      <c r="L82" s="13">
        <v>2631</v>
      </c>
      <c r="M82" s="13">
        <v>4277</v>
      </c>
      <c r="N82" s="13">
        <v>6302</v>
      </c>
      <c r="O82" s="13">
        <v>7425</v>
      </c>
      <c r="P82" s="13">
        <v>7464</v>
      </c>
      <c r="Q82" s="14">
        <f t="shared" si="3"/>
        <v>60470</v>
      </c>
      <c r="R82" s="2" t="s">
        <v>834</v>
      </c>
    </row>
    <row r="83" spans="1:18" hidden="1" x14ac:dyDescent="0.3">
      <c r="A83" s="1">
        <f t="shared" si="2"/>
        <v>81</v>
      </c>
      <c r="B83" s="1">
        <v>1141</v>
      </c>
      <c r="C83" s="7">
        <v>101141</v>
      </c>
      <c r="D83" t="str">
        <f>VLOOKUP(B83,[2]Electricity!$A$8:$D$326,4,0)</f>
        <v>Karchery Road, DG Khan</v>
      </c>
      <c r="E83" s="12">
        <v>4140</v>
      </c>
      <c r="F83" s="13">
        <v>4120</v>
      </c>
      <c r="G83" s="13">
        <v>4300</v>
      </c>
      <c r="H83" s="13">
        <v>960</v>
      </c>
      <c r="I83" s="13">
        <v>4416</v>
      </c>
      <c r="J83" s="13">
        <v>2742</v>
      </c>
      <c r="K83" s="13">
        <v>2200</v>
      </c>
      <c r="L83" s="13">
        <v>2732</v>
      </c>
      <c r="M83" s="13">
        <v>2674</v>
      </c>
      <c r="N83" s="13">
        <v>4163</v>
      </c>
      <c r="O83" s="13">
        <v>4149</v>
      </c>
      <c r="P83" s="13">
        <v>5417</v>
      </c>
      <c r="Q83" s="14">
        <f t="shared" si="3"/>
        <v>42013</v>
      </c>
    </row>
    <row r="84" spans="1:18" hidden="1" x14ac:dyDescent="0.3">
      <c r="A84" s="1">
        <f t="shared" si="2"/>
        <v>82</v>
      </c>
      <c r="B84" s="1">
        <v>1143</v>
      </c>
      <c r="C84" s="7">
        <v>101143</v>
      </c>
      <c r="D84" t="str">
        <f>VLOOKUP(B84,[2]Electricity!$A$8:$D$326,4,0)</f>
        <v>Burji Wala Mohalla, Jhang</v>
      </c>
      <c r="E84" s="12">
        <v>8320</v>
      </c>
      <c r="F84" s="13">
        <v>8400</v>
      </c>
      <c r="G84" s="13">
        <v>8040</v>
      </c>
      <c r="H84" s="13">
        <v>6480</v>
      </c>
      <c r="I84" s="13">
        <v>4720</v>
      </c>
      <c r="J84" s="13">
        <v>3960</v>
      </c>
      <c r="K84" s="13">
        <v>3920</v>
      </c>
      <c r="L84" s="13">
        <v>3520</v>
      </c>
      <c r="M84" s="13">
        <v>5560</v>
      </c>
      <c r="N84" s="13">
        <v>5440</v>
      </c>
      <c r="O84" s="13">
        <v>8000</v>
      </c>
      <c r="P84" s="13">
        <v>7280</v>
      </c>
      <c r="Q84" s="14">
        <f t="shared" si="3"/>
        <v>73640</v>
      </c>
    </row>
    <row r="85" spans="1:18" hidden="1" x14ac:dyDescent="0.3">
      <c r="A85" s="1">
        <f t="shared" si="2"/>
        <v>83</v>
      </c>
      <c r="B85" s="1">
        <v>1144</v>
      </c>
      <c r="C85" s="1">
        <v>101144</v>
      </c>
      <c r="D85" t="str">
        <f>VLOOKUP(B85,[2]Electricity!$A$8:$D$326,4,0)</f>
        <v>Packages Mall, Lahore</v>
      </c>
      <c r="E85" s="71" t="s">
        <v>17</v>
      </c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3"/>
      <c r="Q85" s="14">
        <f t="shared" si="3"/>
        <v>0</v>
      </c>
      <c r="R85" s="2" t="s">
        <v>22</v>
      </c>
    </row>
    <row r="86" spans="1:18" hidden="1" x14ac:dyDescent="0.3">
      <c r="A86" s="1">
        <f t="shared" si="2"/>
        <v>84</v>
      </c>
      <c r="B86" s="1">
        <v>1145</v>
      </c>
      <c r="C86" s="7">
        <v>101145</v>
      </c>
      <c r="D86" t="str">
        <f>VLOOKUP(B86,[2]Electricity!$A$8:$D$326,4,0)</f>
        <v>MM Alam Road, Lahore</v>
      </c>
      <c r="E86" s="12">
        <v>6618</v>
      </c>
      <c r="F86" s="13">
        <v>7102</v>
      </c>
      <c r="G86" s="13">
        <v>7215</v>
      </c>
      <c r="H86" s="13">
        <v>6030</v>
      </c>
      <c r="I86" s="13">
        <v>3834</v>
      </c>
      <c r="J86" s="13">
        <v>3450</v>
      </c>
      <c r="K86" s="13">
        <v>3595</v>
      </c>
      <c r="L86" s="13">
        <v>3267</v>
      </c>
      <c r="M86" s="13">
        <v>5824</v>
      </c>
      <c r="N86" s="13">
        <v>6702</v>
      </c>
      <c r="O86" s="13">
        <v>9086</v>
      </c>
      <c r="P86" s="13">
        <v>5628</v>
      </c>
      <c r="Q86" s="14">
        <f t="shared" si="3"/>
        <v>68351</v>
      </c>
      <c r="R86" s="2" t="s">
        <v>834</v>
      </c>
    </row>
    <row r="87" spans="1:18" hidden="1" x14ac:dyDescent="0.3">
      <c r="A87" s="1">
        <f t="shared" si="2"/>
        <v>85</v>
      </c>
      <c r="B87" s="1">
        <v>1146</v>
      </c>
      <c r="C87" s="7">
        <v>101146</v>
      </c>
      <c r="D87" t="str">
        <f>VLOOKUP(B87,[2]Electricity!$A$8:$D$326,4,0)</f>
        <v>Circular Road, Jaranwala</v>
      </c>
      <c r="E87" s="12">
        <v>4431</v>
      </c>
      <c r="F87" s="13">
        <v>7314</v>
      </c>
      <c r="G87" s="13">
        <v>5651</v>
      </c>
      <c r="H87" s="13">
        <v>4736</v>
      </c>
      <c r="I87" s="13">
        <v>2706</v>
      </c>
      <c r="J87" s="13">
        <v>2561</v>
      </c>
      <c r="K87" s="13">
        <v>2715</v>
      </c>
      <c r="L87" s="13">
        <v>2061</v>
      </c>
      <c r="M87" s="13">
        <v>3953</v>
      </c>
      <c r="N87" s="13">
        <v>3495</v>
      </c>
      <c r="O87" s="13">
        <v>4939</v>
      </c>
      <c r="P87" s="13">
        <v>5961</v>
      </c>
      <c r="Q87" s="14">
        <f t="shared" si="3"/>
        <v>50523</v>
      </c>
      <c r="R87" s="2" t="s">
        <v>834</v>
      </c>
    </row>
    <row r="88" spans="1:18" hidden="1" x14ac:dyDescent="0.3">
      <c r="A88" s="1">
        <f t="shared" si="2"/>
        <v>86</v>
      </c>
      <c r="B88" s="1">
        <v>1147</v>
      </c>
      <c r="C88" s="7">
        <v>101147</v>
      </c>
      <c r="D88" t="str">
        <f>VLOOKUP(B88,[2]Electricity!$A$8:$D$326,4,0)</f>
        <v>Misqul Mall, Faisalabad</v>
      </c>
      <c r="E88" s="12">
        <v>4718</v>
      </c>
      <c r="F88" s="13">
        <v>5738</v>
      </c>
      <c r="G88" s="13">
        <v>5854</v>
      </c>
      <c r="H88" s="13">
        <v>3957</v>
      </c>
      <c r="I88" s="13">
        <v>2800</v>
      </c>
      <c r="J88" s="13">
        <v>2190</v>
      </c>
      <c r="K88" s="13">
        <v>2605</v>
      </c>
      <c r="L88" s="13">
        <v>2398</v>
      </c>
      <c r="M88" s="13">
        <v>7236</v>
      </c>
      <c r="N88" s="13">
        <v>0</v>
      </c>
      <c r="O88" s="13">
        <v>16243</v>
      </c>
      <c r="P88" s="13">
        <v>6072</v>
      </c>
      <c r="Q88" s="14">
        <f t="shared" si="3"/>
        <v>59811</v>
      </c>
      <c r="R88" s="2" t="s">
        <v>843</v>
      </c>
    </row>
    <row r="89" spans="1:18" hidden="1" x14ac:dyDescent="0.3">
      <c r="A89" s="1">
        <f t="shared" si="2"/>
        <v>87</v>
      </c>
      <c r="B89" s="1">
        <v>1149</v>
      </c>
      <c r="C89" s="7">
        <v>101149</v>
      </c>
      <c r="D89" t="str">
        <f>VLOOKUP(B89,[2]Electricity!$A$8:$D$326,4,0)</f>
        <v>Regal Road Anarkali, Faisalabad</v>
      </c>
      <c r="E89" s="12">
        <v>10200</v>
      </c>
      <c r="F89" s="13">
        <v>8400</v>
      </c>
      <c r="G89" s="13">
        <v>8480</v>
      </c>
      <c r="H89" s="13">
        <v>6920</v>
      </c>
      <c r="I89" s="13">
        <v>4840</v>
      </c>
      <c r="J89" s="13">
        <v>4080</v>
      </c>
      <c r="K89" s="13">
        <v>3720</v>
      </c>
      <c r="L89" s="13">
        <v>4480</v>
      </c>
      <c r="M89" s="13">
        <v>6360</v>
      </c>
      <c r="N89" s="13">
        <v>7800</v>
      </c>
      <c r="O89" s="13">
        <v>8520</v>
      </c>
      <c r="P89" s="13">
        <v>4440</v>
      </c>
      <c r="Q89" s="14">
        <f t="shared" si="3"/>
        <v>78240</v>
      </c>
      <c r="R89" s="2" t="s">
        <v>834</v>
      </c>
    </row>
    <row r="90" spans="1:18" hidden="1" x14ac:dyDescent="0.3">
      <c r="A90" s="1">
        <f t="shared" si="2"/>
        <v>88</v>
      </c>
      <c r="B90" s="1">
        <v>1150</v>
      </c>
      <c r="C90" s="7">
        <v>101150</v>
      </c>
      <c r="D90" t="str">
        <f>VLOOKUP(B90,[2]Electricity!$A$8:$D$326,4,0)</f>
        <v>Satyana Road, Faisalabad</v>
      </c>
      <c r="E90" s="12">
        <v>6791</v>
      </c>
      <c r="F90" s="13">
        <v>6782</v>
      </c>
      <c r="G90" s="13">
        <v>7245</v>
      </c>
      <c r="H90" s="13">
        <v>6102</v>
      </c>
      <c r="I90" s="13">
        <v>3302</v>
      </c>
      <c r="J90" s="13">
        <v>2844</v>
      </c>
      <c r="K90" s="13">
        <v>2991</v>
      </c>
      <c r="L90" s="13">
        <v>2876</v>
      </c>
      <c r="M90" s="13">
        <v>4502</v>
      </c>
      <c r="N90" s="13">
        <v>5245</v>
      </c>
      <c r="O90" s="13">
        <v>6300</v>
      </c>
      <c r="P90" s="13">
        <v>5416</v>
      </c>
      <c r="Q90" s="14">
        <f t="shared" si="3"/>
        <v>60396</v>
      </c>
      <c r="R90" s="2" t="s">
        <v>834</v>
      </c>
    </row>
    <row r="91" spans="1:18" hidden="1" x14ac:dyDescent="0.3">
      <c r="A91" s="1">
        <f t="shared" si="2"/>
        <v>89</v>
      </c>
      <c r="B91" s="1">
        <v>1151</v>
      </c>
      <c r="C91" s="7">
        <v>101151</v>
      </c>
      <c r="D91" t="str">
        <f>VLOOKUP(B91,[2]Electricity!$A$8:$D$326,4,0)</f>
        <v>Pearl City, Faisalabad</v>
      </c>
      <c r="E91" s="12">
        <v>6720</v>
      </c>
      <c r="F91" s="13">
        <v>4120</v>
      </c>
      <c r="G91" s="13">
        <v>4520</v>
      </c>
      <c r="H91" s="13">
        <v>2800</v>
      </c>
      <c r="I91" s="13">
        <v>1480</v>
      </c>
      <c r="J91" s="13">
        <v>1600</v>
      </c>
      <c r="K91" s="13">
        <v>1880</v>
      </c>
      <c r="L91" s="13">
        <v>1600</v>
      </c>
      <c r="M91" s="13">
        <v>2240</v>
      </c>
      <c r="N91" s="13">
        <v>3240</v>
      </c>
      <c r="O91" s="13">
        <v>3320</v>
      </c>
      <c r="P91" s="13">
        <v>3800</v>
      </c>
      <c r="Q91" s="14">
        <f t="shared" si="3"/>
        <v>37320</v>
      </c>
      <c r="R91" s="2" t="s">
        <v>834</v>
      </c>
    </row>
    <row r="92" spans="1:18" hidden="1" x14ac:dyDescent="0.3">
      <c r="A92" s="1">
        <f t="shared" si="2"/>
        <v>90</v>
      </c>
      <c r="B92" s="1">
        <v>1152</v>
      </c>
      <c r="C92" s="7">
        <v>101152</v>
      </c>
      <c r="D92" t="str">
        <f>VLOOKUP(B92,[2]Electricity!$A$8:$D$326,4,0)</f>
        <v>Garrison Complex, Hyderabad</v>
      </c>
      <c r="E92" s="12">
        <v>4393</v>
      </c>
      <c r="F92" s="13">
        <v>4467</v>
      </c>
      <c r="G92" s="13">
        <v>3768</v>
      </c>
      <c r="H92" s="13">
        <v>4834</v>
      </c>
      <c r="I92" s="13">
        <v>3948</v>
      </c>
      <c r="J92" s="13">
        <v>2686</v>
      </c>
      <c r="K92" s="13">
        <v>1942</v>
      </c>
      <c r="L92" s="13">
        <v>2248</v>
      </c>
      <c r="M92" s="13">
        <v>2598</v>
      </c>
      <c r="N92" s="13">
        <v>3369</v>
      </c>
      <c r="O92" s="13">
        <v>3526</v>
      </c>
      <c r="P92" s="13">
        <v>4336</v>
      </c>
      <c r="Q92" s="14">
        <f t="shared" si="3"/>
        <v>42115</v>
      </c>
      <c r="R92" s="2" t="s">
        <v>834</v>
      </c>
    </row>
    <row r="93" spans="1:18" hidden="1" x14ac:dyDescent="0.3">
      <c r="A93" s="1">
        <f t="shared" si="2"/>
        <v>91</v>
      </c>
      <c r="B93" s="1">
        <v>1154</v>
      </c>
      <c r="C93" s="7">
        <v>101154</v>
      </c>
      <c r="D93" t="str">
        <f>VLOOKUP(B93,[2]Electricity!$A$8:$D$326,4,0)</f>
        <v>Gulshan Market, Multan</v>
      </c>
      <c r="E93" s="12">
        <v>4600</v>
      </c>
      <c r="F93" s="13">
        <v>5020</v>
      </c>
      <c r="G93" s="13">
        <v>2860</v>
      </c>
      <c r="H93" s="13">
        <v>6440</v>
      </c>
      <c r="I93" s="13">
        <v>9160</v>
      </c>
      <c r="J93" s="13">
        <v>3100</v>
      </c>
      <c r="K93" s="13">
        <v>3120</v>
      </c>
      <c r="L93" s="13">
        <v>2907</v>
      </c>
      <c r="M93" s="13">
        <v>5081</v>
      </c>
      <c r="N93" s="13">
        <v>5525</v>
      </c>
      <c r="O93" s="13">
        <v>6830</v>
      </c>
      <c r="P93" s="13">
        <v>7424</v>
      </c>
      <c r="Q93" s="14">
        <f t="shared" si="3"/>
        <v>62067</v>
      </c>
      <c r="R93" s="2" t="s">
        <v>834</v>
      </c>
    </row>
    <row r="94" spans="1:18" hidden="1" x14ac:dyDescent="0.3">
      <c r="A94" s="1">
        <f t="shared" si="2"/>
        <v>92</v>
      </c>
      <c r="B94" s="1">
        <v>1155</v>
      </c>
      <c r="C94" s="7">
        <v>101155</v>
      </c>
      <c r="D94" t="str">
        <f>VLOOKUP(B94,[2]Electricity!$A$8:$D$326,4,0)</f>
        <v>Multan Road, Burewala</v>
      </c>
      <c r="E94" s="12">
        <v>11589</v>
      </c>
      <c r="F94" s="13">
        <v>11661</v>
      </c>
      <c r="G94" s="13">
        <v>11722</v>
      </c>
      <c r="H94" s="13">
        <v>10968</v>
      </c>
      <c r="I94" s="13">
        <v>9088</v>
      </c>
      <c r="J94" s="13">
        <v>5674</v>
      </c>
      <c r="K94" s="13">
        <v>5762</v>
      </c>
      <c r="L94" s="13">
        <v>5942</v>
      </c>
      <c r="M94" s="13">
        <v>5468</v>
      </c>
      <c r="N94" s="13">
        <v>8496</v>
      </c>
      <c r="O94" s="13">
        <v>9615</v>
      </c>
      <c r="P94" s="13">
        <v>11901</v>
      </c>
      <c r="Q94" s="14">
        <f t="shared" si="3"/>
        <v>107886</v>
      </c>
      <c r="R94" s="2" t="s">
        <v>834</v>
      </c>
    </row>
    <row r="95" spans="1:18" hidden="1" x14ac:dyDescent="0.3">
      <c r="A95" s="1">
        <f t="shared" si="2"/>
        <v>93</v>
      </c>
      <c r="B95" s="1">
        <v>1156</v>
      </c>
      <c r="C95" s="7">
        <v>101156</v>
      </c>
      <c r="D95" t="str">
        <f>VLOOKUP(B95,[2]Electricity!$A$8:$D$326,4,0)</f>
        <v>Chishtian</v>
      </c>
      <c r="E95" s="12">
        <f>4573+2034</f>
        <v>6607</v>
      </c>
      <c r="F95" s="13">
        <f>5034+2167</f>
        <v>7201</v>
      </c>
      <c r="G95" s="13">
        <f>4433+2014</f>
        <v>6447</v>
      </c>
      <c r="H95" s="13">
        <f>4219+960</f>
        <v>5179</v>
      </c>
      <c r="I95" s="13">
        <f>3706+168</f>
        <v>3874</v>
      </c>
      <c r="J95" s="13">
        <f>3090+137</f>
        <v>3227</v>
      </c>
      <c r="K95" s="13">
        <f>2380+145</f>
        <v>2525</v>
      </c>
      <c r="L95" s="13">
        <f>2510+139</f>
        <v>2649</v>
      </c>
      <c r="M95" s="13">
        <f>2823+149</f>
        <v>2972</v>
      </c>
      <c r="N95" s="13">
        <f>4693+161</f>
        <v>4854</v>
      </c>
      <c r="O95" s="13">
        <f>5073+226</f>
        <v>5299</v>
      </c>
      <c r="P95" s="13">
        <f>6261+281</f>
        <v>6542</v>
      </c>
      <c r="Q95" s="14">
        <f t="shared" si="3"/>
        <v>57376</v>
      </c>
      <c r="R95" s="2" t="s">
        <v>834</v>
      </c>
    </row>
    <row r="96" spans="1:18" hidden="1" x14ac:dyDescent="0.3">
      <c r="A96" s="1">
        <f t="shared" si="2"/>
        <v>94</v>
      </c>
      <c r="B96" s="1">
        <v>1157</v>
      </c>
      <c r="C96" s="7">
        <v>101157</v>
      </c>
      <c r="D96" t="str">
        <f>VLOOKUP(B96,[2]Electricity!$A$8:$D$326,4,0)</f>
        <v>Bunder Road, Larkana</v>
      </c>
      <c r="E96" s="12">
        <f>4945+33</f>
        <v>4978</v>
      </c>
      <c r="F96" s="13">
        <v>3710</v>
      </c>
      <c r="G96" s="13">
        <v>3110</v>
      </c>
      <c r="H96" s="13">
        <v>3299</v>
      </c>
      <c r="I96" s="13">
        <v>2126</v>
      </c>
      <c r="J96" s="13">
        <v>1974</v>
      </c>
      <c r="K96" s="13">
        <v>702</v>
      </c>
      <c r="L96" s="13">
        <v>1112</v>
      </c>
      <c r="M96" s="13">
        <v>1172</v>
      </c>
      <c r="N96" s="13">
        <v>3381</v>
      </c>
      <c r="O96" s="13">
        <v>3975</v>
      </c>
      <c r="P96" s="13">
        <v>3766</v>
      </c>
      <c r="Q96" s="14">
        <f t="shared" si="3"/>
        <v>33305</v>
      </c>
      <c r="R96" s="2" t="s">
        <v>834</v>
      </c>
    </row>
    <row r="97" spans="1:18" hidden="1" x14ac:dyDescent="0.3">
      <c r="A97" s="1">
        <f t="shared" si="2"/>
        <v>95</v>
      </c>
      <c r="B97" s="1">
        <v>1158</v>
      </c>
      <c r="C97" s="7">
        <v>101158</v>
      </c>
      <c r="D97" t="str">
        <f>VLOOKUP(B97,[2]Electricity!$A$8:$D$326,4,0)</f>
        <v>Shahi Road, Rahim Yar khan</v>
      </c>
      <c r="E97" s="12">
        <v>6991</v>
      </c>
      <c r="F97" s="13">
        <v>6307</v>
      </c>
      <c r="G97" s="13">
        <v>5246</v>
      </c>
      <c r="H97" s="13">
        <v>6426</v>
      </c>
      <c r="I97" s="13">
        <v>5175</v>
      </c>
      <c r="J97" s="13">
        <v>3996</v>
      </c>
      <c r="K97" s="13">
        <v>2731</v>
      </c>
      <c r="L97" s="13">
        <v>2852</v>
      </c>
      <c r="M97" s="13">
        <v>3435</v>
      </c>
      <c r="N97" s="13">
        <v>6264</v>
      </c>
      <c r="O97" s="13">
        <v>8528</v>
      </c>
      <c r="P97" s="13">
        <v>9528</v>
      </c>
      <c r="Q97" s="14">
        <f t="shared" si="3"/>
        <v>67479</v>
      </c>
      <c r="R97" s="2" t="s">
        <v>834</v>
      </c>
    </row>
    <row r="98" spans="1:18" hidden="1" x14ac:dyDescent="0.3">
      <c r="A98" s="1">
        <f t="shared" si="2"/>
        <v>96</v>
      </c>
      <c r="B98" s="1">
        <v>1159</v>
      </c>
      <c r="C98" s="7">
        <v>101159</v>
      </c>
      <c r="D98" t="str">
        <f>VLOOKUP(B98,[2]Electricity!$A$8:$D$326,4,0)</f>
        <v>Katchery Road, Chiniot</v>
      </c>
      <c r="E98" s="12">
        <v>5348</v>
      </c>
      <c r="F98" s="13">
        <v>5092</v>
      </c>
      <c r="G98" s="13">
        <v>5843</v>
      </c>
      <c r="H98" s="13">
        <v>4133</v>
      </c>
      <c r="I98" s="13">
        <v>2109</v>
      </c>
      <c r="J98" s="13">
        <v>1978</v>
      </c>
      <c r="K98" s="13">
        <v>2173</v>
      </c>
      <c r="L98" s="13">
        <v>1925</v>
      </c>
      <c r="M98" s="13">
        <v>3508</v>
      </c>
      <c r="N98" s="13">
        <v>3944</v>
      </c>
      <c r="O98" s="13">
        <v>4989</v>
      </c>
      <c r="P98" s="13">
        <v>5045</v>
      </c>
      <c r="Q98" s="14">
        <f t="shared" si="3"/>
        <v>46087</v>
      </c>
      <c r="R98" s="2" t="s">
        <v>834</v>
      </c>
    </row>
    <row r="99" spans="1:18" hidden="1" x14ac:dyDescent="0.3">
      <c r="A99" s="1">
        <f t="shared" si="2"/>
        <v>97</v>
      </c>
      <c r="B99" s="1">
        <v>1160</v>
      </c>
      <c r="C99" s="7">
        <v>101160</v>
      </c>
      <c r="D99" t="str">
        <f>VLOOKUP(B99,[2]Electricity!$A$8:$D$326,4,0)</f>
        <v>Haripur</v>
      </c>
      <c r="E99" s="12">
        <v>2560</v>
      </c>
      <c r="F99" s="13">
        <v>2400</v>
      </c>
      <c r="G99" s="13">
        <v>2342</v>
      </c>
      <c r="H99" s="13">
        <v>1726</v>
      </c>
      <c r="I99" s="13">
        <v>1248</v>
      </c>
      <c r="J99" s="13">
        <v>1297</v>
      </c>
      <c r="K99" s="13">
        <v>1222</v>
      </c>
      <c r="L99" s="13">
        <v>1632</v>
      </c>
      <c r="M99" s="13">
        <v>1320</v>
      </c>
      <c r="N99" s="13">
        <v>1631</v>
      </c>
      <c r="O99" s="13">
        <v>2035</v>
      </c>
      <c r="P99" s="13">
        <v>2951</v>
      </c>
      <c r="Q99" s="14">
        <f t="shared" si="3"/>
        <v>22364</v>
      </c>
      <c r="R99" s="2" t="s">
        <v>834</v>
      </c>
    </row>
    <row r="100" spans="1:18" hidden="1" x14ac:dyDescent="0.3">
      <c r="A100" s="1">
        <f t="shared" si="2"/>
        <v>98</v>
      </c>
      <c r="B100" s="1">
        <v>1161</v>
      </c>
      <c r="C100" s="7">
        <v>101161</v>
      </c>
      <c r="D100" t="str">
        <f>VLOOKUP(B100,[2]Electricity!$A$8:$D$326,4,0)</f>
        <v>Attock</v>
      </c>
      <c r="E100" s="12">
        <f>1861+394+1746</f>
        <v>4001</v>
      </c>
      <c r="F100" s="13">
        <f>2442+473+1477</f>
        <v>4392</v>
      </c>
      <c r="G100" s="13">
        <f>1180+389+1734</f>
        <v>3303</v>
      </c>
      <c r="H100" s="13">
        <f>981+386+1049</f>
        <v>2416</v>
      </c>
      <c r="I100" s="13">
        <f>259+320+985</f>
        <v>1564</v>
      </c>
      <c r="J100" s="13">
        <f>226+280+1052</f>
        <v>1558</v>
      </c>
      <c r="K100" s="13">
        <f>356+301+1202</f>
        <v>1859</v>
      </c>
      <c r="L100" s="13">
        <f>530+306+1181</f>
        <v>2017</v>
      </c>
      <c r="M100" s="13">
        <f>573+296+1130</f>
        <v>1999</v>
      </c>
      <c r="N100" s="13">
        <f>1143+372+1286</f>
        <v>2801</v>
      </c>
      <c r="O100" s="13">
        <f>1537+397+1051</f>
        <v>2985</v>
      </c>
      <c r="P100" s="13">
        <f>1887+390+2143</f>
        <v>4420</v>
      </c>
      <c r="Q100" s="14">
        <f t="shared" si="3"/>
        <v>33315</v>
      </c>
      <c r="R100" s="2" t="s">
        <v>834</v>
      </c>
    </row>
    <row r="101" spans="1:18" hidden="1" x14ac:dyDescent="0.3">
      <c r="A101" s="1">
        <f t="shared" si="2"/>
        <v>99</v>
      </c>
      <c r="B101" s="1">
        <v>1162</v>
      </c>
      <c r="C101" s="7">
        <v>101162</v>
      </c>
      <c r="D101" t="str">
        <f>VLOOKUP(B101,[2]Electricity!$A$8:$D$326,4,0)</f>
        <v>Muzaffargarh</v>
      </c>
      <c r="E101" s="12">
        <v>3452</v>
      </c>
      <c r="F101" s="13">
        <v>3516</v>
      </c>
      <c r="G101" s="13">
        <v>3611</v>
      </c>
      <c r="H101" s="13">
        <v>3973</v>
      </c>
      <c r="I101" s="13">
        <v>1812</v>
      </c>
      <c r="J101" s="13">
        <v>3713</v>
      </c>
      <c r="K101" s="13">
        <v>2997</v>
      </c>
      <c r="L101" s="13">
        <v>3058</v>
      </c>
      <c r="M101" s="13">
        <v>3126</v>
      </c>
      <c r="N101" s="13">
        <v>5259</v>
      </c>
      <c r="O101" s="13">
        <v>5010</v>
      </c>
      <c r="P101" s="13">
        <v>5594</v>
      </c>
      <c r="Q101" s="14">
        <f t="shared" si="3"/>
        <v>45121</v>
      </c>
      <c r="R101" s="2" t="s">
        <v>834</v>
      </c>
    </row>
    <row r="102" spans="1:18" hidden="1" x14ac:dyDescent="0.3">
      <c r="A102" s="1">
        <f t="shared" si="2"/>
        <v>100</v>
      </c>
      <c r="B102" s="1">
        <v>1166</v>
      </c>
      <c r="C102" s="7">
        <v>101166</v>
      </c>
      <c r="D102" t="str">
        <f>VLOOKUP(B102,[2]Electricity!$A$8:$D$326,4,0)</f>
        <v>College Road, Daska</v>
      </c>
      <c r="E102" s="12">
        <v>7832</v>
      </c>
      <c r="F102" s="13">
        <v>8437</v>
      </c>
      <c r="G102" s="13">
        <v>6440</v>
      </c>
      <c r="H102" s="13">
        <v>5559</v>
      </c>
      <c r="I102" s="13">
        <v>4627</v>
      </c>
      <c r="J102" s="13">
        <v>4236</v>
      </c>
      <c r="K102" s="13">
        <v>4175</v>
      </c>
      <c r="L102" s="13">
        <v>4135</v>
      </c>
      <c r="M102" s="13">
        <v>5126</v>
      </c>
      <c r="N102" s="13">
        <v>5126</v>
      </c>
      <c r="O102" s="13">
        <v>5905</v>
      </c>
      <c r="P102" s="13">
        <v>6888</v>
      </c>
      <c r="Q102" s="14">
        <f t="shared" si="3"/>
        <v>68486</v>
      </c>
      <c r="R102" s="2" t="s">
        <v>834</v>
      </c>
    </row>
    <row r="103" spans="1:18" hidden="1" x14ac:dyDescent="0.3">
      <c r="A103" s="1">
        <f t="shared" si="2"/>
        <v>101</v>
      </c>
      <c r="B103" s="1">
        <v>1167</v>
      </c>
      <c r="C103" s="7">
        <v>101167</v>
      </c>
      <c r="D103" t="str">
        <f>VLOOKUP(B103,[2]Electricity!$A$8:$D$326,4,0)</f>
        <v>Model Colony, Karachi</v>
      </c>
      <c r="E103" s="12">
        <f>4341+145+360</f>
        <v>4846</v>
      </c>
      <c r="F103" s="13">
        <f>2976+238+228</f>
        <v>3442</v>
      </c>
      <c r="G103" s="13">
        <f>8858+195+254</f>
        <v>9307</v>
      </c>
      <c r="H103" s="13">
        <f>8938+147+224</f>
        <v>9309</v>
      </c>
      <c r="I103" s="13">
        <f>11179+148+317</f>
        <v>11644</v>
      </c>
      <c r="J103" s="13">
        <f>9829+84+265</f>
        <v>10178</v>
      </c>
      <c r="K103" s="13">
        <f>8498+14+193</f>
        <v>8705</v>
      </c>
      <c r="L103" s="13">
        <f>8835+16+186</f>
        <v>9037</v>
      </c>
      <c r="M103" s="13">
        <f>8987+39+218</f>
        <v>9244</v>
      </c>
      <c r="N103" s="13">
        <f>13290+94+466</f>
        <v>13850</v>
      </c>
      <c r="O103" s="13">
        <f>10805+114+417</f>
        <v>11336</v>
      </c>
      <c r="P103" s="13">
        <f>11620+154+969</f>
        <v>12743</v>
      </c>
      <c r="Q103" s="14">
        <f t="shared" si="3"/>
        <v>113641</v>
      </c>
      <c r="R103" s="2" t="s">
        <v>834</v>
      </c>
    </row>
    <row r="104" spans="1:18" hidden="1" x14ac:dyDescent="0.3">
      <c r="A104" s="1">
        <f t="shared" si="2"/>
        <v>102</v>
      </c>
      <c r="B104" s="1">
        <v>1168</v>
      </c>
      <c r="C104" s="7">
        <v>101168</v>
      </c>
      <c r="D104" t="str">
        <f>VLOOKUP(B104,[2]Electricity!$A$8:$D$326,4,0)</f>
        <v>Sony Square, Sialkot</v>
      </c>
      <c r="E104" s="12">
        <f>464+2780</f>
        <v>3244</v>
      </c>
      <c r="F104" s="13">
        <f>339+2921</f>
        <v>3260</v>
      </c>
      <c r="G104" s="13">
        <f>510+3905</f>
        <v>4415</v>
      </c>
      <c r="H104" s="13">
        <f>452+3585</f>
        <v>4037</v>
      </c>
      <c r="I104" s="13">
        <f>303+2146</f>
        <v>2449</v>
      </c>
      <c r="J104" s="13">
        <f>298+2069</f>
        <v>2367</v>
      </c>
      <c r="K104" s="13">
        <f>366+2073</f>
        <v>2439</v>
      </c>
      <c r="L104" s="13">
        <f>263+1779</f>
        <v>2042</v>
      </c>
      <c r="M104" s="13">
        <f>209+2810</f>
        <v>3019</v>
      </c>
      <c r="N104" s="13">
        <f>274+3563</f>
        <v>3837</v>
      </c>
      <c r="O104" s="13">
        <f>513+3769+900</f>
        <v>5182</v>
      </c>
      <c r="P104" s="13">
        <f>420+3450+832</f>
        <v>4702</v>
      </c>
      <c r="Q104" s="14">
        <f t="shared" si="3"/>
        <v>40993</v>
      </c>
      <c r="R104" s="2" t="s">
        <v>834</v>
      </c>
    </row>
    <row r="105" spans="1:18" hidden="1" x14ac:dyDescent="0.3">
      <c r="A105" s="1">
        <f t="shared" si="2"/>
        <v>103</v>
      </c>
      <c r="B105" s="1">
        <v>1170</v>
      </c>
      <c r="C105" s="1">
        <v>101170</v>
      </c>
      <c r="D105" t="str">
        <f>VLOOKUP(B105,[2]Electricity!$A$8:$D$326,4,0)</f>
        <v>Fazal Center, Gujranwala</v>
      </c>
      <c r="E105" s="71" t="s">
        <v>17</v>
      </c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3"/>
      <c r="Q105" s="14">
        <f t="shared" si="3"/>
        <v>0</v>
      </c>
    </row>
    <row r="106" spans="1:18" hidden="1" x14ac:dyDescent="0.3">
      <c r="A106" s="1">
        <f t="shared" si="2"/>
        <v>104</v>
      </c>
      <c r="B106" s="1">
        <v>1171</v>
      </c>
      <c r="C106" s="7">
        <v>101171</v>
      </c>
      <c r="D106" t="str">
        <f>VLOOKUP(B106,[2]Electricity!$A$8:$D$326,4,0)</f>
        <v>Dina Jehlum</v>
      </c>
      <c r="E106" s="12">
        <v>3659</v>
      </c>
      <c r="F106" s="13">
        <v>4234</v>
      </c>
      <c r="G106" s="13">
        <v>4339</v>
      </c>
      <c r="H106" s="13">
        <v>4179</v>
      </c>
      <c r="I106" s="13">
        <v>2656</v>
      </c>
      <c r="J106" s="13">
        <v>1768</v>
      </c>
      <c r="K106" s="13">
        <v>1853</v>
      </c>
      <c r="L106" s="13">
        <v>1948</v>
      </c>
      <c r="M106" s="13">
        <v>1739</v>
      </c>
      <c r="N106" s="13">
        <v>3042</v>
      </c>
      <c r="O106" s="13">
        <v>3666</v>
      </c>
      <c r="P106" s="13">
        <v>4356</v>
      </c>
      <c r="Q106" s="14">
        <f t="shared" si="3"/>
        <v>37439</v>
      </c>
      <c r="R106" s="2" t="s">
        <v>834</v>
      </c>
    </row>
    <row r="107" spans="1:18" hidden="1" x14ac:dyDescent="0.3">
      <c r="A107" s="1">
        <f t="shared" si="2"/>
        <v>105</v>
      </c>
      <c r="B107" s="1">
        <v>1172</v>
      </c>
      <c r="C107" s="7">
        <v>101172</v>
      </c>
      <c r="D107" t="str">
        <f>VLOOKUP(B107,[2]Electricity!$A$8:$D$326,4,0)</f>
        <v>Gulberg, Faisalabad</v>
      </c>
      <c r="E107" s="12">
        <f>4253+2396</f>
        <v>6649</v>
      </c>
      <c r="F107" s="13">
        <f>3922+2161</f>
        <v>6083</v>
      </c>
      <c r="G107" s="13">
        <f>4687+2731</f>
        <v>7418</v>
      </c>
      <c r="H107" s="13">
        <f>3326+2227</f>
        <v>5553</v>
      </c>
      <c r="I107" s="13">
        <f>2061+1538</f>
        <v>3599</v>
      </c>
      <c r="J107" s="13">
        <f>2105+1400</f>
        <v>3505</v>
      </c>
      <c r="K107" s="13">
        <f>1996+1037</f>
        <v>3033</v>
      </c>
      <c r="L107" s="13">
        <f>2034+1041</f>
        <v>3075</v>
      </c>
      <c r="M107" s="13">
        <f>2602+1687</f>
        <v>4289</v>
      </c>
      <c r="N107" s="13">
        <f>2960+1867</f>
        <v>4827</v>
      </c>
      <c r="O107" s="13">
        <f>3483+1761</f>
        <v>5244</v>
      </c>
      <c r="P107" s="13">
        <f>3834+1712</f>
        <v>5546</v>
      </c>
      <c r="Q107" s="14">
        <f t="shared" si="3"/>
        <v>58821</v>
      </c>
      <c r="R107" s="2" t="s">
        <v>834</v>
      </c>
    </row>
    <row r="108" spans="1:18" hidden="1" x14ac:dyDescent="0.3">
      <c r="A108" s="1">
        <f t="shared" si="2"/>
        <v>106</v>
      </c>
      <c r="B108" s="1">
        <v>1175</v>
      </c>
      <c r="C108" s="7">
        <v>101175</v>
      </c>
      <c r="D108" t="str">
        <f>VLOOKUP(B108,[2]Electricity!$A$8:$D$326,4,0)</f>
        <v>Masjid Road, Nawabshah</v>
      </c>
      <c r="E108" s="12">
        <v>4340</v>
      </c>
      <c r="F108" s="13">
        <v>3500</v>
      </c>
      <c r="G108" s="13">
        <v>3780</v>
      </c>
      <c r="H108" s="13">
        <v>3520</v>
      </c>
      <c r="I108" s="13">
        <v>2900</v>
      </c>
      <c r="J108" s="13">
        <v>1580</v>
      </c>
      <c r="K108" s="13">
        <v>940</v>
      </c>
      <c r="L108" s="13">
        <v>1260</v>
      </c>
      <c r="M108" s="13">
        <v>1680</v>
      </c>
      <c r="N108" s="13">
        <v>3360</v>
      </c>
      <c r="O108" s="13">
        <v>2900</v>
      </c>
      <c r="P108" s="13">
        <v>3160</v>
      </c>
      <c r="Q108" s="14">
        <f t="shared" si="3"/>
        <v>32920</v>
      </c>
      <c r="R108" s="2" t="s">
        <v>834</v>
      </c>
    </row>
    <row r="109" spans="1:18" hidden="1" x14ac:dyDescent="0.3">
      <c r="A109" s="1">
        <f t="shared" si="2"/>
        <v>107</v>
      </c>
      <c r="B109" s="1">
        <v>1176</v>
      </c>
      <c r="C109" s="1">
        <v>101176</v>
      </c>
      <c r="D109" t="str">
        <f>VLOOKUP(B109,[2]Electricity!$A$8:$D$326,4,0)</f>
        <v>Mall of Defense, Lahore</v>
      </c>
      <c r="E109" s="71" t="s">
        <v>19</v>
      </c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3"/>
      <c r="Q109" s="14">
        <f t="shared" si="3"/>
        <v>0</v>
      </c>
      <c r="R109" s="2" t="s">
        <v>22</v>
      </c>
    </row>
    <row r="110" spans="1:18" hidden="1" x14ac:dyDescent="0.3">
      <c r="A110" s="1">
        <f t="shared" si="2"/>
        <v>108</v>
      </c>
      <c r="B110" s="1">
        <v>1178</v>
      </c>
      <c r="C110" s="7">
        <v>101178</v>
      </c>
      <c r="D110" t="str">
        <f>VLOOKUP(B110,[2]Electricity!$A$8:$D$326,4,0)</f>
        <v>Police Foundation PWD, Islamabad</v>
      </c>
      <c r="E110" s="12">
        <f>701+3378</f>
        <v>4079</v>
      </c>
      <c r="F110" s="13">
        <f>708+4107</f>
        <v>4815</v>
      </c>
      <c r="G110" s="13">
        <f>739+3762</f>
        <v>4501</v>
      </c>
      <c r="H110" s="13">
        <f>750+3635</f>
        <v>4385</v>
      </c>
      <c r="I110" s="13">
        <f>637+2032</f>
        <v>2669</v>
      </c>
      <c r="J110" s="13">
        <v>509</v>
      </c>
      <c r="K110" s="13">
        <v>643</v>
      </c>
      <c r="L110" s="13">
        <v>654</v>
      </c>
      <c r="M110" s="13">
        <f>584+5130</f>
        <v>5714</v>
      </c>
      <c r="N110" s="13">
        <f>781+2480</f>
        <v>3261</v>
      </c>
      <c r="O110" s="13">
        <f>732+3845</f>
        <v>4577</v>
      </c>
      <c r="P110" s="13">
        <f>719+4212</f>
        <v>4931</v>
      </c>
      <c r="Q110" s="14">
        <f t="shared" si="3"/>
        <v>40738</v>
      </c>
      <c r="R110" s="2" t="s">
        <v>834</v>
      </c>
    </row>
    <row r="111" spans="1:18" hidden="1" x14ac:dyDescent="0.3">
      <c r="A111" s="1">
        <f t="shared" si="2"/>
        <v>109</v>
      </c>
      <c r="B111" s="1">
        <v>1179</v>
      </c>
      <c r="C111" s="1">
        <v>101179</v>
      </c>
      <c r="D111" t="str">
        <f>VLOOKUP(B111,[2]Electricity!$A$8:$D$326,4,0)</f>
        <v>LayalPur Gallaria, Faisalabad</v>
      </c>
      <c r="E111" s="71" t="s">
        <v>17</v>
      </c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3"/>
      <c r="Q111" s="14">
        <f t="shared" si="3"/>
        <v>0</v>
      </c>
      <c r="R111" s="2" t="s">
        <v>22</v>
      </c>
    </row>
    <row r="112" spans="1:18" hidden="1" x14ac:dyDescent="0.3">
      <c r="A112" s="1">
        <f t="shared" si="2"/>
        <v>110</v>
      </c>
      <c r="B112" s="1">
        <v>1180</v>
      </c>
      <c r="C112" s="7">
        <v>101180</v>
      </c>
      <c r="D112" t="str">
        <f>VLOOKUP(B112,[2]Electricity!$A$8:$D$326,4,0)</f>
        <v>Haidery-2, Karachi</v>
      </c>
      <c r="E112" s="12">
        <v>6219</v>
      </c>
      <c r="F112" s="13">
        <v>5750</v>
      </c>
      <c r="G112" s="13">
        <v>5772</v>
      </c>
      <c r="H112" s="13">
        <v>5905</v>
      </c>
      <c r="I112" s="13">
        <v>5543</v>
      </c>
      <c r="J112" s="13">
        <v>4901</v>
      </c>
      <c r="K112" s="13">
        <v>2957</v>
      </c>
      <c r="L112" s="13">
        <v>3308</v>
      </c>
      <c r="M112" s="13">
        <v>4229</v>
      </c>
      <c r="N112" s="13">
        <v>7091</v>
      </c>
      <c r="O112" s="13">
        <v>3899</v>
      </c>
      <c r="P112" s="13">
        <v>3470</v>
      </c>
      <c r="Q112" s="14">
        <f t="shared" si="3"/>
        <v>59044</v>
      </c>
      <c r="R112" s="2" t="s">
        <v>830</v>
      </c>
    </row>
    <row r="113" spans="1:18" hidden="1" x14ac:dyDescent="0.3">
      <c r="A113" s="1">
        <f t="shared" si="2"/>
        <v>111</v>
      </c>
      <c r="B113" s="1">
        <v>1181</v>
      </c>
      <c r="C113" s="7">
        <v>101181</v>
      </c>
      <c r="D113" t="str">
        <f>VLOOKUP(B113,[2]Electricity!$A$8:$D$326,4,0)</f>
        <v>Highway Road, Khairpur</v>
      </c>
      <c r="E113" s="12">
        <v>2358</v>
      </c>
      <c r="F113" s="13">
        <v>2338</v>
      </c>
      <c r="G113" s="13">
        <v>1895</v>
      </c>
      <c r="H113" s="13">
        <v>1924</v>
      </c>
      <c r="I113" s="13">
        <v>1035</v>
      </c>
      <c r="J113" s="13">
        <v>1390</v>
      </c>
      <c r="K113" s="13">
        <v>949</v>
      </c>
      <c r="L113" s="13">
        <v>724</v>
      </c>
      <c r="M113" s="13">
        <v>914</v>
      </c>
      <c r="N113" s="13">
        <v>1803</v>
      </c>
      <c r="O113" s="13">
        <v>1779</v>
      </c>
      <c r="P113" s="13">
        <v>2048</v>
      </c>
      <c r="Q113" s="14">
        <f t="shared" si="3"/>
        <v>19157</v>
      </c>
      <c r="R113" s="2" t="s">
        <v>834</v>
      </c>
    </row>
    <row r="114" spans="1:18" hidden="1" x14ac:dyDescent="0.3">
      <c r="A114" s="1">
        <f t="shared" si="2"/>
        <v>112</v>
      </c>
      <c r="B114" s="1">
        <v>1182</v>
      </c>
      <c r="C114" s="7">
        <v>101182</v>
      </c>
      <c r="D114" t="str">
        <f>VLOOKUP(B114,[2]Electricity!$A$8:$D$326,4,0)</f>
        <v>Jhang Road, Toba Tek Singh</v>
      </c>
      <c r="E114" s="12">
        <v>4364</v>
      </c>
      <c r="F114" s="13">
        <v>4231</v>
      </c>
      <c r="G114" s="13">
        <v>4845</v>
      </c>
      <c r="H114" s="13">
        <v>3439</v>
      </c>
      <c r="I114" s="13">
        <f>2221+5238+6453</f>
        <v>13912</v>
      </c>
      <c r="J114" s="13">
        <f>2084+821+771</f>
        <v>3676</v>
      </c>
      <c r="K114" s="13">
        <f>1914+840+783</f>
        <v>3537</v>
      </c>
      <c r="L114" s="13">
        <f>1799+482+961</f>
        <v>3242</v>
      </c>
      <c r="M114" s="13">
        <f>2632+1507+963</f>
        <v>5102</v>
      </c>
      <c r="N114" s="13">
        <f>2718+2204+727</f>
        <v>5649</v>
      </c>
      <c r="O114" s="13">
        <f>3915+2521+700</f>
        <v>7136</v>
      </c>
      <c r="P114" s="13">
        <f>4488+2283+621</f>
        <v>7392</v>
      </c>
      <c r="Q114" s="14">
        <f t="shared" si="3"/>
        <v>66525</v>
      </c>
      <c r="R114" s="2" t="s">
        <v>844</v>
      </c>
    </row>
    <row r="115" spans="1:18" hidden="1" x14ac:dyDescent="0.3">
      <c r="A115" s="1">
        <f t="shared" si="2"/>
        <v>113</v>
      </c>
      <c r="B115" s="1">
        <v>1183</v>
      </c>
      <c r="C115" s="1">
        <v>101183</v>
      </c>
      <c r="D115" t="str">
        <f>VLOOKUP(B115,[2]Electricity!$A$8:$D$326,4,0)</f>
        <v>F-7 Safa Gold, Islamabad</v>
      </c>
      <c r="E115" s="71" t="s">
        <v>17</v>
      </c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3"/>
      <c r="Q115" s="14">
        <f t="shared" si="3"/>
        <v>0</v>
      </c>
      <c r="R115" s="2" t="s">
        <v>22</v>
      </c>
    </row>
    <row r="116" spans="1:18" hidden="1" x14ac:dyDescent="0.3">
      <c r="A116" s="1">
        <f t="shared" si="2"/>
        <v>114</v>
      </c>
      <c r="B116" s="1">
        <v>1184</v>
      </c>
      <c r="C116" s="1">
        <v>101184</v>
      </c>
      <c r="D116" t="str">
        <f>VLOOKUP(B116,[2]Electricity!$A$8:$D$326,4,0)</f>
        <v>Gold Crest Mall, Lahore</v>
      </c>
      <c r="E116" s="71" t="s">
        <v>17</v>
      </c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3"/>
      <c r="Q116" s="14">
        <f t="shared" si="3"/>
        <v>0</v>
      </c>
      <c r="R116" s="2" t="s">
        <v>22</v>
      </c>
    </row>
    <row r="117" spans="1:18" hidden="1" x14ac:dyDescent="0.3">
      <c r="A117" s="1">
        <f t="shared" si="2"/>
        <v>115</v>
      </c>
      <c r="B117" s="1">
        <v>1185</v>
      </c>
      <c r="C117" s="7">
        <v>101185</v>
      </c>
      <c r="D117" t="str">
        <f>VLOOKUP(B117,[2]Electricity!$A$8:$D$326,4,0)</f>
        <v>Military Road, Sukkur</v>
      </c>
      <c r="E117" s="12">
        <v>7160</v>
      </c>
      <c r="F117" s="13">
        <v>7680</v>
      </c>
      <c r="G117" s="13">
        <v>6160</v>
      </c>
      <c r="H117" s="13">
        <v>5040</v>
      </c>
      <c r="I117" s="13">
        <v>3880</v>
      </c>
      <c r="J117" s="13">
        <v>2840</v>
      </c>
      <c r="K117" s="13">
        <v>1600</v>
      </c>
      <c r="L117" s="13">
        <v>1520</v>
      </c>
      <c r="M117" s="13">
        <v>2680</v>
      </c>
      <c r="N117" s="13">
        <v>3760</v>
      </c>
      <c r="O117" s="13">
        <v>4640</v>
      </c>
      <c r="P117" s="13">
        <v>5840</v>
      </c>
      <c r="Q117" s="14">
        <f t="shared" si="3"/>
        <v>52800</v>
      </c>
      <c r="R117" s="2" t="s">
        <v>834</v>
      </c>
    </row>
    <row r="118" spans="1:18" hidden="1" x14ac:dyDescent="0.3">
      <c r="A118" s="1">
        <f t="shared" si="2"/>
        <v>116</v>
      </c>
      <c r="B118" s="1">
        <v>1186</v>
      </c>
      <c r="C118" s="1">
        <v>101186</v>
      </c>
      <c r="D118" t="str">
        <f>VLOOKUP(B118,[2]Electricity!$A$8:$D$326,4,0)</f>
        <v>Model Town Link Road 2, Lahore</v>
      </c>
      <c r="E118" s="12">
        <v>4640</v>
      </c>
      <c r="F118" s="13">
        <v>5000</v>
      </c>
      <c r="G118" s="13">
        <v>4940</v>
      </c>
      <c r="H118" s="13">
        <v>2960</v>
      </c>
      <c r="I118" s="13">
        <v>2020</v>
      </c>
      <c r="J118" s="13">
        <v>1540</v>
      </c>
      <c r="K118" s="13">
        <v>1480</v>
      </c>
      <c r="L118" s="13">
        <v>1780</v>
      </c>
      <c r="M118" s="13">
        <v>3000</v>
      </c>
      <c r="N118" s="13">
        <f>1680+1260</f>
        <v>2940</v>
      </c>
      <c r="O118" s="13">
        <v>3920</v>
      </c>
      <c r="P118" s="13">
        <v>4060</v>
      </c>
      <c r="Q118" s="14">
        <f t="shared" si="3"/>
        <v>38280</v>
      </c>
      <c r="R118" s="2" t="s">
        <v>834</v>
      </c>
    </row>
    <row r="119" spans="1:18" hidden="1" x14ac:dyDescent="0.3">
      <c r="A119" s="1">
        <f t="shared" si="2"/>
        <v>117</v>
      </c>
      <c r="B119" s="1">
        <v>1187</v>
      </c>
      <c r="C119" s="1">
        <v>101187</v>
      </c>
      <c r="D119" t="str">
        <f>VLOOKUP(B119,[2]Electricity!$A$8:$D$326,4,0)</f>
        <v>Ocean Mall, Karachi</v>
      </c>
      <c r="E119" s="71" t="s">
        <v>17</v>
      </c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3"/>
      <c r="Q119" s="14">
        <f t="shared" si="3"/>
        <v>0</v>
      </c>
      <c r="R119" s="2" t="s">
        <v>22</v>
      </c>
    </row>
    <row r="120" spans="1:18" hidden="1" x14ac:dyDescent="0.3">
      <c r="A120" s="1">
        <f t="shared" si="2"/>
        <v>118</v>
      </c>
      <c r="B120" s="1">
        <v>1188</v>
      </c>
      <c r="C120" s="7">
        <v>101188</v>
      </c>
      <c r="D120" t="str">
        <f>VLOOKUP(B120,[2]Electricity!$A$8:$D$326,4,0)</f>
        <v>Millennium Mall, Quetta</v>
      </c>
      <c r="E120" s="12">
        <v>2630</v>
      </c>
      <c r="F120" s="13">
        <v>2709</v>
      </c>
      <c r="G120" s="13">
        <v>2847</v>
      </c>
      <c r="H120" s="13">
        <v>1874</v>
      </c>
      <c r="I120" s="13">
        <v>1299</v>
      </c>
      <c r="J120" s="13">
        <v>1220</v>
      </c>
      <c r="K120" s="13">
        <v>2262</v>
      </c>
      <c r="L120" s="13">
        <v>2049</v>
      </c>
      <c r="M120" s="13">
        <v>1193</v>
      </c>
      <c r="N120" s="13">
        <v>1220</v>
      </c>
      <c r="O120" s="13">
        <v>1747</v>
      </c>
      <c r="P120" s="13">
        <v>3706</v>
      </c>
      <c r="Q120" s="14">
        <f t="shared" si="3"/>
        <v>24756</v>
      </c>
      <c r="R120" s="2" t="s">
        <v>834</v>
      </c>
    </row>
    <row r="121" spans="1:18" hidden="1" x14ac:dyDescent="0.3">
      <c r="A121" s="1">
        <f t="shared" si="2"/>
        <v>119</v>
      </c>
      <c r="B121" s="1">
        <v>1189</v>
      </c>
      <c r="C121" s="7">
        <v>101189</v>
      </c>
      <c r="D121" t="str">
        <f>VLOOKUP(B121,[2]Electricity!$A$8:$D$326,4,0)</f>
        <v>Gujar Khan</v>
      </c>
      <c r="E121" s="12">
        <f>1691+2677+721</f>
        <v>5089</v>
      </c>
      <c r="F121" s="13">
        <f>504+3051+721</f>
        <v>4276</v>
      </c>
      <c r="G121" s="13">
        <f>3524+3060+536</f>
        <v>7120</v>
      </c>
      <c r="H121" s="13">
        <f>3500+3481+59</f>
        <v>7040</v>
      </c>
      <c r="I121" s="13">
        <f>558+3180+8</f>
        <v>3746</v>
      </c>
      <c r="J121" s="13">
        <f>460+2261+0</f>
        <v>2721</v>
      </c>
      <c r="K121" s="13">
        <f>641+2025+21</f>
        <v>2687</v>
      </c>
      <c r="L121" s="13">
        <f>1010+2010+13</f>
        <v>3033</v>
      </c>
      <c r="M121" s="13">
        <f>1014+755+19</f>
        <v>1788</v>
      </c>
      <c r="N121" s="13">
        <f>139+5186+7</f>
        <v>5332</v>
      </c>
      <c r="O121" s="13">
        <f>158+4959</f>
        <v>5117</v>
      </c>
      <c r="P121" s="13">
        <f>0+5270+0</f>
        <v>5270</v>
      </c>
      <c r="Q121" s="14">
        <f t="shared" si="3"/>
        <v>53219</v>
      </c>
      <c r="R121" s="2" t="s">
        <v>834</v>
      </c>
    </row>
    <row r="122" spans="1:18" hidden="1" x14ac:dyDescent="0.3">
      <c r="A122" s="1">
        <f t="shared" si="2"/>
        <v>120</v>
      </c>
      <c r="B122" s="1">
        <v>1190</v>
      </c>
      <c r="C122" s="7">
        <v>101190</v>
      </c>
      <c r="D122" t="str">
        <f>VLOOKUP(B122,[2]Electricity!$A$8:$D$326,4,0)</f>
        <v>Bank Road, Opp. Paking Plaza, Rawalpindi</v>
      </c>
      <c r="E122" s="12">
        <v>4560</v>
      </c>
      <c r="F122" s="13">
        <v>5123</v>
      </c>
      <c r="G122" s="13">
        <v>4829</v>
      </c>
      <c r="H122" s="13">
        <v>4564</v>
      </c>
      <c r="I122" s="13">
        <v>3704</v>
      </c>
      <c r="J122" s="13">
        <v>2403</v>
      </c>
      <c r="K122" s="13">
        <v>2674</v>
      </c>
      <c r="L122" s="13">
        <v>2660</v>
      </c>
      <c r="M122" s="13">
        <v>2774</v>
      </c>
      <c r="N122" s="13">
        <v>4365</v>
      </c>
      <c r="O122" s="13">
        <v>5204</v>
      </c>
      <c r="P122" s="13">
        <v>5800</v>
      </c>
      <c r="Q122" s="14">
        <f t="shared" si="3"/>
        <v>48660</v>
      </c>
      <c r="R122" s="2" t="s">
        <v>834</v>
      </c>
    </row>
    <row r="123" spans="1:18" hidden="1" x14ac:dyDescent="0.3">
      <c r="A123" s="1">
        <f t="shared" si="2"/>
        <v>121</v>
      </c>
      <c r="B123" s="1">
        <v>1191</v>
      </c>
      <c r="C123" s="7">
        <v>101191</v>
      </c>
      <c r="D123" t="str">
        <f>VLOOKUP(B123,[2]Electricity!$A$8:$D$326,4,0)</f>
        <v>Opposite Gakhar Plaza, Rawalpindi</v>
      </c>
      <c r="E123" s="12">
        <v>3988</v>
      </c>
      <c r="F123" s="13">
        <v>5044</v>
      </c>
      <c r="G123" s="13">
        <v>3994</v>
      </c>
      <c r="H123" s="13">
        <v>3341</v>
      </c>
      <c r="I123" s="13">
        <v>2468</v>
      </c>
      <c r="J123" s="13">
        <v>1737</v>
      </c>
      <c r="K123" s="13">
        <v>1932</v>
      </c>
      <c r="L123" s="13">
        <v>2053</v>
      </c>
      <c r="M123" s="13">
        <v>1969</v>
      </c>
      <c r="N123" s="13">
        <v>2944</v>
      </c>
      <c r="O123" s="13">
        <v>4067</v>
      </c>
      <c r="P123" s="13">
        <v>5441</v>
      </c>
      <c r="Q123" s="14">
        <f t="shared" si="3"/>
        <v>38978</v>
      </c>
      <c r="R123" s="2" t="s">
        <v>834</v>
      </c>
    </row>
    <row r="124" spans="1:18" hidden="1" x14ac:dyDescent="0.3">
      <c r="A124" s="1">
        <f t="shared" si="2"/>
        <v>122</v>
      </c>
      <c r="B124" s="1">
        <v>1192</v>
      </c>
      <c r="C124" s="7">
        <v>101192</v>
      </c>
      <c r="D124" t="str">
        <f>VLOOKUP(B124,[2]Electricity!$A$8:$D$326,4,0)</f>
        <v>Ajnala Road, Bhalwal</v>
      </c>
      <c r="E124" s="12">
        <v>4000</v>
      </c>
      <c r="F124" s="13">
        <v>4715</v>
      </c>
      <c r="G124" s="13">
        <v>4267</v>
      </c>
      <c r="H124" s="13">
        <v>2816</v>
      </c>
      <c r="I124" s="13">
        <v>2140</v>
      </c>
      <c r="J124" s="13">
        <v>1869</v>
      </c>
      <c r="K124" s="13">
        <v>1966</v>
      </c>
      <c r="L124" s="13">
        <v>1871</v>
      </c>
      <c r="M124" s="13">
        <v>2456</v>
      </c>
      <c r="N124" s="13">
        <v>3176</v>
      </c>
      <c r="O124" s="13">
        <v>4222</v>
      </c>
      <c r="P124" s="13">
        <v>4046</v>
      </c>
      <c r="Q124" s="14">
        <f t="shared" si="3"/>
        <v>37544</v>
      </c>
      <c r="R124" s="2" t="s">
        <v>834</v>
      </c>
    </row>
    <row r="125" spans="1:18" hidden="1" x14ac:dyDescent="0.3">
      <c r="A125" s="1">
        <f t="shared" si="2"/>
        <v>123</v>
      </c>
      <c r="B125" s="1">
        <v>1193</v>
      </c>
      <c r="C125" s="7">
        <v>101193</v>
      </c>
      <c r="D125" t="str">
        <f>VLOOKUP(B125,[2]Electricity!$A$8:$D$326,4,0)</f>
        <v>Katcheri Road, Khanpur</v>
      </c>
      <c r="E125" s="12">
        <v>4797</v>
      </c>
      <c r="F125" s="13">
        <v>4131</v>
      </c>
      <c r="G125" s="13">
        <v>3804</v>
      </c>
      <c r="H125" s="13">
        <v>4065</v>
      </c>
      <c r="I125" s="13">
        <v>3165</v>
      </c>
      <c r="J125" s="13">
        <v>2788</v>
      </c>
      <c r="K125" s="13">
        <v>2172</v>
      </c>
      <c r="L125" s="13">
        <v>2172</v>
      </c>
      <c r="M125" s="13">
        <v>2259</v>
      </c>
      <c r="N125" s="13">
        <v>3901</v>
      </c>
      <c r="O125" s="13">
        <v>4144</v>
      </c>
      <c r="P125" s="13">
        <v>4928</v>
      </c>
      <c r="Q125" s="14">
        <f t="shared" si="3"/>
        <v>42326</v>
      </c>
      <c r="R125" s="2" t="s">
        <v>834</v>
      </c>
    </row>
    <row r="126" spans="1:18" hidden="1" x14ac:dyDescent="0.3">
      <c r="A126" s="1">
        <f t="shared" si="2"/>
        <v>124</v>
      </c>
      <c r="B126" s="1">
        <v>1194</v>
      </c>
      <c r="C126" s="7">
        <v>101194</v>
      </c>
      <c r="D126" t="str">
        <f>VLOOKUP(B126,[2]Electricity!$A$8:$D$326,4,0)</f>
        <v>Model Town, Rahim Yar Khan</v>
      </c>
      <c r="E126" s="12">
        <v>5975</v>
      </c>
      <c r="F126" s="13">
        <v>5239</v>
      </c>
      <c r="G126" s="13">
        <v>4485</v>
      </c>
      <c r="H126" s="13">
        <v>4426</v>
      </c>
      <c r="I126" s="13">
        <v>3050</v>
      </c>
      <c r="J126" s="13">
        <v>2032</v>
      </c>
      <c r="K126" s="13">
        <v>1929</v>
      </c>
      <c r="L126" s="13">
        <v>0</v>
      </c>
      <c r="M126" s="13">
        <v>0</v>
      </c>
      <c r="N126" s="13">
        <v>0</v>
      </c>
      <c r="O126" s="13">
        <v>0</v>
      </c>
      <c r="P126" s="13">
        <v>233</v>
      </c>
      <c r="Q126" s="14">
        <f t="shared" si="3"/>
        <v>27369</v>
      </c>
      <c r="R126" s="2" t="s">
        <v>845</v>
      </c>
    </row>
    <row r="127" spans="1:18" hidden="1" x14ac:dyDescent="0.3">
      <c r="A127" s="1">
        <f t="shared" si="2"/>
        <v>125</v>
      </c>
      <c r="B127" s="1">
        <v>1195</v>
      </c>
      <c r="C127" s="7">
        <v>101195</v>
      </c>
      <c r="D127" t="str">
        <f>VLOOKUP(B127,[2]Electricity!$A$8:$D$326,4,0)</f>
        <v xml:space="preserve">Allama Iqbal Road, Pattoki </v>
      </c>
      <c r="E127" s="12">
        <v>6763</v>
      </c>
      <c r="F127" s="13">
        <v>6695</v>
      </c>
      <c r="G127" s="13">
        <v>6775</v>
      </c>
      <c r="H127" s="13">
        <v>4870</v>
      </c>
      <c r="I127" s="13">
        <v>4972</v>
      </c>
      <c r="J127" s="13">
        <v>4668</v>
      </c>
      <c r="K127" s="13">
        <v>2072</v>
      </c>
      <c r="L127" s="13">
        <v>2258</v>
      </c>
      <c r="M127" s="13">
        <v>4238</v>
      </c>
      <c r="N127" s="13">
        <v>5616</v>
      </c>
      <c r="O127" s="13">
        <v>7348</v>
      </c>
      <c r="P127" s="13">
        <v>6696</v>
      </c>
      <c r="Q127" s="14">
        <f t="shared" si="3"/>
        <v>62971</v>
      </c>
      <c r="R127" s="2" t="s">
        <v>834</v>
      </c>
    </row>
    <row r="128" spans="1:18" hidden="1" x14ac:dyDescent="0.3">
      <c r="A128" s="1">
        <f t="shared" si="2"/>
        <v>126</v>
      </c>
      <c r="B128" s="1">
        <v>1196</v>
      </c>
      <c r="C128" s="7">
        <v>101196</v>
      </c>
      <c r="D128" t="str">
        <f>VLOOKUP(B128,[2]Electricity!$A$8:$D$326,4,0)</f>
        <v xml:space="preserve">Sahiwal Road, Pakpatan </v>
      </c>
      <c r="E128" s="12">
        <v>7083</v>
      </c>
      <c r="F128" s="13">
        <v>8184</v>
      </c>
      <c r="G128" s="13">
        <v>7092</v>
      </c>
      <c r="H128" s="13">
        <v>6239</v>
      </c>
      <c r="I128" s="13">
        <v>3763</v>
      </c>
      <c r="J128" s="13">
        <v>2595</v>
      </c>
      <c r="K128" s="13">
        <v>2467</v>
      </c>
      <c r="L128" s="13">
        <v>2295</v>
      </c>
      <c r="M128" s="13">
        <v>4287</v>
      </c>
      <c r="N128" s="13">
        <v>5376</v>
      </c>
      <c r="O128" s="13">
        <v>6650</v>
      </c>
      <c r="P128" s="13">
        <v>5765</v>
      </c>
      <c r="Q128" s="14">
        <f t="shared" si="3"/>
        <v>61796</v>
      </c>
      <c r="R128" s="2" t="s">
        <v>834</v>
      </c>
    </row>
    <row r="129" spans="1:18" hidden="1" x14ac:dyDescent="0.3">
      <c r="A129" s="1">
        <f t="shared" si="2"/>
        <v>127</v>
      </c>
      <c r="B129" s="1">
        <v>1197</v>
      </c>
      <c r="C129" s="7">
        <v>101197</v>
      </c>
      <c r="D129" t="str">
        <f>VLOOKUP(B129,[2]Electricity!$A$8:$D$326,4,0)</f>
        <v>University Road, Karachi</v>
      </c>
      <c r="E129" s="12">
        <v>4647</v>
      </c>
      <c r="F129" s="13">
        <v>3335</v>
      </c>
      <c r="G129" s="13">
        <v>3235</v>
      </c>
      <c r="H129" s="13">
        <v>3219</v>
      </c>
      <c r="I129" s="13">
        <v>2997</v>
      </c>
      <c r="J129" s="13">
        <v>2846</v>
      </c>
      <c r="K129" s="13">
        <v>1823</v>
      </c>
      <c r="L129" s="13">
        <v>1955</v>
      </c>
      <c r="M129" s="13">
        <v>2375</v>
      </c>
      <c r="N129" s="13">
        <v>4009</v>
      </c>
      <c r="O129" s="13">
        <v>3264</v>
      </c>
      <c r="P129" s="13">
        <v>3797</v>
      </c>
      <c r="Q129" s="14">
        <f t="shared" si="3"/>
        <v>37502</v>
      </c>
      <c r="R129" s="2" t="s">
        <v>834</v>
      </c>
    </row>
    <row r="130" spans="1:18" hidden="1" x14ac:dyDescent="0.3">
      <c r="A130" s="1">
        <f t="shared" si="2"/>
        <v>128</v>
      </c>
      <c r="B130" s="1">
        <v>1198</v>
      </c>
      <c r="C130" s="7">
        <v>101198</v>
      </c>
      <c r="D130" t="str">
        <f>VLOOKUP(B130,[2]Electricity!$A$8:$D$326,4,0)</f>
        <v>Main Faisalabad Road, Jaranwala</v>
      </c>
      <c r="E130" s="12">
        <v>3458</v>
      </c>
      <c r="F130" s="13">
        <v>4201</v>
      </c>
      <c r="G130" s="13">
        <v>4677</v>
      </c>
      <c r="H130" s="13">
        <v>2819</v>
      </c>
      <c r="I130" s="13">
        <v>1132</v>
      </c>
      <c r="J130" s="13">
        <v>1309</v>
      </c>
      <c r="K130" s="13">
        <v>1925</v>
      </c>
      <c r="L130" s="13">
        <v>1879</v>
      </c>
      <c r="M130" s="13">
        <v>3477</v>
      </c>
      <c r="N130" s="13">
        <v>4043</v>
      </c>
      <c r="O130" s="13">
        <v>4959</v>
      </c>
      <c r="P130" s="13">
        <v>5583</v>
      </c>
      <c r="Q130" s="14">
        <f t="shared" si="3"/>
        <v>39462</v>
      </c>
      <c r="R130" s="2" t="s">
        <v>834</v>
      </c>
    </row>
    <row r="131" spans="1:18" hidden="1" x14ac:dyDescent="0.3">
      <c r="A131" s="1">
        <f t="shared" si="2"/>
        <v>129</v>
      </c>
      <c r="B131" s="1">
        <v>1199</v>
      </c>
      <c r="C131" s="7">
        <v>101199</v>
      </c>
      <c r="D131" t="str">
        <f>VLOOKUP(B131,[2]Electricity!$A$8:$D$326,4,0)</f>
        <v>Brandway Mall, Pattoki</v>
      </c>
      <c r="E131" s="12">
        <v>4080</v>
      </c>
      <c r="F131" s="13">
        <v>3940</v>
      </c>
      <c r="G131" s="13">
        <v>3960</v>
      </c>
      <c r="H131" s="13">
        <v>4340</v>
      </c>
      <c r="I131" s="13">
        <v>1700</v>
      </c>
      <c r="J131" s="13">
        <v>1800</v>
      </c>
      <c r="K131" s="13">
        <v>1460</v>
      </c>
      <c r="L131" s="13">
        <v>1820</v>
      </c>
      <c r="M131" s="13">
        <f>1740+920</f>
        <v>2660</v>
      </c>
      <c r="N131" s="13">
        <v>3900</v>
      </c>
      <c r="O131" s="13">
        <v>4920</v>
      </c>
      <c r="P131" s="13">
        <v>4280</v>
      </c>
      <c r="Q131" s="14">
        <f t="shared" si="3"/>
        <v>38860</v>
      </c>
      <c r="R131" s="2" t="s">
        <v>834</v>
      </c>
    </row>
    <row r="132" spans="1:18" hidden="1" x14ac:dyDescent="0.3">
      <c r="A132" s="1">
        <f t="shared" si="2"/>
        <v>130</v>
      </c>
      <c r="B132" s="1">
        <v>1201</v>
      </c>
      <c r="C132" s="7">
        <v>101201</v>
      </c>
      <c r="D132" t="str">
        <f>VLOOKUP(B132,[2]Electricity!$A$8:$D$326,4,0)</f>
        <v>CP Tench Bhata, Rawalpindi</v>
      </c>
      <c r="E132" s="12">
        <f>23+2126</f>
        <v>2149</v>
      </c>
      <c r="F132" s="13">
        <f>27+2512</f>
        <v>2539</v>
      </c>
      <c r="G132" s="13">
        <f>21+2743</f>
        <v>2764</v>
      </c>
      <c r="H132" s="13">
        <f>25+2232</f>
        <v>2257</v>
      </c>
      <c r="I132" s="13">
        <f>28+1377</f>
        <v>1405</v>
      </c>
      <c r="J132" s="13">
        <f>26+1090</f>
        <v>1116</v>
      </c>
      <c r="K132" s="13">
        <f>67+1129</f>
        <v>1196</v>
      </c>
      <c r="L132" s="13">
        <f>40+1072</f>
        <v>1112</v>
      </c>
      <c r="M132" s="13">
        <f>12+967</f>
        <v>979</v>
      </c>
      <c r="N132" s="13">
        <f>1324+15</f>
        <v>1339</v>
      </c>
      <c r="O132" s="13">
        <f>2498+26</f>
        <v>2524</v>
      </c>
      <c r="P132" s="13">
        <f>3440+29</f>
        <v>3469</v>
      </c>
      <c r="Q132" s="14">
        <f t="shared" si="3"/>
        <v>22849</v>
      </c>
      <c r="R132" s="2" t="s">
        <v>834</v>
      </c>
    </row>
    <row r="133" spans="1:18" hidden="1" x14ac:dyDescent="0.3">
      <c r="A133" s="1">
        <f t="shared" ref="A133:A196" si="4">A132+1</f>
        <v>131</v>
      </c>
      <c r="B133" s="1">
        <v>1202</v>
      </c>
      <c r="C133" s="7">
        <v>101202</v>
      </c>
      <c r="D133" t="str">
        <f>VLOOKUP(B133,[2]Electricity!$A$8:$D$326,4,0)</f>
        <v>Abid Plaza, Kamalia</v>
      </c>
      <c r="E133" s="12">
        <v>2972</v>
      </c>
      <c r="F133" s="13">
        <v>3383</v>
      </c>
      <c r="G133" s="13">
        <v>6870</v>
      </c>
      <c r="H133" s="13">
        <v>1060</v>
      </c>
      <c r="I133" s="13">
        <v>3969</v>
      </c>
      <c r="J133" s="13">
        <v>1199</v>
      </c>
      <c r="K133" s="13">
        <v>1829</v>
      </c>
      <c r="L133" s="13">
        <v>788</v>
      </c>
      <c r="M133" s="13">
        <v>4035</v>
      </c>
      <c r="N133" s="13">
        <v>0</v>
      </c>
      <c r="O133" s="13">
        <v>0</v>
      </c>
      <c r="P133" s="13">
        <v>0</v>
      </c>
      <c r="Q133" s="14">
        <f t="shared" ref="Q133:Q196" si="5">SUM(E133:P133)</f>
        <v>26105</v>
      </c>
      <c r="R133" s="2" t="s">
        <v>845</v>
      </c>
    </row>
    <row r="134" spans="1:18" hidden="1" x14ac:dyDescent="0.3">
      <c r="A134" s="1">
        <f t="shared" si="4"/>
        <v>132</v>
      </c>
      <c r="B134" s="1">
        <v>1203</v>
      </c>
      <c r="C134" s="7">
        <v>101203</v>
      </c>
      <c r="D134" t="str">
        <f>VLOOKUP(B134,[2]Electricity!$A$8:$D$326,4,0)</f>
        <v>CP Mumtazabad, Multan</v>
      </c>
      <c r="E134" s="12">
        <v>7406</v>
      </c>
      <c r="F134" s="13">
        <v>8244</v>
      </c>
      <c r="G134" s="13">
        <v>9499</v>
      </c>
      <c r="H134" s="13">
        <v>10388</v>
      </c>
      <c r="I134" s="13">
        <v>7780</v>
      </c>
      <c r="J134" s="13">
        <v>3389</v>
      </c>
      <c r="K134" s="13">
        <v>3983</v>
      </c>
      <c r="L134" s="13">
        <v>4028</v>
      </c>
      <c r="M134" s="13">
        <v>4030</v>
      </c>
      <c r="N134" s="13">
        <v>6949</v>
      </c>
      <c r="O134" s="13">
        <v>7500</v>
      </c>
      <c r="P134" s="13">
        <v>11452</v>
      </c>
      <c r="Q134" s="14">
        <f t="shared" si="5"/>
        <v>84648</v>
      </c>
      <c r="R134" s="2" t="s">
        <v>834</v>
      </c>
    </row>
    <row r="135" spans="1:18" x14ac:dyDescent="0.3">
      <c r="A135" s="1">
        <f t="shared" si="4"/>
        <v>133</v>
      </c>
      <c r="B135" s="15">
        <v>1204</v>
      </c>
      <c r="C135" s="7">
        <v>1204</v>
      </c>
      <c r="D135" t="str">
        <f>VLOOKUP(B135,[2]Electricity!$A$8:$D$326,4,0)</f>
        <v>Shaheed Chowk, Kotli</v>
      </c>
      <c r="E135" s="12">
        <v>2223</v>
      </c>
      <c r="F135" s="13">
        <v>2554</v>
      </c>
      <c r="G135" s="13">
        <v>2198</v>
      </c>
      <c r="H135" s="13">
        <v>1923</v>
      </c>
      <c r="I135" s="13">
        <v>1354</v>
      </c>
      <c r="J135" s="13">
        <v>1189</v>
      </c>
      <c r="K135" s="13">
        <v>843</v>
      </c>
      <c r="L135" s="13">
        <v>983</v>
      </c>
      <c r="M135" s="13">
        <v>1620</v>
      </c>
      <c r="N135" s="13">
        <v>1163</v>
      </c>
      <c r="O135" s="13">
        <v>2630</v>
      </c>
      <c r="P135" s="13"/>
      <c r="Q135" s="14">
        <f t="shared" si="5"/>
        <v>18680</v>
      </c>
      <c r="R135" s="2" t="s">
        <v>848</v>
      </c>
    </row>
    <row r="136" spans="1:18" hidden="1" x14ac:dyDescent="0.3">
      <c r="A136" s="1">
        <f t="shared" si="4"/>
        <v>134</v>
      </c>
      <c r="B136" s="1">
        <v>1205</v>
      </c>
      <c r="C136" s="7">
        <v>101205</v>
      </c>
      <c r="D136" t="str">
        <f>VLOOKUP(B136,[2]Electricity!$A$8:$D$326,4,0)</f>
        <v>Bilal Chowk, Samanabad</v>
      </c>
      <c r="E136" s="12">
        <v>6240</v>
      </c>
      <c r="F136" s="13">
        <v>6960</v>
      </c>
      <c r="G136" s="13">
        <v>6480</v>
      </c>
      <c r="H136" s="13">
        <v>4800</v>
      </c>
      <c r="I136" s="13">
        <v>3680</v>
      </c>
      <c r="J136" s="13">
        <v>2880</v>
      </c>
      <c r="K136" s="13">
        <v>3120</v>
      </c>
      <c r="L136" s="13">
        <v>2960</v>
      </c>
      <c r="M136" s="13">
        <v>4160</v>
      </c>
      <c r="N136" s="13">
        <v>5440</v>
      </c>
      <c r="O136" s="13">
        <v>6160</v>
      </c>
      <c r="P136" s="13">
        <v>7280</v>
      </c>
      <c r="Q136" s="14">
        <f t="shared" si="5"/>
        <v>60160</v>
      </c>
      <c r="R136" s="2" t="s">
        <v>834</v>
      </c>
    </row>
    <row r="137" spans="1:18" hidden="1" x14ac:dyDescent="0.3">
      <c r="A137" s="1">
        <f t="shared" si="4"/>
        <v>135</v>
      </c>
      <c r="B137" s="1">
        <v>1206</v>
      </c>
      <c r="C137" s="1">
        <v>101206</v>
      </c>
      <c r="D137" t="str">
        <f>VLOOKUP(B137,[2]Electricity!$A$8:$D$326,4,0)</f>
        <v>Jhang Road, Faisalabad</v>
      </c>
      <c r="E137" s="71" t="s">
        <v>17</v>
      </c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3"/>
      <c r="Q137" s="14">
        <f t="shared" si="5"/>
        <v>0</v>
      </c>
    </row>
    <row r="138" spans="1:18" hidden="1" x14ac:dyDescent="0.3">
      <c r="A138" s="1">
        <f t="shared" si="4"/>
        <v>136</v>
      </c>
      <c r="B138" s="1">
        <v>1207</v>
      </c>
      <c r="C138" s="7">
        <v>101207</v>
      </c>
      <c r="D138" t="str">
        <f>VLOOKUP(B138,[2]Electricity!$A$8:$D$326,4,0)</f>
        <v>Shujaabad</v>
      </c>
      <c r="E138" s="12">
        <v>5120</v>
      </c>
      <c r="F138" s="13">
        <v>1883</v>
      </c>
      <c r="G138" s="13"/>
      <c r="H138" s="13">
        <v>6853</v>
      </c>
      <c r="I138" s="13">
        <v>4236</v>
      </c>
      <c r="J138" s="13">
        <v>2957</v>
      </c>
      <c r="K138" s="13">
        <v>3056</v>
      </c>
      <c r="L138" s="13">
        <v>3205</v>
      </c>
      <c r="M138" s="13">
        <v>2404</v>
      </c>
      <c r="N138" s="13">
        <v>6451</v>
      </c>
      <c r="O138" s="13">
        <v>7005</v>
      </c>
      <c r="P138" s="13">
        <v>9413</v>
      </c>
      <c r="Q138" s="14">
        <f t="shared" si="5"/>
        <v>52583</v>
      </c>
      <c r="R138" s="2" t="s">
        <v>834</v>
      </c>
    </row>
    <row r="139" spans="1:18" hidden="1" x14ac:dyDescent="0.3">
      <c r="A139" s="1">
        <f t="shared" si="4"/>
        <v>137</v>
      </c>
      <c r="B139" s="1">
        <v>1208</v>
      </c>
      <c r="C139" s="7">
        <v>101208</v>
      </c>
      <c r="D139" t="str">
        <f>VLOOKUP(B139,[2]Electricity!$A$8:$D$326,4,0)</f>
        <v>GM Abad, Faisalabad</v>
      </c>
      <c r="E139" s="12">
        <v>5563</v>
      </c>
      <c r="F139" s="13">
        <v>6246</v>
      </c>
      <c r="G139" s="13">
        <v>6657</v>
      </c>
      <c r="H139" s="13">
        <v>4086</v>
      </c>
      <c r="I139" s="13">
        <v>2068</v>
      </c>
      <c r="J139" s="13">
        <v>1887</v>
      </c>
      <c r="K139" s="13">
        <v>1743</v>
      </c>
      <c r="L139" s="13">
        <v>1611</v>
      </c>
      <c r="M139" s="13">
        <v>2985</v>
      </c>
      <c r="N139" s="13">
        <v>3770</v>
      </c>
      <c r="O139" s="13">
        <v>4411</v>
      </c>
      <c r="P139" s="13">
        <v>5033</v>
      </c>
      <c r="Q139" s="14">
        <f t="shared" si="5"/>
        <v>46060</v>
      </c>
      <c r="R139" s="2" t="s">
        <v>834</v>
      </c>
    </row>
    <row r="140" spans="1:18" hidden="1" x14ac:dyDescent="0.3">
      <c r="A140" s="1">
        <f t="shared" si="4"/>
        <v>138</v>
      </c>
      <c r="B140" s="1">
        <v>1209</v>
      </c>
      <c r="C140" s="7">
        <v>101209</v>
      </c>
      <c r="D140" t="str">
        <f>VLOOKUP(B140,[2]Electricity!$A$8:$D$326,4,0)</f>
        <v>KB Plaza, Shakargarh</v>
      </c>
      <c r="E140" s="12">
        <v>2093</v>
      </c>
      <c r="F140" s="13">
        <v>2634</v>
      </c>
      <c r="G140" s="13">
        <v>3176</v>
      </c>
      <c r="H140" s="13">
        <v>2045</v>
      </c>
      <c r="I140" s="13">
        <v>1603</v>
      </c>
      <c r="J140" s="13">
        <v>1267</v>
      </c>
      <c r="K140" s="13">
        <v>1107</v>
      </c>
      <c r="L140" s="13">
        <v>1349</v>
      </c>
      <c r="M140" s="13">
        <v>1800</v>
      </c>
      <c r="N140" s="13">
        <v>3009</v>
      </c>
      <c r="O140" s="13">
        <v>2334</v>
      </c>
      <c r="P140" s="13">
        <v>2182</v>
      </c>
      <c r="Q140" s="14">
        <f t="shared" si="5"/>
        <v>24599</v>
      </c>
      <c r="R140" s="2" t="s">
        <v>834</v>
      </c>
    </row>
    <row r="141" spans="1:18" hidden="1" x14ac:dyDescent="0.3">
      <c r="A141" s="1">
        <f t="shared" si="4"/>
        <v>139</v>
      </c>
      <c r="B141" s="1">
        <v>1210</v>
      </c>
      <c r="C141" s="7">
        <v>101210</v>
      </c>
      <c r="D141" t="str">
        <f>VLOOKUP(B141,[2]Electricity!$A$8:$D$326,4,0)</f>
        <v>Super Chowk, Lodhran</v>
      </c>
      <c r="E141" s="12">
        <v>2811</v>
      </c>
      <c r="F141" s="13">
        <v>3938</v>
      </c>
      <c r="G141" s="13">
        <v>4018</v>
      </c>
      <c r="H141" s="13">
        <v>4077</v>
      </c>
      <c r="I141" s="13">
        <v>3158</v>
      </c>
      <c r="J141" s="13">
        <v>2164</v>
      </c>
      <c r="K141" s="13">
        <v>2297</v>
      </c>
      <c r="L141" s="13">
        <v>2477</v>
      </c>
      <c r="M141" s="13">
        <v>2395</v>
      </c>
      <c r="N141" s="13">
        <v>3959</v>
      </c>
      <c r="O141" s="13">
        <v>3655</v>
      </c>
      <c r="P141" s="13">
        <v>5126</v>
      </c>
      <c r="Q141" s="14">
        <f t="shared" si="5"/>
        <v>40075</v>
      </c>
      <c r="R141" s="2" t="s">
        <v>834</v>
      </c>
    </row>
    <row r="142" spans="1:18" hidden="1" x14ac:dyDescent="0.3">
      <c r="A142" s="1">
        <f t="shared" si="4"/>
        <v>140</v>
      </c>
      <c r="B142" s="1">
        <v>1212</v>
      </c>
      <c r="C142" s="1">
        <v>101212</v>
      </c>
      <c r="D142" t="str">
        <f>VLOOKUP(B142,[2]Electricity!$A$8:$D$326,4,0)</f>
        <v>Northwalk Mall, Karachi</v>
      </c>
      <c r="E142" s="71" t="s">
        <v>17</v>
      </c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3"/>
      <c r="Q142" s="14">
        <f t="shared" si="5"/>
        <v>0</v>
      </c>
    </row>
    <row r="143" spans="1:18" hidden="1" x14ac:dyDescent="0.3">
      <c r="A143" s="1">
        <f t="shared" si="4"/>
        <v>141</v>
      </c>
      <c r="B143" s="1">
        <v>1213</v>
      </c>
      <c r="C143" s="7">
        <v>101213</v>
      </c>
      <c r="D143" t="str">
        <f>VLOOKUP(B143,[2]Electricity!$A$8:$D$326,4,0)</f>
        <v>Quied e Azam Road, Haroonabad</v>
      </c>
      <c r="E143" s="12">
        <f>1382+1445</f>
        <v>2827</v>
      </c>
      <c r="F143" s="13">
        <f>1681+1138+1619</f>
        <v>4438</v>
      </c>
      <c r="G143" s="13">
        <f>1536+1088+1943</f>
        <v>4567</v>
      </c>
      <c r="H143" s="13">
        <f>1421+1434+1169</f>
        <v>4024</v>
      </c>
      <c r="I143" s="13">
        <f>911+1216+1050</f>
        <v>3177</v>
      </c>
      <c r="J143" s="13">
        <f>918+843+925</f>
        <v>2686</v>
      </c>
      <c r="K143" s="13">
        <f>1448+1099+1112</f>
        <v>3659</v>
      </c>
      <c r="L143" s="13">
        <f>1302+969+956</f>
        <v>3227</v>
      </c>
      <c r="M143" s="13">
        <f>1245+1189+1132</f>
        <v>3566</v>
      </c>
      <c r="N143" s="13">
        <f>1457+1574+1904</f>
        <v>4935</v>
      </c>
      <c r="O143" s="13">
        <f>1843+1362+2026</f>
        <v>5231</v>
      </c>
      <c r="P143" s="13">
        <f>1568+1338+1860</f>
        <v>4766</v>
      </c>
      <c r="Q143" s="14">
        <f t="shared" si="5"/>
        <v>47103</v>
      </c>
      <c r="R143" s="2" t="s">
        <v>834</v>
      </c>
    </row>
    <row r="144" spans="1:18" hidden="1" x14ac:dyDescent="0.3">
      <c r="A144" s="1">
        <f t="shared" si="4"/>
        <v>142</v>
      </c>
      <c r="B144" s="1">
        <v>1215</v>
      </c>
      <c r="C144" s="1">
        <v>101215</v>
      </c>
      <c r="D144" t="str">
        <f>VLOOKUP(B144,[2]Electricity!$A$8:$D$326,4,0)</f>
        <v>Square One Mall, Karachi</v>
      </c>
      <c r="E144" s="71" t="s">
        <v>17</v>
      </c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3"/>
      <c r="Q144" s="14">
        <f t="shared" si="5"/>
        <v>0</v>
      </c>
      <c r="R144" s="2" t="s">
        <v>18</v>
      </c>
    </row>
    <row r="145" spans="1:18" hidden="1" x14ac:dyDescent="0.3">
      <c r="A145" s="1">
        <f t="shared" si="4"/>
        <v>143</v>
      </c>
      <c r="B145" s="1">
        <v>1216</v>
      </c>
      <c r="C145" s="7">
        <v>101216</v>
      </c>
      <c r="D145" t="str">
        <f>VLOOKUP(B145,[2]Electricity!$A$8:$D$326,4,0)</f>
        <v>CP Iqbal Town, Lahore</v>
      </c>
      <c r="E145" s="12">
        <f>2498+2517</f>
        <v>5015</v>
      </c>
      <c r="F145" s="13">
        <f>3116+4209</f>
        <v>7325</v>
      </c>
      <c r="G145" s="13">
        <f>3125+4655</f>
        <v>7780</v>
      </c>
      <c r="H145" s="13">
        <f>2169+3853</f>
        <v>6022</v>
      </c>
      <c r="I145" s="13">
        <f>1834+2518</f>
        <v>4352</v>
      </c>
      <c r="J145" s="13">
        <f>1918+2128</f>
        <v>4046</v>
      </c>
      <c r="K145" s="13">
        <f>1543+1951</f>
        <v>3494</v>
      </c>
      <c r="L145" s="13">
        <f>1769+2082</f>
        <v>3851</v>
      </c>
      <c r="M145" s="13">
        <f>2308+3565</f>
        <v>5873</v>
      </c>
      <c r="N145" s="13">
        <f>2474+3835</f>
        <v>6309</v>
      </c>
      <c r="O145" s="13">
        <f>3381+4541</f>
        <v>7922</v>
      </c>
      <c r="P145" s="13">
        <f>2813+3482</f>
        <v>6295</v>
      </c>
      <c r="Q145" s="14">
        <f t="shared" si="5"/>
        <v>68284</v>
      </c>
      <c r="R145" s="2" t="s">
        <v>834</v>
      </c>
    </row>
    <row r="146" spans="1:18" hidden="1" x14ac:dyDescent="0.3">
      <c r="A146" s="1">
        <f t="shared" si="4"/>
        <v>144</v>
      </c>
      <c r="B146" s="1">
        <v>1217</v>
      </c>
      <c r="C146" s="7">
        <v>101217</v>
      </c>
      <c r="D146" t="str">
        <f>VLOOKUP(B146,[2]Electricity!$A$8:$D$326,4,0)</f>
        <v>Tando Adam</v>
      </c>
      <c r="E146" s="17">
        <v>2263</v>
      </c>
      <c r="F146" s="13">
        <v>1903</v>
      </c>
      <c r="G146" s="13">
        <v>2252</v>
      </c>
      <c r="H146" s="13">
        <v>2174</v>
      </c>
      <c r="I146" s="13">
        <v>2049</v>
      </c>
      <c r="J146" s="13">
        <v>940</v>
      </c>
      <c r="K146" s="13">
        <v>628</v>
      </c>
      <c r="L146" s="13">
        <v>668</v>
      </c>
      <c r="M146" s="13">
        <v>1050</v>
      </c>
      <c r="N146" s="18">
        <v>1825</v>
      </c>
      <c r="O146" s="18">
        <v>777</v>
      </c>
      <c r="P146" s="18">
        <v>0</v>
      </c>
      <c r="Q146" s="14">
        <f t="shared" si="5"/>
        <v>16529</v>
      </c>
      <c r="R146" s="2" t="s">
        <v>845</v>
      </c>
    </row>
    <row r="147" spans="1:18" hidden="1" x14ac:dyDescent="0.3">
      <c r="A147" s="1">
        <f t="shared" si="4"/>
        <v>145</v>
      </c>
      <c r="B147" s="1">
        <v>1218</v>
      </c>
      <c r="C147" s="7">
        <v>101218</v>
      </c>
      <c r="D147" t="str">
        <f>VLOOKUP(B147,[2]Electricity!$A$8:$D$326,4,0)</f>
        <v>Deori Roda, Ghotki</v>
      </c>
      <c r="E147" s="12">
        <v>2580</v>
      </c>
      <c r="F147" s="13">
        <v>2560</v>
      </c>
      <c r="G147" s="13">
        <v>1800</v>
      </c>
      <c r="H147" s="13">
        <v>2000</v>
      </c>
      <c r="I147" s="13">
        <v>1580</v>
      </c>
      <c r="J147" s="13">
        <v>600</v>
      </c>
      <c r="K147" s="13">
        <v>560</v>
      </c>
      <c r="L147" s="13">
        <v>740</v>
      </c>
      <c r="M147" s="13">
        <v>860</v>
      </c>
      <c r="N147" s="13">
        <v>1520</v>
      </c>
      <c r="O147" s="13">
        <v>1560</v>
      </c>
      <c r="P147" s="13">
        <v>2060</v>
      </c>
      <c r="Q147" s="14">
        <f t="shared" si="5"/>
        <v>18420</v>
      </c>
      <c r="R147" s="2" t="s">
        <v>834</v>
      </c>
    </row>
    <row r="148" spans="1:18" hidden="1" x14ac:dyDescent="0.3">
      <c r="A148" s="1">
        <f t="shared" si="4"/>
        <v>146</v>
      </c>
      <c r="B148" s="1">
        <v>1219</v>
      </c>
      <c r="C148" s="7">
        <v>101219</v>
      </c>
      <c r="D148" t="str">
        <f>VLOOKUP(B148,[2]Electricity!$A$8:$D$326,4,0)</f>
        <v>Qasimabad</v>
      </c>
      <c r="E148" s="12">
        <f>1892+850</f>
        <v>2742</v>
      </c>
      <c r="F148" s="13">
        <f>1956+635</f>
        <v>2591</v>
      </c>
      <c r="G148" s="13">
        <f>2380+522</f>
        <v>2902</v>
      </c>
      <c r="H148" s="13">
        <f>1945+280</f>
        <v>2225</v>
      </c>
      <c r="I148" s="13">
        <f>1734+92</f>
        <v>1826</v>
      </c>
      <c r="J148" s="13">
        <f>867+8</f>
        <v>875</v>
      </c>
      <c r="K148" s="13">
        <f>843+2</f>
        <v>845</v>
      </c>
      <c r="L148" s="13">
        <f>1184+78</f>
        <v>1262</v>
      </c>
      <c r="M148" s="13">
        <f>1857+647</f>
        <v>2504</v>
      </c>
      <c r="N148" s="13">
        <f>2265+1151</f>
        <v>3416</v>
      </c>
      <c r="O148" s="13">
        <f>2302+1124</f>
        <v>3426</v>
      </c>
      <c r="P148" s="13">
        <f>2190+930</f>
        <v>3120</v>
      </c>
      <c r="Q148" s="14">
        <f t="shared" si="5"/>
        <v>27734</v>
      </c>
      <c r="R148" s="2" t="s">
        <v>834</v>
      </c>
    </row>
    <row r="149" spans="1:18" hidden="1" x14ac:dyDescent="0.3">
      <c r="A149" s="1">
        <f t="shared" si="4"/>
        <v>147</v>
      </c>
      <c r="B149" s="1">
        <v>1220</v>
      </c>
      <c r="C149" s="1">
        <v>101220</v>
      </c>
      <c r="D149" t="str">
        <f>VLOOKUP(B149,[2]Electricity!$A$8:$D$326,4,0)</f>
        <v>Atrium Mall, Karachi</v>
      </c>
      <c r="E149" s="71" t="s">
        <v>17</v>
      </c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3"/>
      <c r="Q149" s="14">
        <f t="shared" si="5"/>
        <v>0</v>
      </c>
      <c r="R149" s="2" t="s">
        <v>18</v>
      </c>
    </row>
    <row r="150" spans="1:18" hidden="1" x14ac:dyDescent="0.3">
      <c r="A150" s="1">
        <f t="shared" si="4"/>
        <v>148</v>
      </c>
      <c r="B150" s="1">
        <v>1221</v>
      </c>
      <c r="C150" s="7">
        <v>101221</v>
      </c>
      <c r="D150" t="str">
        <f>VLOOKUP(B150,[2]Electricity!$A$8:$D$326,4,0)</f>
        <v>Gulshan-e-Maymar, Karachi</v>
      </c>
      <c r="E150" s="12">
        <v>1946</v>
      </c>
      <c r="F150" s="13">
        <v>1847</v>
      </c>
      <c r="G150" s="13">
        <v>1923</v>
      </c>
      <c r="H150" s="13">
        <v>1748</v>
      </c>
      <c r="I150" s="13">
        <v>2455</v>
      </c>
      <c r="J150" s="13">
        <v>1938</v>
      </c>
      <c r="K150" s="13">
        <v>1207</v>
      </c>
      <c r="L150" s="13">
        <v>1306</v>
      </c>
      <c r="M150" s="13">
        <v>2127</v>
      </c>
      <c r="N150" s="13">
        <v>3013</v>
      </c>
      <c r="O150" s="13">
        <v>2939</v>
      </c>
      <c r="P150" s="13">
        <v>2488</v>
      </c>
      <c r="Q150" s="14">
        <f t="shared" si="5"/>
        <v>24937</v>
      </c>
      <c r="R150" s="2" t="s">
        <v>834</v>
      </c>
    </row>
    <row r="151" spans="1:18" hidden="1" x14ac:dyDescent="0.3">
      <c r="A151" s="1">
        <f t="shared" si="4"/>
        <v>149</v>
      </c>
      <c r="B151" s="1">
        <v>1222</v>
      </c>
      <c r="C151" s="7">
        <v>101222</v>
      </c>
      <c r="D151" t="str">
        <f>VLOOKUP(B151,[2]Electricity!$A$8:$D$326,4,0)</f>
        <v>Zamzama, Karachi</v>
      </c>
      <c r="E151" s="12">
        <f>1850+2570</f>
        <v>4420</v>
      </c>
      <c r="F151" s="13">
        <f>1597+2077</f>
        <v>3674</v>
      </c>
      <c r="G151" s="13">
        <f>1717+2023</f>
        <v>3740</v>
      </c>
      <c r="H151" s="13">
        <f>1537+2566</f>
        <v>4103</v>
      </c>
      <c r="I151" s="13">
        <f>1755+2443</f>
        <v>4198</v>
      </c>
      <c r="J151" s="13">
        <f>1926+1827</f>
        <v>3753</v>
      </c>
      <c r="K151" s="13">
        <f>1838+579</f>
        <v>2417</v>
      </c>
      <c r="L151" s="13">
        <f>2124+908</f>
        <v>3032</v>
      </c>
      <c r="M151" s="13">
        <f>1974+1273</f>
        <v>3247</v>
      </c>
      <c r="N151" s="13">
        <f>2316+2189</f>
        <v>4505</v>
      </c>
      <c r="O151" s="13">
        <f>1817+1987+388+506</f>
        <v>4698</v>
      </c>
      <c r="P151" s="13">
        <f>1031+526+1294+1777</f>
        <v>4628</v>
      </c>
      <c r="Q151" s="14">
        <f t="shared" si="5"/>
        <v>46415</v>
      </c>
      <c r="R151" s="2" t="s">
        <v>834</v>
      </c>
    </row>
    <row r="152" spans="1:18" hidden="1" x14ac:dyDescent="0.3">
      <c r="A152" s="1">
        <f t="shared" si="4"/>
        <v>150</v>
      </c>
      <c r="B152" s="1">
        <v>1223</v>
      </c>
      <c r="C152" s="7">
        <v>101223</v>
      </c>
      <c r="D152" t="str">
        <f>VLOOKUP(B152,[2]Electricity!$A$8:$D$326,4,0)</f>
        <v>Railway Road, Bannu</v>
      </c>
      <c r="E152" s="12">
        <v>1342</v>
      </c>
      <c r="F152" s="13">
        <v>1970</v>
      </c>
      <c r="G152" s="13">
        <v>265</v>
      </c>
      <c r="H152" s="13">
        <v>4001</v>
      </c>
      <c r="I152" s="13">
        <v>1372</v>
      </c>
      <c r="J152" s="13">
        <v>1049</v>
      </c>
      <c r="K152" s="13">
        <v>853</v>
      </c>
      <c r="L152" s="13">
        <v>971</v>
      </c>
      <c r="M152" s="13">
        <v>781</v>
      </c>
      <c r="N152" s="13">
        <v>860</v>
      </c>
      <c r="O152" s="13">
        <v>1831</v>
      </c>
      <c r="P152" s="13">
        <v>1743</v>
      </c>
      <c r="Q152" s="14">
        <f t="shared" si="5"/>
        <v>17038</v>
      </c>
      <c r="R152" s="2" t="s">
        <v>834</v>
      </c>
    </row>
    <row r="153" spans="1:18" hidden="1" x14ac:dyDescent="0.3">
      <c r="A153" s="1">
        <f t="shared" si="4"/>
        <v>151</v>
      </c>
      <c r="B153" s="1">
        <v>1224</v>
      </c>
      <c r="C153" s="7">
        <v>101224</v>
      </c>
      <c r="D153" t="str">
        <f>VLOOKUP(B153,[2]Electricity!$A$8:$D$326,4,0)</f>
        <v>Kot Radha Kishan</v>
      </c>
      <c r="E153" s="12">
        <v>3092</v>
      </c>
      <c r="F153" s="13">
        <v>2091</v>
      </c>
      <c r="G153" s="13">
        <v>3979</v>
      </c>
      <c r="H153" s="13">
        <v>990</v>
      </c>
      <c r="I153" s="13">
        <v>1301</v>
      </c>
      <c r="J153" s="13">
        <v>2585</v>
      </c>
      <c r="K153" s="13">
        <v>2508</v>
      </c>
      <c r="L153" s="13">
        <v>1837</v>
      </c>
      <c r="M153" s="13">
        <v>1773</v>
      </c>
      <c r="N153" s="13">
        <v>2398</v>
      </c>
      <c r="O153" s="13">
        <v>3919</v>
      </c>
      <c r="P153" s="13">
        <v>3349</v>
      </c>
      <c r="Q153" s="14">
        <f t="shared" si="5"/>
        <v>29822</v>
      </c>
      <c r="R153" s="2" t="s">
        <v>834</v>
      </c>
    </row>
    <row r="154" spans="1:18" hidden="1" x14ac:dyDescent="0.3">
      <c r="A154" s="1">
        <f t="shared" si="4"/>
        <v>152</v>
      </c>
      <c r="B154" s="1">
        <v>1225</v>
      </c>
      <c r="C154" s="7">
        <v>101225</v>
      </c>
      <c r="D154" t="str">
        <f>VLOOKUP(B154,[2]Electricity!$A$8:$D$326,4,0)</f>
        <v>Gulshan-e-Hadeed, Karachi</v>
      </c>
      <c r="E154" s="12">
        <v>3997</v>
      </c>
      <c r="F154" s="13">
        <v>4720</v>
      </c>
      <c r="G154" s="13">
        <v>4309</v>
      </c>
      <c r="H154" s="13">
        <v>4654</v>
      </c>
      <c r="I154" s="13">
        <v>4640</v>
      </c>
      <c r="J154" s="13">
        <v>4229</v>
      </c>
      <c r="K154" s="13">
        <v>2310</v>
      </c>
      <c r="L154" s="13">
        <v>1915</v>
      </c>
      <c r="M154" s="13">
        <v>3737</v>
      </c>
      <c r="N154" s="13">
        <v>6213</v>
      </c>
      <c r="O154" s="13">
        <v>6037</v>
      </c>
      <c r="P154" s="13">
        <v>7080</v>
      </c>
      <c r="Q154" s="14">
        <f t="shared" si="5"/>
        <v>53841</v>
      </c>
      <c r="R154" s="2" t="s">
        <v>834</v>
      </c>
    </row>
    <row r="155" spans="1:18" hidden="1" x14ac:dyDescent="0.3">
      <c r="A155" s="1">
        <f t="shared" si="4"/>
        <v>153</v>
      </c>
      <c r="B155" s="1">
        <v>1226</v>
      </c>
      <c r="C155" s="1">
        <v>101226</v>
      </c>
      <c r="D155" t="str">
        <f>VLOOKUP(B155,[2]Electricity!$A$8:$D$326,4,0)</f>
        <v>Fortune Arcade, Hyderabad</v>
      </c>
      <c r="E155" s="71" t="s">
        <v>17</v>
      </c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3"/>
      <c r="Q155" s="14">
        <f t="shared" si="5"/>
        <v>0</v>
      </c>
    </row>
    <row r="156" spans="1:18" hidden="1" x14ac:dyDescent="0.3">
      <c r="A156" s="1">
        <f t="shared" si="4"/>
        <v>154</v>
      </c>
      <c r="B156" s="1">
        <v>1228</v>
      </c>
      <c r="C156" s="7">
        <v>101228</v>
      </c>
      <c r="D156" t="str">
        <f>VLOOKUP(B156,[2]Electricity!$A$8:$D$326,4,0)</f>
        <v>Haque Center, Bahawalpur</v>
      </c>
      <c r="E156" s="12">
        <v>9920</v>
      </c>
      <c r="F156" s="13">
        <v>10220</v>
      </c>
      <c r="G156" s="13">
        <v>10240</v>
      </c>
      <c r="H156" s="13">
        <v>10040</v>
      </c>
      <c r="I156" s="13">
        <v>8360</v>
      </c>
      <c r="J156" s="13">
        <v>5740</v>
      </c>
      <c r="K156" s="13">
        <v>4040</v>
      </c>
      <c r="L156" s="13">
        <v>3053</v>
      </c>
      <c r="M156" s="13">
        <v>3598</v>
      </c>
      <c r="N156" s="13">
        <v>5738</v>
      </c>
      <c r="O156" s="13">
        <v>7029</v>
      </c>
      <c r="P156" s="13">
        <v>7363</v>
      </c>
      <c r="Q156" s="14">
        <f t="shared" si="5"/>
        <v>85341</v>
      </c>
      <c r="R156" s="2" t="s">
        <v>834</v>
      </c>
    </row>
    <row r="157" spans="1:18" hidden="1" x14ac:dyDescent="0.3">
      <c r="A157" s="1">
        <f t="shared" si="4"/>
        <v>155</v>
      </c>
      <c r="B157" s="1">
        <v>1229</v>
      </c>
      <c r="C157" s="7">
        <v>101229</v>
      </c>
      <c r="D157" t="str">
        <f>VLOOKUP(B157,[2]Electricity!$A$8:$D$326,4,0)</f>
        <v>Madina Chowk, Dipalpur</v>
      </c>
      <c r="E157" s="12">
        <f>151+3882</f>
        <v>4033</v>
      </c>
      <c r="F157" s="13">
        <f>146+4509</f>
        <v>4655</v>
      </c>
      <c r="G157" s="13">
        <f>160+3341</f>
        <v>3501</v>
      </c>
      <c r="H157" s="13">
        <f>160+3141</f>
        <v>3301</v>
      </c>
      <c r="I157" s="13">
        <f>124+2181</f>
        <v>2305</v>
      </c>
      <c r="J157" s="13">
        <f>59+4467</f>
        <v>4526</v>
      </c>
      <c r="K157" s="13">
        <f>56+1846</f>
        <v>1902</v>
      </c>
      <c r="L157" s="13">
        <f>55+1809</f>
        <v>1864</v>
      </c>
      <c r="M157" s="13">
        <f>52+3043</f>
        <v>3095</v>
      </c>
      <c r="N157" s="13">
        <f>93+3037</f>
        <v>3130</v>
      </c>
      <c r="O157" s="13">
        <f>141+3646</f>
        <v>3787</v>
      </c>
      <c r="P157" s="13">
        <f>161+3441</f>
        <v>3602</v>
      </c>
      <c r="Q157" s="14">
        <f t="shared" si="5"/>
        <v>39701</v>
      </c>
      <c r="R157" s="2" t="s">
        <v>834</v>
      </c>
    </row>
    <row r="158" spans="1:18" hidden="1" x14ac:dyDescent="0.3">
      <c r="A158" s="1">
        <f t="shared" si="4"/>
        <v>156</v>
      </c>
      <c r="B158" s="1">
        <v>1230</v>
      </c>
      <c r="C158" s="7">
        <v>101230</v>
      </c>
      <c r="D158" t="str">
        <f>VLOOKUP(B158,[2]Electricity!$A$8:$D$326,4,0)</f>
        <v>Pasrur</v>
      </c>
      <c r="E158" s="12">
        <v>2823</v>
      </c>
      <c r="F158" s="13">
        <v>3013</v>
      </c>
      <c r="G158" s="13">
        <v>0</v>
      </c>
      <c r="H158" s="13">
        <v>6584</v>
      </c>
      <c r="I158" s="13">
        <v>4910</v>
      </c>
      <c r="J158" s="13">
        <v>2756</v>
      </c>
      <c r="K158" s="13">
        <v>2859</v>
      </c>
      <c r="L158" s="13">
        <v>2521</v>
      </c>
      <c r="M158" s="13">
        <v>2937</v>
      </c>
      <c r="N158" s="13">
        <v>2575</v>
      </c>
      <c r="O158" s="13">
        <v>3103</v>
      </c>
      <c r="P158" s="13">
        <v>3083</v>
      </c>
      <c r="Q158" s="14">
        <f t="shared" si="5"/>
        <v>37164</v>
      </c>
      <c r="R158" s="2" t="s">
        <v>834</v>
      </c>
    </row>
    <row r="159" spans="1:18" hidden="1" x14ac:dyDescent="0.3">
      <c r="A159" s="1">
        <f t="shared" si="4"/>
        <v>157</v>
      </c>
      <c r="B159" s="1">
        <v>1231</v>
      </c>
      <c r="C159" s="7">
        <v>101231</v>
      </c>
      <c r="D159" t="str">
        <f>VLOOKUP(B159,[2]Electricity!$A$8:$D$326,4,0)</f>
        <v>Tandlianwala</v>
      </c>
      <c r="E159" s="12">
        <v>4664</v>
      </c>
      <c r="F159" s="13">
        <v>5062</v>
      </c>
      <c r="G159" s="13">
        <v>4004</v>
      </c>
      <c r="H159" s="13">
        <v>2946</v>
      </c>
      <c r="I159" s="13">
        <v>1832</v>
      </c>
      <c r="J159" s="13">
        <v>1879</v>
      </c>
      <c r="K159" s="13">
        <v>2009</v>
      </c>
      <c r="L159" s="13">
        <v>1822</v>
      </c>
      <c r="M159" s="13">
        <v>2290</v>
      </c>
      <c r="N159" s="13">
        <v>2335</v>
      </c>
      <c r="O159" s="13">
        <v>3289</v>
      </c>
      <c r="P159" s="13">
        <v>3030</v>
      </c>
      <c r="Q159" s="14">
        <f t="shared" si="5"/>
        <v>35162</v>
      </c>
    </row>
    <row r="160" spans="1:18" hidden="1" x14ac:dyDescent="0.3">
      <c r="A160" s="1">
        <f t="shared" si="4"/>
        <v>158</v>
      </c>
      <c r="B160" s="1">
        <v>1232</v>
      </c>
      <c r="C160" s="1">
        <v>101232</v>
      </c>
      <c r="D160" t="str">
        <f>VLOOKUP(B160,[2]Electricity!$A$8:$D$326,4,0)</f>
        <v>Moti Bazar, Rawalpindi</v>
      </c>
      <c r="E160" s="71" t="s">
        <v>19</v>
      </c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3"/>
      <c r="Q160" s="14">
        <f t="shared" si="5"/>
        <v>0</v>
      </c>
      <c r="R160" s="2" t="s">
        <v>23</v>
      </c>
    </row>
    <row r="161" spans="1:19" hidden="1" x14ac:dyDescent="0.3">
      <c r="A161" s="1">
        <f t="shared" si="4"/>
        <v>159</v>
      </c>
      <c r="B161" s="1">
        <v>1233</v>
      </c>
      <c r="C161" s="1">
        <v>101233</v>
      </c>
      <c r="D161" t="str">
        <f>VLOOKUP(B161,[2]Electricity!$A$8:$D$326,4,0)</f>
        <v>Mangla Cantt</v>
      </c>
      <c r="E161" s="71" t="s">
        <v>19</v>
      </c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3"/>
      <c r="Q161" s="14">
        <f t="shared" si="5"/>
        <v>0</v>
      </c>
      <c r="R161" s="2" t="s">
        <v>23</v>
      </c>
    </row>
    <row r="162" spans="1:19" hidden="1" x14ac:dyDescent="0.3">
      <c r="A162" s="1">
        <f t="shared" si="4"/>
        <v>160</v>
      </c>
      <c r="B162" s="1">
        <v>1234</v>
      </c>
      <c r="C162" s="1">
        <v>101234</v>
      </c>
      <c r="D162" t="str">
        <f>VLOOKUP(B162,[2]Electricity!$A$8:$D$326,4,0)</f>
        <v>BA Mall Quetta</v>
      </c>
      <c r="E162" s="71" t="s">
        <v>17</v>
      </c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3"/>
      <c r="Q162" s="14">
        <f t="shared" si="5"/>
        <v>0</v>
      </c>
      <c r="R162" s="2" t="s">
        <v>18</v>
      </c>
    </row>
    <row r="163" spans="1:19" hidden="1" x14ac:dyDescent="0.3">
      <c r="A163" s="1">
        <f t="shared" si="4"/>
        <v>161</v>
      </c>
      <c r="B163" s="1">
        <v>1235</v>
      </c>
      <c r="C163" s="7">
        <v>101235</v>
      </c>
      <c r="D163" t="str">
        <f>VLOOKUP(B163,[2]Electricity!$A$8:$D$326,4,0)</f>
        <v>CP Township, Lahore</v>
      </c>
      <c r="E163" s="12">
        <v>6280</v>
      </c>
      <c r="F163" s="13">
        <v>6220</v>
      </c>
      <c r="G163" s="13">
        <v>6060</v>
      </c>
      <c r="H163" s="13">
        <v>4260</v>
      </c>
      <c r="I163" s="13">
        <v>2980</v>
      </c>
      <c r="J163" s="13">
        <v>2680</v>
      </c>
      <c r="K163" s="13">
        <v>2580</v>
      </c>
      <c r="L163" s="13">
        <v>2360</v>
      </c>
      <c r="M163" s="13">
        <f>2940+1140</f>
        <v>4080</v>
      </c>
      <c r="N163" s="13">
        <v>3720</v>
      </c>
      <c r="O163" s="13">
        <v>5080</v>
      </c>
      <c r="P163" s="13">
        <v>4780</v>
      </c>
      <c r="Q163" s="14">
        <f t="shared" si="5"/>
        <v>51080</v>
      </c>
      <c r="R163" s="2" t="s">
        <v>834</v>
      </c>
    </row>
    <row r="164" spans="1:19" hidden="1" x14ac:dyDescent="0.3">
      <c r="A164" s="1">
        <f t="shared" si="4"/>
        <v>162</v>
      </c>
      <c r="B164" s="1">
        <v>1236</v>
      </c>
      <c r="C164" s="1">
        <v>101236</v>
      </c>
      <c r="D164" t="str">
        <f>VLOOKUP(B164,[2]Electricity!$A$8:$D$326,4,0)</f>
        <v>Lake City, Lahore</v>
      </c>
      <c r="E164" s="71" t="s">
        <v>17</v>
      </c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3"/>
      <c r="Q164" s="14">
        <f t="shared" si="5"/>
        <v>0</v>
      </c>
      <c r="R164" s="2" t="s">
        <v>18</v>
      </c>
    </row>
    <row r="165" spans="1:19" hidden="1" x14ac:dyDescent="0.3">
      <c r="A165" s="1">
        <f t="shared" si="4"/>
        <v>163</v>
      </c>
      <c r="B165" s="1">
        <v>1237</v>
      </c>
      <c r="C165" s="7">
        <v>101237</v>
      </c>
      <c r="D165" t="str">
        <f>VLOOKUP(B165,[2]Electricity!$A$8:$D$326,4,0)</f>
        <v>Model Town, Multan</v>
      </c>
      <c r="E165" s="12">
        <v>4680</v>
      </c>
      <c r="F165" s="13">
        <v>4620</v>
      </c>
      <c r="G165" s="13">
        <v>3824</v>
      </c>
      <c r="H165" s="13">
        <v>4656</v>
      </c>
      <c r="I165" s="13">
        <v>4405</v>
      </c>
      <c r="J165" s="13">
        <v>3228</v>
      </c>
      <c r="K165" s="13">
        <v>2822</v>
      </c>
      <c r="L165" s="13">
        <v>2794</v>
      </c>
      <c r="M165" s="13">
        <v>2658</v>
      </c>
      <c r="N165" s="13">
        <v>4332</v>
      </c>
      <c r="O165" s="13">
        <v>2258</v>
      </c>
      <c r="P165" s="13">
        <v>4943</v>
      </c>
      <c r="Q165" s="14">
        <f t="shared" si="5"/>
        <v>45220</v>
      </c>
      <c r="R165" s="2" t="s">
        <v>834</v>
      </c>
    </row>
    <row r="166" spans="1:19" hidden="1" x14ac:dyDescent="0.3">
      <c r="A166" s="1">
        <f t="shared" si="4"/>
        <v>164</v>
      </c>
      <c r="B166" s="1">
        <v>1238</v>
      </c>
      <c r="C166" s="1">
        <v>101238</v>
      </c>
      <c r="D166" t="str">
        <f>VLOOKUP(B166,[2]Electricity!$A$8:$D$326,4,0)</f>
        <v>Amazon Mall ISL</v>
      </c>
      <c r="E166" s="71" t="s">
        <v>17</v>
      </c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3"/>
      <c r="Q166" s="14">
        <f t="shared" si="5"/>
        <v>0</v>
      </c>
      <c r="R166" s="2" t="s">
        <v>18</v>
      </c>
    </row>
    <row r="167" spans="1:19" hidden="1" x14ac:dyDescent="0.3">
      <c r="A167" s="1">
        <f t="shared" si="4"/>
        <v>165</v>
      </c>
      <c r="B167" s="1">
        <v>1239</v>
      </c>
      <c r="C167" s="7">
        <v>101239</v>
      </c>
      <c r="D167" t="str">
        <f>VLOOKUP(B167,[2]Electricity!$A$8:$D$326,4,0)</f>
        <v>Hussain Agahi, Multan</v>
      </c>
      <c r="E167" s="12">
        <f>1311+2638</f>
        <v>3949</v>
      </c>
      <c r="F167" s="13">
        <f>1831+2170</f>
        <v>4001</v>
      </c>
      <c r="G167" s="13">
        <f>1823+2076</f>
        <v>3899</v>
      </c>
      <c r="H167" s="13">
        <f>1400+2358</f>
        <v>3758</v>
      </c>
      <c r="I167" s="13">
        <f>1312+2528</f>
        <v>3840</v>
      </c>
      <c r="J167" s="13">
        <f>639+1277</f>
        <v>1916</v>
      </c>
      <c r="K167" s="13">
        <f>415+1470</f>
        <v>1885</v>
      </c>
      <c r="L167" s="13">
        <f>501+1376</f>
        <v>1877</v>
      </c>
      <c r="M167" s="13">
        <f>527+1209</f>
        <v>1736</v>
      </c>
      <c r="N167" s="13">
        <f>940+1869</f>
        <v>2809</v>
      </c>
      <c r="O167" s="13">
        <f>810+2087</f>
        <v>2897</v>
      </c>
      <c r="P167" s="13">
        <f>1123+1952</f>
        <v>3075</v>
      </c>
      <c r="Q167" s="14">
        <f t="shared" si="5"/>
        <v>35642</v>
      </c>
      <c r="R167" s="2" t="s">
        <v>834</v>
      </c>
    </row>
    <row r="168" spans="1:19" hidden="1" x14ac:dyDescent="0.3">
      <c r="A168" s="1">
        <f t="shared" si="4"/>
        <v>166</v>
      </c>
      <c r="B168" s="1">
        <v>1240</v>
      </c>
      <c r="C168" s="1">
        <v>101240</v>
      </c>
      <c r="D168" t="str">
        <f>VLOOKUP(B168,[2]Electricity!$A$8:$D$326,4,0)</f>
        <v>Hasil Pur</v>
      </c>
      <c r="E168" s="12">
        <f>3013+2429</f>
        <v>5442</v>
      </c>
      <c r="F168" s="13">
        <f>3284+2338</f>
        <v>5622</v>
      </c>
      <c r="G168" s="13">
        <f>3466+2283</f>
        <v>5749</v>
      </c>
      <c r="H168" s="13">
        <f>3231+2231</f>
        <v>5462</v>
      </c>
      <c r="I168" s="13">
        <f>3384+1666</f>
        <v>5050</v>
      </c>
      <c r="J168" s="13">
        <f>3311+545</f>
        <v>3856</v>
      </c>
      <c r="K168" s="13">
        <f>3173+121</f>
        <v>3294</v>
      </c>
      <c r="L168" s="13">
        <f>3019+111</f>
        <v>3130</v>
      </c>
      <c r="M168" s="13">
        <f>3261+141</f>
        <v>3402</v>
      </c>
      <c r="N168" s="13">
        <f>4029+1475</f>
        <v>5504</v>
      </c>
      <c r="O168" s="13">
        <f>3513+2002</f>
        <v>5515</v>
      </c>
      <c r="P168" s="13">
        <f>3178+2562</f>
        <v>5740</v>
      </c>
      <c r="Q168" s="14">
        <f t="shared" si="5"/>
        <v>57766</v>
      </c>
      <c r="R168" s="2" t="s">
        <v>834</v>
      </c>
    </row>
    <row r="169" spans="1:19" hidden="1" x14ac:dyDescent="0.3">
      <c r="A169" s="1">
        <f t="shared" si="4"/>
        <v>167</v>
      </c>
      <c r="B169" s="1">
        <v>1241</v>
      </c>
      <c r="C169" s="1">
        <v>101241</v>
      </c>
      <c r="D169" t="str">
        <f>VLOOKUP(B169,[2]Electricity!$A$8:$D$326,4,0)</f>
        <v>Mall of Sargodha</v>
      </c>
      <c r="E169" s="71" t="s">
        <v>17</v>
      </c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3"/>
      <c r="Q169" s="14">
        <f t="shared" si="5"/>
        <v>0</v>
      </c>
      <c r="R169" s="2" t="s">
        <v>18</v>
      </c>
    </row>
    <row r="170" spans="1:19" hidden="1" x14ac:dyDescent="0.3">
      <c r="A170" s="1">
        <f t="shared" si="4"/>
        <v>168</v>
      </c>
      <c r="B170" s="1">
        <v>1242</v>
      </c>
      <c r="C170" s="1">
        <v>101242</v>
      </c>
      <c r="D170" t="str">
        <f>VLOOKUP(B170,[2]Electricity!$A$8:$D$326,4,0)</f>
        <v>Dolmen Mall LHR Site</v>
      </c>
      <c r="E170" s="71" t="s">
        <v>17</v>
      </c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3"/>
      <c r="Q170" s="14">
        <f t="shared" si="5"/>
        <v>0</v>
      </c>
      <c r="R170" s="2" t="s">
        <v>18</v>
      </c>
    </row>
    <row r="171" spans="1:19" hidden="1" x14ac:dyDescent="0.3">
      <c r="A171" s="1">
        <f t="shared" si="4"/>
        <v>169</v>
      </c>
      <c r="B171" s="1">
        <v>1243</v>
      </c>
      <c r="C171" s="7">
        <v>101243</v>
      </c>
      <c r="D171" t="str">
        <f>VLOOKUP(B171,[2]Electricity!$A$8:$D$326,4,0)</f>
        <v>Pine Square</v>
      </c>
      <c r="E171" s="12">
        <v>4111</v>
      </c>
      <c r="F171" s="13">
        <v>4680</v>
      </c>
      <c r="G171" s="13">
        <v>4374</v>
      </c>
      <c r="H171" s="13">
        <v>3662</v>
      </c>
      <c r="I171" s="13">
        <v>1984</v>
      </c>
      <c r="J171" s="13">
        <v>1870</v>
      </c>
      <c r="K171" s="13">
        <v>1766</v>
      </c>
      <c r="L171" s="13">
        <v>1399</v>
      </c>
      <c r="M171" s="13">
        <f>117+48</f>
        <v>165</v>
      </c>
      <c r="N171" s="13">
        <v>1069</v>
      </c>
      <c r="O171" s="13">
        <v>1373</v>
      </c>
      <c r="P171" s="13">
        <v>2098</v>
      </c>
      <c r="Q171" s="14">
        <f t="shared" si="5"/>
        <v>28551</v>
      </c>
      <c r="R171" s="2" t="s">
        <v>834</v>
      </c>
    </row>
    <row r="172" spans="1:19" hidden="1" x14ac:dyDescent="0.3">
      <c r="A172" s="1">
        <f t="shared" si="4"/>
        <v>170</v>
      </c>
      <c r="B172" s="1">
        <v>1244</v>
      </c>
      <c r="C172" s="1">
        <v>101244</v>
      </c>
      <c r="D172" t="str">
        <f>VLOOKUP(B172,[2]Electricity!$A$8:$D$326,4,0)</f>
        <v>Malir Cantt, Karachi</v>
      </c>
      <c r="E172" s="71" t="s">
        <v>17</v>
      </c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3"/>
      <c r="Q172" s="14">
        <f t="shared" si="5"/>
        <v>0</v>
      </c>
    </row>
    <row r="173" spans="1:19" hidden="1" x14ac:dyDescent="0.3">
      <c r="A173" s="1">
        <f t="shared" si="4"/>
        <v>171</v>
      </c>
      <c r="B173" s="1">
        <v>1245</v>
      </c>
      <c r="C173" s="1">
        <v>101245</v>
      </c>
      <c r="D173" t="str">
        <f>VLOOKUP(B173,[2]Electricity!$A$8:$D$326,4,0)</f>
        <v>Arif Bazar, Burewala</v>
      </c>
      <c r="E173" s="71" t="s">
        <v>19</v>
      </c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3"/>
      <c r="Q173" s="14">
        <f t="shared" si="5"/>
        <v>0</v>
      </c>
      <c r="S173" s="2"/>
    </row>
    <row r="174" spans="1:19" hidden="1" x14ac:dyDescent="0.3">
      <c r="A174" s="1">
        <f t="shared" si="4"/>
        <v>172</v>
      </c>
      <c r="B174" s="1">
        <v>1246</v>
      </c>
      <c r="C174" s="7">
        <v>101246</v>
      </c>
      <c r="D174" t="str">
        <f>VLOOKUP(B174,[2]Electricity!$A$8:$D$326,4,0)</f>
        <v>Mandi Road, Pakpattan</v>
      </c>
      <c r="E174" s="12">
        <v>7168</v>
      </c>
      <c r="F174" s="13">
        <v>6802</v>
      </c>
      <c r="G174" s="13">
        <v>6425</v>
      </c>
      <c r="H174" s="13">
        <v>6459</v>
      </c>
      <c r="I174" s="13">
        <v>5867</v>
      </c>
      <c r="J174" s="13">
        <v>5147</v>
      </c>
      <c r="K174" s="13">
        <v>3728</v>
      </c>
      <c r="L174" s="13">
        <v>3815</v>
      </c>
      <c r="M174" s="13">
        <v>3723</v>
      </c>
      <c r="N174" s="13">
        <v>5553</v>
      </c>
      <c r="O174" s="13">
        <v>5656</v>
      </c>
      <c r="P174" s="13">
        <v>6203</v>
      </c>
      <c r="Q174" s="14">
        <f t="shared" si="5"/>
        <v>66546</v>
      </c>
      <c r="R174" s="2" t="s">
        <v>834</v>
      </c>
      <c r="S174" s="2"/>
    </row>
    <row r="175" spans="1:19" hidden="1" x14ac:dyDescent="0.3">
      <c r="A175" s="1">
        <f t="shared" si="4"/>
        <v>173</v>
      </c>
      <c r="B175" s="1">
        <v>1247</v>
      </c>
      <c r="C175" s="1">
        <v>101247</v>
      </c>
      <c r="D175" t="str">
        <f>VLOOKUP(B175,[2]Electricity!$A$8:$D$326,4,0)</f>
        <v>Mall Of Lahore</v>
      </c>
      <c r="E175" s="71" t="s">
        <v>19</v>
      </c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3"/>
      <c r="Q175" s="14">
        <f t="shared" si="5"/>
        <v>0</v>
      </c>
      <c r="R175" s="2" t="s">
        <v>18</v>
      </c>
      <c r="S175" s="2"/>
    </row>
    <row r="176" spans="1:19" hidden="1" x14ac:dyDescent="0.3">
      <c r="A176" s="1">
        <f t="shared" si="4"/>
        <v>174</v>
      </c>
      <c r="B176" s="1">
        <v>1249</v>
      </c>
      <c r="C176" s="1">
        <v>101249</v>
      </c>
      <c r="D176" t="str">
        <f>VLOOKUP(B176,[2]Electricity!$A$8:$D$326,4,0)</f>
        <v>CP Korangi, Karachi</v>
      </c>
      <c r="E176" s="71" t="s">
        <v>19</v>
      </c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3"/>
      <c r="Q176" s="14">
        <f t="shared" si="5"/>
        <v>0</v>
      </c>
      <c r="S176" s="2"/>
    </row>
    <row r="177" spans="1:19" hidden="1" x14ac:dyDescent="0.3">
      <c r="A177" s="1">
        <f t="shared" si="4"/>
        <v>175</v>
      </c>
      <c r="B177" s="1">
        <v>1250</v>
      </c>
      <c r="C177" s="7">
        <v>101250</v>
      </c>
      <c r="D177" t="str">
        <f>VLOOKUP(B177,[2]Electricity!$A$8:$D$326,4,0)</f>
        <v>Shikarpur</v>
      </c>
      <c r="E177" s="12">
        <v>5501</v>
      </c>
      <c r="F177" s="13">
        <v>4436</v>
      </c>
      <c r="G177" s="13">
        <v>4235</v>
      </c>
      <c r="H177" s="13">
        <v>4618</v>
      </c>
      <c r="I177" s="13">
        <v>3083</v>
      </c>
      <c r="J177" s="13">
        <v>3407</v>
      </c>
      <c r="K177" s="13">
        <v>2583</v>
      </c>
      <c r="L177" s="13">
        <v>2511</v>
      </c>
      <c r="M177" s="13">
        <v>3856</v>
      </c>
      <c r="N177" s="13">
        <v>3457</v>
      </c>
      <c r="O177" s="13">
        <v>3218</v>
      </c>
      <c r="P177" s="13">
        <v>3830</v>
      </c>
      <c r="Q177" s="14">
        <f t="shared" si="5"/>
        <v>44735</v>
      </c>
      <c r="R177" s="2" t="s">
        <v>834</v>
      </c>
      <c r="S177" s="2"/>
    </row>
    <row r="178" spans="1:19" hidden="1" x14ac:dyDescent="0.3">
      <c r="A178" s="1">
        <f t="shared" si="4"/>
        <v>176</v>
      </c>
      <c r="B178" s="1">
        <v>1251</v>
      </c>
      <c r="C178" s="7">
        <v>101251</v>
      </c>
      <c r="D178" t="str">
        <f>VLOOKUP(B178,[2]Electricity!$A$8:$D$326,4,0)</f>
        <v>College Road, Opposite J. Daska</v>
      </c>
      <c r="E178" s="12">
        <v>46166</v>
      </c>
      <c r="F178" s="13">
        <v>0</v>
      </c>
      <c r="G178" s="13">
        <v>0</v>
      </c>
      <c r="H178" s="13">
        <v>17219</v>
      </c>
      <c r="I178" s="13">
        <f>4583+197</f>
        <v>4780</v>
      </c>
      <c r="J178" s="13">
        <f>3229+738+414</f>
        <v>4381</v>
      </c>
      <c r="K178" s="13">
        <f>2924+1095+530</f>
        <v>4549</v>
      </c>
      <c r="L178" s="13">
        <f>2867+1136+265</f>
        <v>4268</v>
      </c>
      <c r="M178" s="13">
        <f>4369+1589</f>
        <v>5958</v>
      </c>
      <c r="N178" s="13">
        <f>4013+1640+70</f>
        <v>5723</v>
      </c>
      <c r="O178" s="13">
        <f>4504+1317+696</f>
        <v>6517</v>
      </c>
      <c r="P178" s="13">
        <f>4509+1119+1229</f>
        <v>6857</v>
      </c>
      <c r="Q178" s="14">
        <f t="shared" si="5"/>
        <v>106418</v>
      </c>
      <c r="R178" s="2" t="s">
        <v>849</v>
      </c>
      <c r="S178" s="2"/>
    </row>
    <row r="179" spans="1:19" hidden="1" x14ac:dyDescent="0.3">
      <c r="A179" s="1">
        <f t="shared" si="4"/>
        <v>177</v>
      </c>
      <c r="B179" s="1">
        <v>1252</v>
      </c>
      <c r="C179" s="1">
        <v>101252</v>
      </c>
      <c r="D179" t="str">
        <f>VLOOKUP(B179,[2]Electricity!$A$8:$D$326,4,0)</f>
        <v>Jinnah Road, Quetta</v>
      </c>
      <c r="E179" s="71" t="s">
        <v>19</v>
      </c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3"/>
      <c r="Q179" s="14">
        <f t="shared" si="5"/>
        <v>0</v>
      </c>
      <c r="S179" s="2"/>
    </row>
    <row r="180" spans="1:19" hidden="1" x14ac:dyDescent="0.3">
      <c r="A180" s="1">
        <f t="shared" si="4"/>
        <v>178</v>
      </c>
      <c r="B180" s="1">
        <v>1253</v>
      </c>
      <c r="C180" s="7">
        <v>101253</v>
      </c>
      <c r="D180" t="str">
        <f>VLOOKUP(B180,[2]Electricity!$A$8:$D$326,4,0)</f>
        <v>Liberty-4, Lahore</v>
      </c>
      <c r="E180" s="12">
        <v>13484</v>
      </c>
      <c r="F180" s="13">
        <v>14527</v>
      </c>
      <c r="G180" s="13">
        <v>13821</v>
      </c>
      <c r="H180" s="13">
        <v>11057</v>
      </c>
      <c r="I180" s="13">
        <v>18791</v>
      </c>
      <c r="J180" s="13">
        <v>12108</v>
      </c>
      <c r="K180" s="13">
        <v>13760</v>
      </c>
      <c r="L180" s="13">
        <v>14045</v>
      </c>
      <c r="M180" s="13">
        <f>2971+4321</f>
        <v>7292</v>
      </c>
      <c r="N180" s="13">
        <v>18346</v>
      </c>
      <c r="O180" s="13">
        <v>23643</v>
      </c>
      <c r="P180" s="13">
        <v>24151</v>
      </c>
      <c r="Q180" s="14">
        <f t="shared" si="5"/>
        <v>185025</v>
      </c>
      <c r="R180" s="2" t="s">
        <v>846</v>
      </c>
      <c r="S180" s="2"/>
    </row>
    <row r="181" spans="1:19" hidden="1" x14ac:dyDescent="0.3">
      <c r="A181" s="1">
        <f t="shared" si="4"/>
        <v>179</v>
      </c>
      <c r="B181" s="1">
        <v>1254</v>
      </c>
      <c r="C181" s="1">
        <v>101254</v>
      </c>
      <c r="D181" t="str">
        <f>VLOOKUP(B181,[2]Electricity!$A$8:$D$326,4,0)</f>
        <v>Shahrah-e-Humayun, Karachi</v>
      </c>
      <c r="E181" s="71" t="s">
        <v>19</v>
      </c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3"/>
      <c r="Q181" s="14">
        <f t="shared" si="5"/>
        <v>0</v>
      </c>
      <c r="S181" s="2"/>
    </row>
    <row r="182" spans="1:19" hidden="1" x14ac:dyDescent="0.3">
      <c r="A182" s="1">
        <f t="shared" si="4"/>
        <v>180</v>
      </c>
      <c r="B182" s="1">
        <v>1256</v>
      </c>
      <c r="C182" s="1">
        <v>101256</v>
      </c>
      <c r="D182" t="str">
        <f>VLOOKUP(B182,[2]Electricity!$A$8:$D$326,4,0)</f>
        <v>Haveli Lakha</v>
      </c>
      <c r="E182" s="12">
        <v>2910</v>
      </c>
      <c r="F182" s="13">
        <v>5547</v>
      </c>
      <c r="G182" s="13">
        <v>5661</v>
      </c>
      <c r="H182" s="13">
        <v>3797</v>
      </c>
      <c r="I182" s="13">
        <v>3451</v>
      </c>
      <c r="J182" s="13">
        <v>2852</v>
      </c>
      <c r="K182" s="13">
        <v>1804</v>
      </c>
      <c r="L182" s="13">
        <v>1644</v>
      </c>
      <c r="M182" s="13">
        <v>5069</v>
      </c>
      <c r="N182" s="13">
        <f>2543+1521</f>
        <v>4064</v>
      </c>
      <c r="O182" s="13">
        <v>4821</v>
      </c>
      <c r="P182" s="13">
        <v>4838</v>
      </c>
      <c r="Q182" s="14">
        <f t="shared" si="5"/>
        <v>46458</v>
      </c>
    </row>
    <row r="183" spans="1:19" hidden="1" x14ac:dyDescent="0.3">
      <c r="A183" s="1">
        <f t="shared" si="4"/>
        <v>181</v>
      </c>
      <c r="B183" s="1">
        <v>1257</v>
      </c>
      <c r="C183" s="7">
        <v>101257</v>
      </c>
      <c r="D183" t="str">
        <f>VLOOKUP(B183,[2]Electricity!$A$8:$D$326,4,0)</f>
        <v>Arifwala</v>
      </c>
      <c r="E183" s="12">
        <v>5477</v>
      </c>
      <c r="F183" s="13">
        <v>5256</v>
      </c>
      <c r="G183" s="13">
        <v>4737</v>
      </c>
      <c r="H183" s="13">
        <v>5100</v>
      </c>
      <c r="I183" s="13">
        <v>4123</v>
      </c>
      <c r="J183" s="13">
        <v>3486</v>
      </c>
      <c r="K183" s="13">
        <v>3064</v>
      </c>
      <c r="L183" s="13">
        <v>2877</v>
      </c>
      <c r="M183" s="13">
        <v>2645</v>
      </c>
      <c r="N183" s="13">
        <v>4090</v>
      </c>
      <c r="O183" s="13">
        <v>4029</v>
      </c>
      <c r="P183" s="13">
        <v>4434</v>
      </c>
      <c r="Q183" s="14">
        <f t="shared" si="5"/>
        <v>49318</v>
      </c>
    </row>
    <row r="184" spans="1:19" hidden="1" x14ac:dyDescent="0.3">
      <c r="A184" s="1">
        <f t="shared" si="4"/>
        <v>182</v>
      </c>
      <c r="B184" s="1">
        <v>1258</v>
      </c>
      <c r="C184" s="7">
        <v>101258</v>
      </c>
      <c r="D184" t="str">
        <f>VLOOKUP(B184,[2]Electricity!$A$8:$D$326,4,0)</f>
        <v>Rasheed Abad, Multan</v>
      </c>
      <c r="E184" s="12">
        <v>9304</v>
      </c>
      <c r="F184" s="13">
        <v>5313</v>
      </c>
      <c r="G184" s="13">
        <v>4188</v>
      </c>
      <c r="H184" s="13">
        <v>4872</v>
      </c>
      <c r="I184" s="13">
        <v>4819</v>
      </c>
      <c r="J184" s="13">
        <v>3119</v>
      </c>
      <c r="K184" s="13">
        <v>3391</v>
      </c>
      <c r="L184" s="13">
        <v>3567</v>
      </c>
      <c r="M184" s="13">
        <v>3011</v>
      </c>
      <c r="N184" s="13">
        <v>4542</v>
      </c>
      <c r="O184" s="13">
        <v>4709</v>
      </c>
      <c r="P184" s="13">
        <v>5465</v>
      </c>
      <c r="Q184" s="14">
        <f t="shared" si="5"/>
        <v>56300</v>
      </c>
      <c r="R184" s="2" t="s">
        <v>834</v>
      </c>
    </row>
    <row r="185" spans="1:19" hidden="1" x14ac:dyDescent="0.3">
      <c r="A185" s="1">
        <f t="shared" si="4"/>
        <v>183</v>
      </c>
      <c r="B185" s="1">
        <v>1259</v>
      </c>
      <c r="C185" s="1">
        <v>101259</v>
      </c>
      <c r="D185" t="str">
        <f>VLOOKUP(B185,[2]Electricity!$A$8:$D$326,4,0)</f>
        <v>Brands Village, Sialkot</v>
      </c>
      <c r="E185" s="71" t="s">
        <v>17</v>
      </c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3"/>
      <c r="Q185" s="14">
        <f t="shared" si="5"/>
        <v>0</v>
      </c>
      <c r="R185" s="2" t="s">
        <v>18</v>
      </c>
    </row>
    <row r="186" spans="1:19" hidden="1" x14ac:dyDescent="0.3">
      <c r="A186" s="1">
        <f t="shared" si="4"/>
        <v>184</v>
      </c>
      <c r="B186" s="1">
        <v>1260</v>
      </c>
      <c r="C186" s="7">
        <v>101260</v>
      </c>
      <c r="D186" t="str">
        <f>VLOOKUP(B186,[2]Electricity!$A$8:$D$326,4,0)</f>
        <v>DPO Road, Jacobabad</v>
      </c>
      <c r="E186" s="12"/>
      <c r="F186" s="13"/>
      <c r="G186" s="13"/>
      <c r="H186" s="13">
        <v>0</v>
      </c>
      <c r="I186" s="13">
        <v>0</v>
      </c>
      <c r="J186" s="13">
        <v>17049</v>
      </c>
      <c r="K186" s="13">
        <v>416</v>
      </c>
      <c r="L186" s="13">
        <v>2478</v>
      </c>
      <c r="M186" s="13">
        <v>3903</v>
      </c>
      <c r="N186" s="13">
        <v>4581</v>
      </c>
      <c r="O186" s="13">
        <v>5489</v>
      </c>
      <c r="P186" s="13">
        <v>2792</v>
      </c>
      <c r="Q186" s="14">
        <f t="shared" si="5"/>
        <v>36708</v>
      </c>
      <c r="R186" s="2" t="s">
        <v>834</v>
      </c>
    </row>
    <row r="187" spans="1:19" hidden="1" x14ac:dyDescent="0.3">
      <c r="A187" s="1">
        <f t="shared" si="4"/>
        <v>185</v>
      </c>
      <c r="B187" s="1">
        <v>1261</v>
      </c>
      <c r="C187" s="7">
        <v>101261</v>
      </c>
      <c r="D187" t="str">
        <f>VLOOKUP(B187,[2]Electricity!$A$8:$D$326,4,0)</f>
        <v>Mumtazabad Galleria, Multan</v>
      </c>
      <c r="E187" s="12">
        <v>4749</v>
      </c>
      <c r="F187" s="13">
        <v>4813</v>
      </c>
      <c r="G187" s="13">
        <v>3865</v>
      </c>
      <c r="H187" s="13">
        <v>5561</v>
      </c>
      <c r="I187" s="13">
        <v>4923</v>
      </c>
      <c r="J187" s="13">
        <v>2771</v>
      </c>
      <c r="K187" s="13">
        <v>3107</v>
      </c>
      <c r="L187" s="13">
        <v>2417</v>
      </c>
      <c r="M187" s="13">
        <v>2763</v>
      </c>
      <c r="N187" s="13">
        <v>3970</v>
      </c>
      <c r="O187" s="13">
        <v>4148</v>
      </c>
      <c r="P187" s="13">
        <v>5289</v>
      </c>
      <c r="Q187" s="14">
        <f t="shared" si="5"/>
        <v>48376</v>
      </c>
      <c r="R187" s="2" t="s">
        <v>834</v>
      </c>
    </row>
    <row r="188" spans="1:19" hidden="1" x14ac:dyDescent="0.3">
      <c r="A188" s="1">
        <f t="shared" si="4"/>
        <v>186</v>
      </c>
      <c r="B188" s="1">
        <v>1262</v>
      </c>
      <c r="C188" s="1">
        <v>101262</v>
      </c>
      <c r="D188" t="str">
        <f>VLOOKUP(B188,[2]Electricity!$A$8:$D$326,4,0)</f>
        <v>Mega Mall, Karachi</v>
      </c>
      <c r="E188" s="71" t="s">
        <v>17</v>
      </c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3"/>
      <c r="Q188" s="14">
        <f t="shared" si="5"/>
        <v>0</v>
      </c>
      <c r="R188" s="2" t="s">
        <v>18</v>
      </c>
    </row>
    <row r="189" spans="1:19" hidden="1" x14ac:dyDescent="0.3">
      <c r="A189" s="1">
        <f t="shared" si="4"/>
        <v>187</v>
      </c>
      <c r="B189" s="1">
        <v>1263</v>
      </c>
      <c r="C189" s="7">
        <v>101263</v>
      </c>
      <c r="D189" t="str">
        <f>VLOOKUP(B189,[2]Electricity!$A$8:$D$326,4,0)</f>
        <v>Dubai Chowk, Bahawalpur</v>
      </c>
      <c r="E189" s="12">
        <v>7250</v>
      </c>
      <c r="F189" s="13">
        <v>7457</v>
      </c>
      <c r="G189" s="13">
        <v>7382</v>
      </c>
      <c r="H189" s="13">
        <v>7327</v>
      </c>
      <c r="I189" s="13">
        <v>5017</v>
      </c>
      <c r="J189" s="13">
        <v>3884</v>
      </c>
      <c r="K189" s="13">
        <v>3541</v>
      </c>
      <c r="L189" s="13">
        <v>3936</v>
      </c>
      <c r="M189" s="13">
        <v>3573</v>
      </c>
      <c r="N189" s="13">
        <v>5784</v>
      </c>
      <c r="O189" s="13">
        <v>6921</v>
      </c>
      <c r="P189" s="13">
        <v>8010</v>
      </c>
      <c r="Q189" s="14">
        <f t="shared" si="5"/>
        <v>70082</v>
      </c>
      <c r="R189" s="2" t="s">
        <v>834</v>
      </c>
    </row>
    <row r="190" spans="1:19" hidden="1" x14ac:dyDescent="0.3">
      <c r="A190" s="1">
        <f t="shared" si="4"/>
        <v>188</v>
      </c>
      <c r="B190" s="1">
        <v>1264</v>
      </c>
      <c r="C190" s="1">
        <v>101264</v>
      </c>
      <c r="D190" t="str">
        <f>VLOOKUP(B190,[2]Electricity!$A$8:$D$326,4,0)</f>
        <v>Nishtar Chowk, Multan Site</v>
      </c>
      <c r="E190" s="12"/>
      <c r="F190" s="13"/>
      <c r="G190" s="13"/>
      <c r="H190" s="13"/>
      <c r="I190" s="13"/>
      <c r="J190" s="13"/>
      <c r="K190" s="13"/>
      <c r="L190" s="13"/>
      <c r="M190" s="13"/>
      <c r="N190" s="13">
        <v>7543</v>
      </c>
      <c r="O190" s="13">
        <v>15086</v>
      </c>
      <c r="P190" s="13">
        <v>3794</v>
      </c>
      <c r="Q190" s="14">
        <f t="shared" si="5"/>
        <v>26423</v>
      </c>
      <c r="R190" s="2" t="s">
        <v>834</v>
      </c>
    </row>
    <row r="191" spans="1:19" hidden="1" x14ac:dyDescent="0.3">
      <c r="A191" s="1">
        <f t="shared" si="4"/>
        <v>189</v>
      </c>
      <c r="B191" s="1">
        <v>1265</v>
      </c>
      <c r="C191" s="7">
        <v>101265</v>
      </c>
      <c r="D191" t="str">
        <f>VLOOKUP(B191,[2]Electricity!$A$8:$D$326,4,0)</f>
        <v>Khanewal College Road</v>
      </c>
      <c r="E191" s="12"/>
      <c r="F191" s="13"/>
      <c r="G191" s="13"/>
      <c r="H191" s="13"/>
      <c r="I191" s="13">
        <v>0</v>
      </c>
      <c r="J191" s="13">
        <v>19657</v>
      </c>
      <c r="K191" s="13">
        <v>3988</v>
      </c>
      <c r="L191" s="13">
        <v>3947</v>
      </c>
      <c r="M191" s="13">
        <v>3522</v>
      </c>
      <c r="N191" s="13">
        <v>5361</v>
      </c>
      <c r="O191" s="13">
        <v>6529</v>
      </c>
      <c r="P191" s="13">
        <v>7274</v>
      </c>
      <c r="Q191" s="14">
        <f t="shared" si="5"/>
        <v>50278</v>
      </c>
      <c r="R191" s="2" t="s">
        <v>834</v>
      </c>
    </row>
    <row r="192" spans="1:19" hidden="1" x14ac:dyDescent="0.3">
      <c r="A192" s="1">
        <f t="shared" si="4"/>
        <v>190</v>
      </c>
      <c r="B192" s="1">
        <v>1266</v>
      </c>
      <c r="C192" s="1">
        <v>101266</v>
      </c>
      <c r="D192" t="str">
        <f>VLOOKUP(B192,[2]Electricity!$A$8:$D$326,4,0)</f>
        <v>Gajju Matta Lahore</v>
      </c>
      <c r="E192" s="71" t="s">
        <v>17</v>
      </c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3"/>
      <c r="Q192" s="14">
        <f t="shared" si="5"/>
        <v>0</v>
      </c>
    </row>
    <row r="193" spans="1:18" hidden="1" x14ac:dyDescent="0.3">
      <c r="A193" s="1">
        <f t="shared" si="4"/>
        <v>191</v>
      </c>
      <c r="B193" s="1">
        <v>1267</v>
      </c>
      <c r="C193" s="1">
        <v>101267</v>
      </c>
      <c r="D193" t="str">
        <f>VLOOKUP(B193,[2]Electricity!$A$8:$D$326,4,0)</f>
        <v>Mall of Wah</v>
      </c>
      <c r="E193" s="71" t="s">
        <v>17</v>
      </c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3"/>
      <c r="Q193" s="14">
        <f t="shared" si="5"/>
        <v>0</v>
      </c>
      <c r="R193" s="2" t="s">
        <v>18</v>
      </c>
    </row>
    <row r="194" spans="1:18" hidden="1" x14ac:dyDescent="0.3">
      <c r="A194" s="1">
        <f t="shared" si="4"/>
        <v>192</v>
      </c>
      <c r="B194" s="1">
        <v>1269</v>
      </c>
      <c r="C194" s="1">
        <v>101269</v>
      </c>
      <c r="D194" t="str">
        <f>VLOOKUP(B194,[2]Electricity!$A$8:$D$326,4,0)</f>
        <v>Burewala Canal Road</v>
      </c>
      <c r="E194" s="71" t="s">
        <v>17</v>
      </c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3"/>
      <c r="Q194" s="14">
        <f t="shared" si="5"/>
        <v>0</v>
      </c>
    </row>
    <row r="195" spans="1:18" hidden="1" x14ac:dyDescent="0.3">
      <c r="A195" s="1">
        <f t="shared" si="4"/>
        <v>193</v>
      </c>
      <c r="B195" s="1">
        <v>1270</v>
      </c>
      <c r="C195" s="7">
        <v>101270</v>
      </c>
      <c r="D195" t="str">
        <f>VLOOKUP(B195,[2]Electricity!$A$8:$D$326,4,0)</f>
        <v>CP Bedian Road Site</v>
      </c>
      <c r="E195" s="12">
        <f>535+2978</f>
        <v>3513</v>
      </c>
      <c r="F195" s="13">
        <f>691+2898</f>
        <v>3589</v>
      </c>
      <c r="G195" s="13">
        <f>201+2047</f>
        <v>2248</v>
      </c>
      <c r="H195" s="13">
        <f>103+15</f>
        <v>118</v>
      </c>
      <c r="I195" s="13">
        <f>157+11</f>
        <v>168</v>
      </c>
      <c r="J195" s="13">
        <f>107+41</f>
        <v>148</v>
      </c>
      <c r="K195" s="13">
        <f>414+64</f>
        <v>478</v>
      </c>
      <c r="L195" s="13">
        <f>253+14</f>
        <v>267</v>
      </c>
      <c r="M195" s="13">
        <f>1+2881+1037</f>
        <v>3919</v>
      </c>
      <c r="N195" s="13">
        <f>4195+0</f>
        <v>4195</v>
      </c>
      <c r="O195" s="13">
        <f>2485+2599</f>
        <v>5084</v>
      </c>
      <c r="P195" s="13">
        <f>2012+2467</f>
        <v>4479</v>
      </c>
      <c r="Q195" s="14">
        <f t="shared" si="5"/>
        <v>28206</v>
      </c>
      <c r="R195" s="2" t="s">
        <v>834</v>
      </c>
    </row>
    <row r="196" spans="1:18" hidden="1" x14ac:dyDescent="0.3">
      <c r="A196" s="1">
        <f t="shared" si="4"/>
        <v>194</v>
      </c>
      <c r="B196" s="1">
        <v>1501</v>
      </c>
      <c r="C196" s="1">
        <v>101501</v>
      </c>
      <c r="D196" t="str">
        <f>VLOOKUP(B196,[2]Electricity!$A$8:$D$326,4,0)</f>
        <v>Hakim Mall, Mandi Bahauddin</v>
      </c>
      <c r="E196" s="71" t="s">
        <v>17</v>
      </c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3"/>
      <c r="Q196" s="14">
        <f t="shared" si="5"/>
        <v>0</v>
      </c>
      <c r="R196" s="2" t="s">
        <v>18</v>
      </c>
    </row>
    <row r="197" spans="1:18" hidden="1" x14ac:dyDescent="0.3">
      <c r="A197" s="1">
        <f t="shared" ref="A197:A260" si="6">A196+1</f>
        <v>195</v>
      </c>
      <c r="B197" s="1">
        <v>1503</v>
      </c>
      <c r="C197" s="1">
        <v>101503</v>
      </c>
      <c r="D197" t="str">
        <f>VLOOKUP(B197,[2]Electricity!$A$8:$D$326,4,0)</f>
        <v>Adayala Road, Rawalpindi</v>
      </c>
      <c r="E197" s="71" t="s">
        <v>19</v>
      </c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3"/>
      <c r="Q197" s="14">
        <f t="shared" ref="Q197:Q260" si="7">SUM(E197:P197)</f>
        <v>0</v>
      </c>
      <c r="R197" s="2" t="s">
        <v>24</v>
      </c>
    </row>
    <row r="198" spans="1:18" hidden="1" x14ac:dyDescent="0.3">
      <c r="A198" s="1">
        <f t="shared" si="6"/>
        <v>196</v>
      </c>
      <c r="B198" s="1">
        <v>1509</v>
      </c>
      <c r="C198" s="7">
        <v>101509</v>
      </c>
      <c r="D198" t="str">
        <f>VLOOKUP(B198,[2]Electricity!$A$8:$D$326,4,0)</f>
        <v>Saidu Sharif</v>
      </c>
      <c r="E198" s="12">
        <v>1531</v>
      </c>
      <c r="F198" s="13">
        <v>1825</v>
      </c>
      <c r="G198" s="13">
        <v>1721</v>
      </c>
      <c r="H198" s="13">
        <v>1501</v>
      </c>
      <c r="I198" s="13">
        <v>611</v>
      </c>
      <c r="J198" s="13">
        <v>632</v>
      </c>
      <c r="K198" s="13">
        <v>809</v>
      </c>
      <c r="L198" s="13">
        <v>949</v>
      </c>
      <c r="M198" s="13">
        <v>876</v>
      </c>
      <c r="N198" s="13">
        <v>1094</v>
      </c>
      <c r="O198" s="13">
        <v>0</v>
      </c>
      <c r="P198" s="13">
        <v>1180</v>
      </c>
      <c r="Q198" s="14">
        <f t="shared" si="7"/>
        <v>12729</v>
      </c>
      <c r="R198" s="2" t="s">
        <v>847</v>
      </c>
    </row>
    <row r="199" spans="1:18" hidden="1" x14ac:dyDescent="0.3">
      <c r="A199" s="1">
        <f t="shared" si="6"/>
        <v>197</v>
      </c>
      <c r="B199" s="1">
        <v>1524</v>
      </c>
      <c r="C199" s="7">
        <v>101524</v>
      </c>
      <c r="D199" t="str">
        <f>VLOOKUP(B199,[2]Electricity!$A$8:$D$326,4,0)</f>
        <v>Samundari</v>
      </c>
      <c r="E199" s="12">
        <v>1277</v>
      </c>
      <c r="F199" s="13">
        <v>1674</v>
      </c>
      <c r="G199" s="13">
        <v>1445</v>
      </c>
      <c r="H199" s="13">
        <v>1380</v>
      </c>
      <c r="I199" s="13">
        <v>1055</v>
      </c>
      <c r="J199" s="13">
        <v>849</v>
      </c>
      <c r="K199" s="13">
        <v>854</v>
      </c>
      <c r="L199" s="13">
        <v>726</v>
      </c>
      <c r="M199" s="13">
        <v>1098</v>
      </c>
      <c r="N199" s="13">
        <v>1115</v>
      </c>
      <c r="O199" s="13">
        <v>2424</v>
      </c>
      <c r="P199" s="13">
        <v>1535</v>
      </c>
      <c r="Q199" s="14">
        <f t="shared" si="7"/>
        <v>15432</v>
      </c>
      <c r="R199" s="2" t="s">
        <v>834</v>
      </c>
    </row>
    <row r="200" spans="1:18" hidden="1" x14ac:dyDescent="0.3">
      <c r="A200" s="1">
        <f t="shared" si="6"/>
        <v>198</v>
      </c>
      <c r="B200" s="1">
        <v>1525</v>
      </c>
      <c r="C200" s="7">
        <v>101525</v>
      </c>
      <c r="D200" t="str">
        <f>VLOOKUP(B200,[2]Electricity!$A$8:$D$326,4,0)</f>
        <v>City Max Mall, Batkhela</v>
      </c>
      <c r="E200" s="12">
        <v>6896</v>
      </c>
      <c r="F200" s="13">
        <v>3372</v>
      </c>
      <c r="G200" s="13">
        <v>2956</v>
      </c>
      <c r="H200" s="13">
        <v>2712</v>
      </c>
      <c r="I200" s="13">
        <v>1323</v>
      </c>
      <c r="J200" s="13">
        <v>841</v>
      </c>
      <c r="K200" s="13">
        <v>940</v>
      </c>
      <c r="L200" s="13">
        <v>1114</v>
      </c>
      <c r="M200" s="13">
        <v>687</v>
      </c>
      <c r="N200" s="13">
        <v>1280</v>
      </c>
      <c r="O200" s="13">
        <v>1182</v>
      </c>
      <c r="P200" s="13">
        <v>2523</v>
      </c>
      <c r="Q200" s="14">
        <f t="shared" si="7"/>
        <v>25826</v>
      </c>
      <c r="R200" s="2" t="s">
        <v>834</v>
      </c>
    </row>
    <row r="201" spans="1:18" hidden="1" x14ac:dyDescent="0.3">
      <c r="A201" s="1">
        <f t="shared" si="6"/>
        <v>199</v>
      </c>
      <c r="B201" s="1">
        <v>1527</v>
      </c>
      <c r="C201" s="7">
        <v>101527</v>
      </c>
      <c r="D201" t="str">
        <f>VLOOKUP(B201,[2]Electricity!$A$8:$D$326,4,0)</f>
        <v>Gulzar-e-Quaid, Rawalpindi</v>
      </c>
      <c r="E201" s="12">
        <f>2435+0</f>
        <v>2435</v>
      </c>
      <c r="F201" s="13">
        <f>2724+42</f>
        <v>2766</v>
      </c>
      <c r="G201" s="13">
        <f>2814+17</f>
        <v>2831</v>
      </c>
      <c r="H201" s="13">
        <f>1938+29</f>
        <v>1967</v>
      </c>
      <c r="I201" s="13">
        <f>1801+86</f>
        <v>1887</v>
      </c>
      <c r="J201" s="13">
        <f>1394+240</f>
        <v>1634</v>
      </c>
      <c r="K201" s="13">
        <f>1679+197</f>
        <v>1876</v>
      </c>
      <c r="L201" s="13">
        <f>1870+87</f>
        <v>1957</v>
      </c>
      <c r="M201" s="13">
        <f>800+62</f>
        <v>862</v>
      </c>
      <c r="N201" s="13">
        <v>925</v>
      </c>
      <c r="O201" s="13">
        <f>0+303</f>
        <v>303</v>
      </c>
      <c r="P201" s="13">
        <f>0+233</f>
        <v>233</v>
      </c>
      <c r="Q201" s="14">
        <f t="shared" si="7"/>
        <v>19676</v>
      </c>
      <c r="R201" s="2" t="s">
        <v>834</v>
      </c>
    </row>
    <row r="202" spans="1:18" hidden="1" x14ac:dyDescent="0.3">
      <c r="A202" s="1">
        <f t="shared" si="6"/>
        <v>200</v>
      </c>
      <c r="B202" s="1">
        <v>1528</v>
      </c>
      <c r="C202" s="7">
        <v>101528</v>
      </c>
      <c r="D202" t="str">
        <f>VLOOKUP(B202,[2]Electricity!$A$8:$D$326,4,0)</f>
        <v>Shahkot</v>
      </c>
      <c r="E202" s="12">
        <v>1444</v>
      </c>
      <c r="F202" s="13">
        <v>1496</v>
      </c>
      <c r="G202" s="13">
        <v>1423</v>
      </c>
      <c r="H202" s="13">
        <v>1200</v>
      </c>
      <c r="I202" s="13">
        <v>903</v>
      </c>
      <c r="J202" s="13">
        <v>1216</v>
      </c>
      <c r="K202" s="13">
        <v>1056</v>
      </c>
      <c r="L202" s="13">
        <v>725</v>
      </c>
      <c r="M202" s="13">
        <f>501+636</f>
        <v>1137</v>
      </c>
      <c r="N202" s="13">
        <v>925</v>
      </c>
      <c r="O202" s="13">
        <v>2002</v>
      </c>
      <c r="P202" s="13">
        <v>2082</v>
      </c>
      <c r="Q202" s="14">
        <f t="shared" si="7"/>
        <v>15609</v>
      </c>
      <c r="R202" s="2" t="s">
        <v>834</v>
      </c>
    </row>
    <row r="203" spans="1:18" ht="15" thickBot="1" x14ac:dyDescent="0.35">
      <c r="A203" s="1">
        <f t="shared" si="6"/>
        <v>201</v>
      </c>
      <c r="B203" s="15">
        <v>1529</v>
      </c>
      <c r="C203" s="7">
        <v>1529</v>
      </c>
      <c r="D203" t="str">
        <f>VLOOKUP(B203,[2]Electricity!$A$8:$D$326,4,0)</f>
        <v>Bagh AJ &amp; K</v>
      </c>
      <c r="E203" s="12">
        <f>477+450+362</f>
        <v>1289</v>
      </c>
      <c r="F203" s="13">
        <f>475+606+320</f>
        <v>1401</v>
      </c>
      <c r="G203" s="13">
        <f>453+302+201</f>
        <v>956</v>
      </c>
      <c r="H203" s="13">
        <f>470+392+199</f>
        <v>1061</v>
      </c>
      <c r="I203" s="13">
        <f>135+135+183</f>
        <v>453</v>
      </c>
      <c r="J203" s="13">
        <f>455+370+104</f>
        <v>929</v>
      </c>
      <c r="K203" s="13">
        <f>284+287+130</f>
        <v>701</v>
      </c>
      <c r="L203" s="13">
        <f>433+331+177</f>
        <v>941</v>
      </c>
      <c r="M203" s="13">
        <f>456+498+208</f>
        <v>1162</v>
      </c>
      <c r="N203" s="13"/>
      <c r="O203" s="13"/>
      <c r="P203" s="13"/>
      <c r="Q203" s="14">
        <f t="shared" si="7"/>
        <v>8893</v>
      </c>
      <c r="R203" s="2" t="s">
        <v>848</v>
      </c>
    </row>
    <row r="204" spans="1:18" ht="15" hidden="1" thickBot="1" x14ac:dyDescent="0.35">
      <c r="A204" s="1">
        <f t="shared" si="6"/>
        <v>202</v>
      </c>
      <c r="B204" s="1">
        <v>1534</v>
      </c>
      <c r="C204" s="7">
        <v>101534</v>
      </c>
      <c r="D204" t="str">
        <f>VLOOKUP(B204,[2]Electricity!$A$8:$D$326,4,0)</f>
        <v>Capital Square Mall, Islamabad</v>
      </c>
      <c r="E204" s="17">
        <v>1381</v>
      </c>
      <c r="F204" s="13">
        <v>1637</v>
      </c>
      <c r="G204" s="13">
        <v>1654</v>
      </c>
      <c r="H204" s="13">
        <v>1621</v>
      </c>
      <c r="I204" s="13">
        <v>1682</v>
      </c>
      <c r="J204" s="13">
        <v>1668</v>
      </c>
      <c r="K204" s="13">
        <v>1840</v>
      </c>
      <c r="L204" s="13">
        <v>1873</v>
      </c>
      <c r="M204" s="13">
        <v>1634</v>
      </c>
      <c r="N204" s="18">
        <v>1737</v>
      </c>
      <c r="O204" s="18">
        <v>1758</v>
      </c>
      <c r="P204" s="18">
        <v>1917</v>
      </c>
      <c r="Q204" s="14">
        <f t="shared" si="7"/>
        <v>20402</v>
      </c>
      <c r="R204" s="2" t="s">
        <v>834</v>
      </c>
    </row>
    <row r="205" spans="1:18" ht="15" hidden="1" thickBot="1" x14ac:dyDescent="0.35">
      <c r="A205" s="1">
        <f t="shared" si="6"/>
        <v>203</v>
      </c>
      <c r="B205" s="1">
        <v>4001</v>
      </c>
      <c r="C205" s="7">
        <v>104001</v>
      </c>
      <c r="D205" t="str">
        <f>VLOOKUP(B205,[2]Electricity!$A$8:$D$326,4,0)</f>
        <v>Model Town Link Road, Lahore</v>
      </c>
      <c r="E205" s="12">
        <v>11040</v>
      </c>
      <c r="F205" s="13">
        <v>11520</v>
      </c>
      <c r="G205" s="13">
        <v>11760</v>
      </c>
      <c r="H205" s="13">
        <v>8560</v>
      </c>
      <c r="I205" s="13">
        <v>4480</v>
      </c>
      <c r="J205" s="13">
        <v>4320</v>
      </c>
      <c r="K205" s="13">
        <v>4960</v>
      </c>
      <c r="L205" s="13">
        <v>4320</v>
      </c>
      <c r="M205" s="13">
        <f>5040+2240</f>
        <v>7280</v>
      </c>
      <c r="N205" s="13">
        <v>6960</v>
      </c>
      <c r="O205" s="13">
        <v>8000</v>
      </c>
      <c r="P205" s="13">
        <v>5520</v>
      </c>
      <c r="Q205" s="14">
        <f t="shared" si="7"/>
        <v>88720</v>
      </c>
      <c r="R205" s="2" t="s">
        <v>834</v>
      </c>
    </row>
    <row r="206" spans="1:18" ht="15" hidden="1" thickBot="1" x14ac:dyDescent="0.35">
      <c r="A206" s="1">
        <f t="shared" si="6"/>
        <v>204</v>
      </c>
      <c r="B206" s="1">
        <v>4002</v>
      </c>
      <c r="C206" s="1">
        <v>104002</v>
      </c>
      <c r="D206" t="str">
        <f>VLOOKUP(B206,[2]Electricity!$A$8:$D$326,4,0)</f>
        <v>D-Ground, Faisalabad</v>
      </c>
      <c r="E206" s="71" t="s">
        <v>17</v>
      </c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3"/>
      <c r="Q206" s="14">
        <f t="shared" si="7"/>
        <v>0</v>
      </c>
    </row>
    <row r="207" spans="1:18" ht="15" hidden="1" thickBot="1" x14ac:dyDescent="0.35">
      <c r="A207" s="1">
        <f t="shared" si="6"/>
        <v>205</v>
      </c>
      <c r="B207" s="1">
        <v>4003</v>
      </c>
      <c r="C207" s="7">
        <v>104003</v>
      </c>
      <c r="D207" t="str">
        <f>VLOOKUP(B207,[2]Electricity!$A$8:$D$326,4,0)</f>
        <v>Pizza Hut Road, Gulgasht Colony, Multan</v>
      </c>
      <c r="E207" s="12">
        <v>14602</v>
      </c>
      <c r="F207" s="13">
        <v>16869</v>
      </c>
      <c r="G207" s="13">
        <v>16182</v>
      </c>
      <c r="H207" s="13">
        <v>16344</v>
      </c>
      <c r="I207" s="13">
        <v>8652</v>
      </c>
      <c r="J207" s="13">
        <v>8430</v>
      </c>
      <c r="K207" s="13">
        <v>9051</v>
      </c>
      <c r="L207" s="13">
        <v>9530</v>
      </c>
      <c r="M207" s="13">
        <v>15248</v>
      </c>
      <c r="N207" s="13">
        <v>14968</v>
      </c>
      <c r="O207" s="13">
        <v>19258</v>
      </c>
      <c r="P207" s="13">
        <v>18014</v>
      </c>
      <c r="Q207" s="14">
        <f t="shared" si="7"/>
        <v>167148</v>
      </c>
      <c r="R207" s="2" t="s">
        <v>834</v>
      </c>
    </row>
    <row r="208" spans="1:18" ht="15" hidden="1" thickBot="1" x14ac:dyDescent="0.35">
      <c r="A208" s="1">
        <f t="shared" si="6"/>
        <v>206</v>
      </c>
      <c r="B208" s="1">
        <v>4004</v>
      </c>
      <c r="C208" s="7">
        <v>104004</v>
      </c>
      <c r="D208" t="str">
        <f>VLOOKUP(B208,[2]Electricity!$A$8:$D$326,4,0)</f>
        <v>Gulf Center, Gujrat</v>
      </c>
      <c r="E208" s="12">
        <v>12456</v>
      </c>
      <c r="F208" s="13">
        <v>12926</v>
      </c>
      <c r="G208" s="13">
        <v>11978</v>
      </c>
      <c r="H208" s="13">
        <v>10362</v>
      </c>
      <c r="I208" s="13">
        <v>8986</v>
      </c>
      <c r="J208" s="13">
        <v>7164</v>
      </c>
      <c r="K208" s="13">
        <v>6803</v>
      </c>
      <c r="L208" s="13">
        <v>6532</v>
      </c>
      <c r="M208" s="13">
        <v>9548</v>
      </c>
      <c r="N208" s="13">
        <v>11560</v>
      </c>
      <c r="O208" s="13">
        <v>15111</v>
      </c>
      <c r="P208" s="13">
        <v>6950</v>
      </c>
      <c r="Q208" s="14">
        <f t="shared" si="7"/>
        <v>120376</v>
      </c>
      <c r="R208" s="2" t="s">
        <v>834</v>
      </c>
    </row>
    <row r="209" spans="1:18" ht="15" hidden="1" thickBot="1" x14ac:dyDescent="0.35">
      <c r="A209" s="1">
        <f t="shared" si="6"/>
        <v>207</v>
      </c>
      <c r="B209" s="1">
        <v>4005</v>
      </c>
      <c r="C209" s="7">
        <v>104005</v>
      </c>
      <c r="D209" t="str">
        <f>VLOOKUP(B209,[2]Electricity!$A$8:$D$326,4,0)</f>
        <v>Main Auto Bhan, Hyderabad</v>
      </c>
      <c r="E209" s="12">
        <v>10460</v>
      </c>
      <c r="F209" s="13">
        <v>9380</v>
      </c>
      <c r="G209" s="13">
        <v>11080</v>
      </c>
      <c r="H209" s="13">
        <v>8520</v>
      </c>
      <c r="I209" s="13">
        <v>10580</v>
      </c>
      <c r="J209" s="13">
        <v>8680</v>
      </c>
      <c r="K209" s="13">
        <v>4800</v>
      </c>
      <c r="L209" s="13">
        <v>6080</v>
      </c>
      <c r="M209" s="13">
        <v>5840</v>
      </c>
      <c r="N209" s="13">
        <v>9780</v>
      </c>
      <c r="O209" s="13">
        <v>10080</v>
      </c>
      <c r="P209" s="13">
        <v>10060</v>
      </c>
      <c r="Q209" s="14">
        <f t="shared" si="7"/>
        <v>105340</v>
      </c>
      <c r="R209" s="2" t="s">
        <v>834</v>
      </c>
    </row>
    <row r="210" spans="1:18" ht="15" hidden="1" thickBot="1" x14ac:dyDescent="0.35">
      <c r="A210" s="1">
        <f t="shared" si="6"/>
        <v>208</v>
      </c>
      <c r="B210" s="1">
        <v>4006</v>
      </c>
      <c r="C210" s="7">
        <v>104006</v>
      </c>
      <c r="D210" t="str">
        <f>VLOOKUP(B210,[2]Electricity!$A$8:$D$326,4,0)</f>
        <v>Railway Road, Bahawalpur</v>
      </c>
      <c r="E210" s="12">
        <v>9700</v>
      </c>
      <c r="F210" s="13">
        <v>8620</v>
      </c>
      <c r="G210" s="13">
        <v>10440</v>
      </c>
      <c r="H210" s="13">
        <v>9700</v>
      </c>
      <c r="I210" s="13">
        <v>7920</v>
      </c>
      <c r="J210" s="13">
        <v>4720</v>
      </c>
      <c r="K210" s="13">
        <v>3100</v>
      </c>
      <c r="L210" s="13">
        <v>3120</v>
      </c>
      <c r="M210" s="13">
        <v>3700</v>
      </c>
      <c r="N210" s="13">
        <v>8100</v>
      </c>
      <c r="O210" s="13">
        <v>9380</v>
      </c>
      <c r="P210" s="13">
        <v>12840</v>
      </c>
      <c r="Q210" s="14">
        <f t="shared" si="7"/>
        <v>91340</v>
      </c>
      <c r="R210" s="2" t="s">
        <v>834</v>
      </c>
    </row>
    <row r="211" spans="1:18" ht="15" hidden="1" thickBot="1" x14ac:dyDescent="0.35">
      <c r="A211" s="1">
        <f t="shared" si="6"/>
        <v>209</v>
      </c>
      <c r="B211" s="1">
        <v>4007</v>
      </c>
      <c r="C211" s="7">
        <v>104007</v>
      </c>
      <c r="D211" t="str">
        <f>VLOOKUP(B211,[2]Electricity!$A$8:$D$326,4,0)</f>
        <v>CS Supply, Abbottabad</v>
      </c>
      <c r="E211" s="12">
        <v>10401</v>
      </c>
      <c r="F211" s="13">
        <v>10358</v>
      </c>
      <c r="G211" s="13">
        <v>8876</v>
      </c>
      <c r="H211" s="13">
        <v>7470</v>
      </c>
      <c r="I211" s="13">
        <v>5499</v>
      </c>
      <c r="J211" s="13">
        <v>5219</v>
      </c>
      <c r="K211" s="13">
        <v>5787</v>
      </c>
      <c r="L211" s="13">
        <v>6367</v>
      </c>
      <c r="M211" s="13">
        <v>5486</v>
      </c>
      <c r="N211" s="13">
        <v>6568</v>
      </c>
      <c r="O211" s="13">
        <v>6266</v>
      </c>
      <c r="P211" s="13">
        <v>8750</v>
      </c>
      <c r="Q211" s="14">
        <f t="shared" si="7"/>
        <v>87047</v>
      </c>
      <c r="R211" s="2" t="s">
        <v>834</v>
      </c>
    </row>
    <row r="212" spans="1:18" ht="15" hidden="1" thickBot="1" x14ac:dyDescent="0.35">
      <c r="A212" s="1">
        <f t="shared" si="6"/>
        <v>210</v>
      </c>
      <c r="B212" s="1">
        <v>4008</v>
      </c>
      <c r="C212" s="7">
        <v>104008</v>
      </c>
      <c r="D212" t="str">
        <f>VLOOKUP(B212,[2]Electricity!$A$8:$D$326,4,0)</f>
        <v>Uni Road Near Silver Dragon, Peshawar</v>
      </c>
      <c r="E212" s="12">
        <v>8782</v>
      </c>
      <c r="F212" s="13">
        <v>8118</v>
      </c>
      <c r="G212" s="13">
        <v>8110</v>
      </c>
      <c r="H212" s="13">
        <v>7862</v>
      </c>
      <c r="I212" s="13">
        <v>6066</v>
      </c>
      <c r="J212" s="13">
        <v>5484</v>
      </c>
      <c r="K212" s="13">
        <v>3427</v>
      </c>
      <c r="L212" s="13">
        <v>4375</v>
      </c>
      <c r="M212" s="13">
        <v>4087</v>
      </c>
      <c r="N212" s="13">
        <v>6042</v>
      </c>
      <c r="O212" s="13">
        <v>6106</v>
      </c>
      <c r="P212" s="13">
        <v>7939</v>
      </c>
      <c r="Q212" s="14">
        <f t="shared" si="7"/>
        <v>76398</v>
      </c>
      <c r="R212" s="2" t="s">
        <v>834</v>
      </c>
    </row>
    <row r="213" spans="1:18" ht="15" hidden="1" thickBot="1" x14ac:dyDescent="0.35">
      <c r="A213" s="1">
        <f t="shared" si="6"/>
        <v>211</v>
      </c>
      <c r="B213" s="1">
        <v>4010</v>
      </c>
      <c r="C213" s="7">
        <v>104010</v>
      </c>
      <c r="D213" t="str">
        <f>VLOOKUP(B213,[2]Electricity!$A$8:$D$326,4,0)</f>
        <v>Jaan Heights, Gujranwala</v>
      </c>
      <c r="E213" s="12">
        <f>2861+5958</f>
        <v>8819</v>
      </c>
      <c r="F213" s="13">
        <f>2491+6943</f>
        <v>9434</v>
      </c>
      <c r="G213" s="13">
        <f>705+8637</f>
        <v>9342</v>
      </c>
      <c r="H213" s="13">
        <f>220+7012</f>
        <v>7232</v>
      </c>
      <c r="I213" s="13">
        <f>360+5459</f>
        <v>5819</v>
      </c>
      <c r="J213" s="13">
        <f>15+2949</f>
        <v>2964</v>
      </c>
      <c r="K213" s="13">
        <f>0+3997</f>
        <v>3997</v>
      </c>
      <c r="L213" s="13">
        <f>16+3838</f>
        <v>3854</v>
      </c>
      <c r="M213" s="13">
        <f>107+3206</f>
        <v>3313</v>
      </c>
      <c r="N213" s="13">
        <f>1183+6169</f>
        <v>7352</v>
      </c>
      <c r="O213" s="13">
        <f>1744+0</f>
        <v>1744</v>
      </c>
      <c r="P213" s="13">
        <f>3235+0</f>
        <v>3235</v>
      </c>
      <c r="Q213" s="14">
        <f t="shared" si="7"/>
        <v>67105</v>
      </c>
      <c r="R213" s="2" t="s">
        <v>834</v>
      </c>
    </row>
    <row r="214" spans="1:18" ht="15" hidden="1" thickBot="1" x14ac:dyDescent="0.35">
      <c r="A214" s="1">
        <f t="shared" si="6"/>
        <v>212</v>
      </c>
      <c r="B214" s="1">
        <v>4011</v>
      </c>
      <c r="C214" s="7">
        <v>104011</v>
      </c>
      <c r="D214" t="str">
        <f>VLOOKUP(B214,[2]Electricity!$A$8:$D$326,4,0)</f>
        <v>College Road, Sahiwal</v>
      </c>
      <c r="E214" s="12">
        <v>9589</v>
      </c>
      <c r="F214" s="13">
        <v>9154</v>
      </c>
      <c r="G214" s="13">
        <v>8552</v>
      </c>
      <c r="H214" s="13">
        <v>6956</v>
      </c>
      <c r="I214" s="13">
        <v>5292</v>
      </c>
      <c r="J214" s="13">
        <v>3964</v>
      </c>
      <c r="K214" s="13">
        <v>3218</v>
      </c>
      <c r="L214" s="13">
        <v>4245</v>
      </c>
      <c r="M214" s="13">
        <v>5761</v>
      </c>
      <c r="N214" s="13">
        <v>6810</v>
      </c>
      <c r="O214" s="13">
        <v>10039</v>
      </c>
      <c r="P214" s="13">
        <v>8546</v>
      </c>
      <c r="Q214" s="14">
        <f t="shared" si="7"/>
        <v>82126</v>
      </c>
      <c r="R214" s="2" t="s">
        <v>834</v>
      </c>
    </row>
    <row r="215" spans="1:18" ht="15" hidden="1" thickBot="1" x14ac:dyDescent="0.35">
      <c r="A215" s="1">
        <f t="shared" si="6"/>
        <v>213</v>
      </c>
      <c r="B215" s="1">
        <v>4012</v>
      </c>
      <c r="C215" s="7">
        <v>104012</v>
      </c>
      <c r="D215" t="str">
        <f>VLOOKUP(B215,[2]Electricity!$A$8:$D$326,4,0)</f>
        <v>PWD Road, Islamabad</v>
      </c>
      <c r="E215" s="12">
        <f>3296+6165</f>
        <v>9461</v>
      </c>
      <c r="F215" s="13">
        <f>4178+7717</f>
        <v>11895</v>
      </c>
      <c r="G215" s="13">
        <f>0+6998</f>
        <v>6998</v>
      </c>
      <c r="H215" s="13">
        <f>0+5234</f>
        <v>5234</v>
      </c>
      <c r="I215" s="13">
        <f>0+3883</f>
        <v>3883</v>
      </c>
      <c r="J215" s="13">
        <f>5827+3458</f>
        <v>9285</v>
      </c>
      <c r="K215" s="13">
        <f>654+3346</f>
        <v>4000</v>
      </c>
      <c r="L215" s="13">
        <f>571+3421</f>
        <v>3992</v>
      </c>
      <c r="M215" s="13">
        <f>559+3941</f>
        <v>4500</v>
      </c>
      <c r="N215" s="13">
        <f>2080+5327</f>
        <v>7407</v>
      </c>
      <c r="O215" s="13">
        <f>2632+5096</f>
        <v>7728</v>
      </c>
      <c r="P215" s="13">
        <f>3753+4915</f>
        <v>8668</v>
      </c>
      <c r="Q215" s="14">
        <f t="shared" si="7"/>
        <v>83051</v>
      </c>
      <c r="R215" s="2" t="s">
        <v>834</v>
      </c>
    </row>
    <row r="216" spans="1:18" ht="15" hidden="1" thickBot="1" x14ac:dyDescent="0.35">
      <c r="A216" s="1">
        <f t="shared" si="6"/>
        <v>214</v>
      </c>
      <c r="B216" s="1">
        <v>4013</v>
      </c>
      <c r="C216" s="7">
        <v>104013</v>
      </c>
      <c r="D216" t="str">
        <f>VLOOKUP(B216,[2]Electricity!$A$8:$D$326,4,0)</f>
        <v>By Pass, Gujranwala</v>
      </c>
      <c r="E216" s="12">
        <v>6054</v>
      </c>
      <c r="F216" s="13">
        <v>6734</v>
      </c>
      <c r="G216" s="13">
        <v>6688</v>
      </c>
      <c r="H216" s="13">
        <v>5405</v>
      </c>
      <c r="I216" s="13">
        <v>3096</v>
      </c>
      <c r="J216" s="13">
        <v>2806</v>
      </c>
      <c r="K216" s="13">
        <v>2831</v>
      </c>
      <c r="L216" s="13">
        <v>2517</v>
      </c>
      <c r="M216" s="13">
        <v>4423</v>
      </c>
      <c r="N216" s="13">
        <v>5142</v>
      </c>
      <c r="O216" s="13">
        <v>6908</v>
      </c>
      <c r="P216" s="13">
        <v>6760</v>
      </c>
      <c r="Q216" s="14">
        <f t="shared" si="7"/>
        <v>59364</v>
      </c>
      <c r="R216" s="2" t="s">
        <v>834</v>
      </c>
    </row>
    <row r="217" spans="1:18" ht="15" hidden="1" thickBot="1" x14ac:dyDescent="0.35">
      <c r="A217" s="1">
        <f t="shared" si="6"/>
        <v>215</v>
      </c>
      <c r="B217" s="1">
        <v>4014</v>
      </c>
      <c r="C217" s="7">
        <v>104014</v>
      </c>
      <c r="D217" t="str">
        <f>VLOOKUP(B217,[2]Electricity!$A$8:$D$326,4,0)</f>
        <v>Swabi</v>
      </c>
      <c r="E217" s="12">
        <v>4349</v>
      </c>
      <c r="F217" s="13">
        <v>5836</v>
      </c>
      <c r="G217" s="13">
        <v>6414</v>
      </c>
      <c r="H217" s="13">
        <v>4240</v>
      </c>
      <c r="I217" s="13">
        <v>3303</v>
      </c>
      <c r="J217" s="13">
        <v>1885</v>
      </c>
      <c r="K217" s="13">
        <v>2039</v>
      </c>
      <c r="L217" s="13">
        <v>2297</v>
      </c>
      <c r="M217" s="13">
        <v>2062</v>
      </c>
      <c r="N217" s="13">
        <v>2884</v>
      </c>
      <c r="O217" s="13">
        <v>2649</v>
      </c>
      <c r="P217" s="13">
        <v>3787</v>
      </c>
      <c r="Q217" s="14">
        <f t="shared" si="7"/>
        <v>41745</v>
      </c>
      <c r="R217" s="2" t="s">
        <v>834</v>
      </c>
    </row>
    <row r="218" spans="1:18" ht="15" hidden="1" thickBot="1" x14ac:dyDescent="0.35">
      <c r="A218" s="1">
        <f t="shared" si="6"/>
        <v>216</v>
      </c>
      <c r="B218" s="1">
        <v>4016</v>
      </c>
      <c r="C218" s="7">
        <v>104016</v>
      </c>
      <c r="D218" t="str">
        <f>VLOOKUP(B218,[2]Electricity!$A$8:$D$326,4,0)</f>
        <v>Shalimar Link Road, Lahore</v>
      </c>
      <c r="E218" s="12">
        <v>5381</v>
      </c>
      <c r="F218" s="13">
        <v>6868</v>
      </c>
      <c r="G218" s="13">
        <v>7607</v>
      </c>
      <c r="H218" s="13">
        <v>5053</v>
      </c>
      <c r="I218" s="13">
        <v>2776</v>
      </c>
      <c r="J218" s="13">
        <v>2874</v>
      </c>
      <c r="K218" s="13">
        <v>3358</v>
      </c>
      <c r="L218" s="13">
        <v>3339</v>
      </c>
      <c r="M218" s="13">
        <v>4654</v>
      </c>
      <c r="N218" s="13">
        <v>4752</v>
      </c>
      <c r="O218" s="13">
        <v>8183</v>
      </c>
      <c r="P218" s="13">
        <v>7546</v>
      </c>
      <c r="Q218" s="14">
        <f t="shared" si="7"/>
        <v>62391</v>
      </c>
      <c r="R218" s="2" t="s">
        <v>834</v>
      </c>
    </row>
    <row r="219" spans="1:18" ht="15" hidden="1" thickBot="1" x14ac:dyDescent="0.35">
      <c r="A219" s="1">
        <f t="shared" si="6"/>
        <v>217</v>
      </c>
      <c r="B219" s="1">
        <v>4017</v>
      </c>
      <c r="C219" s="7">
        <v>104017</v>
      </c>
      <c r="D219" t="str">
        <f>VLOOKUP(B219,[2]Electricity!$A$8:$D$326,4,0)</f>
        <v>Ludden Road, Vehari</v>
      </c>
      <c r="E219" s="12">
        <v>6460</v>
      </c>
      <c r="F219" s="13">
        <v>7718</v>
      </c>
      <c r="G219" s="13">
        <v>7899</v>
      </c>
      <c r="H219" s="13">
        <v>7679</v>
      </c>
      <c r="I219" s="13">
        <v>6300</v>
      </c>
      <c r="J219" s="13">
        <v>4091</v>
      </c>
      <c r="K219" s="13">
        <v>3865</v>
      </c>
      <c r="L219" s="13">
        <v>3983</v>
      </c>
      <c r="M219" s="13">
        <v>3605</v>
      </c>
      <c r="N219" s="13">
        <v>5612</v>
      </c>
      <c r="O219" s="13">
        <v>6567</v>
      </c>
      <c r="P219" s="13">
        <v>8034</v>
      </c>
      <c r="Q219" s="14">
        <f t="shared" si="7"/>
        <v>71813</v>
      </c>
      <c r="R219" s="2" t="s">
        <v>834</v>
      </c>
    </row>
    <row r="220" spans="1:18" ht="15" hidden="1" thickBot="1" x14ac:dyDescent="0.35">
      <c r="A220" s="1">
        <f t="shared" si="6"/>
        <v>218</v>
      </c>
      <c r="B220" s="1">
        <v>4018</v>
      </c>
      <c r="C220" s="7">
        <v>104018</v>
      </c>
      <c r="D220" t="str">
        <f>VLOOKUP(B220,[2]Electricity!$A$8:$D$326,4,0)</f>
        <v>Talagang Road, Chakwal</v>
      </c>
      <c r="E220" s="12">
        <v>4136</v>
      </c>
      <c r="F220" s="13">
        <v>4776</v>
      </c>
      <c r="G220" s="13">
        <v>4230</v>
      </c>
      <c r="H220" s="13">
        <v>3601</v>
      </c>
      <c r="I220" s="13">
        <v>3513</v>
      </c>
      <c r="J220" s="13">
        <v>1698</v>
      </c>
      <c r="K220" s="13">
        <v>2644</v>
      </c>
      <c r="L220" s="13">
        <v>2670</v>
      </c>
      <c r="M220" s="13">
        <v>2462</v>
      </c>
      <c r="N220" s="13">
        <v>4229</v>
      </c>
      <c r="O220" s="13">
        <v>4366</v>
      </c>
      <c r="P220" s="13">
        <v>4871</v>
      </c>
      <c r="Q220" s="14">
        <f t="shared" si="7"/>
        <v>43196</v>
      </c>
      <c r="R220" s="2" t="s">
        <v>834</v>
      </c>
    </row>
    <row r="221" spans="1:18" ht="15" hidden="1" thickBot="1" x14ac:dyDescent="0.35">
      <c r="A221" s="1">
        <f t="shared" si="6"/>
        <v>219</v>
      </c>
      <c r="B221" s="1">
        <v>4019</v>
      </c>
      <c r="C221" s="7">
        <v>104019</v>
      </c>
      <c r="D221" t="str">
        <f>VLOOKUP(B221,[2]Electricity!$A$8:$D$326,4,0)</f>
        <v>Khayaban-e-Ittehad, Karachi</v>
      </c>
      <c r="E221" s="12">
        <f>3010+774+2812</f>
        <v>6596</v>
      </c>
      <c r="F221" s="13">
        <f>2521+768+3235</f>
        <v>6524</v>
      </c>
      <c r="G221" s="13">
        <f>2654+863+2887</f>
        <v>6404</v>
      </c>
      <c r="H221" s="13">
        <f>2897+730+2364</f>
        <v>5991</v>
      </c>
      <c r="I221" s="13">
        <f>2812+627+1641</f>
        <v>5080</v>
      </c>
      <c r="J221" s="13">
        <f>1199+627+2096</f>
        <v>3922</v>
      </c>
      <c r="K221" s="13">
        <f>634+733+1134</f>
        <v>2501</v>
      </c>
      <c r="L221" s="13">
        <f>976+888+1401</f>
        <v>3265</v>
      </c>
      <c r="M221" s="13">
        <f>1588+813+1692</f>
        <v>4093</v>
      </c>
      <c r="N221" s="13">
        <f>2401+1070+2140</f>
        <v>5611</v>
      </c>
      <c r="O221" s="13">
        <f>884+2835+2480</f>
        <v>6199</v>
      </c>
      <c r="P221" s="13">
        <f>7649</f>
        <v>7649</v>
      </c>
      <c r="Q221" s="14">
        <f t="shared" si="7"/>
        <v>63835</v>
      </c>
      <c r="R221" s="2" t="s">
        <v>834</v>
      </c>
    </row>
    <row r="222" spans="1:18" ht="15" hidden="1" thickBot="1" x14ac:dyDescent="0.35">
      <c r="A222" s="1">
        <f t="shared" si="6"/>
        <v>220</v>
      </c>
      <c r="B222" s="1">
        <v>4020</v>
      </c>
      <c r="C222" s="7">
        <v>104020</v>
      </c>
      <c r="D222" t="str">
        <f>VLOOKUP(B222,[2]Electricity!$A$8:$D$326,4,0)</f>
        <v>F-10 Al Asad Plaza, Islamabad</v>
      </c>
      <c r="E222" s="12">
        <f>1804+77+2795</f>
        <v>4676</v>
      </c>
      <c r="F222" s="13">
        <f>2083+86+3726</f>
        <v>5895</v>
      </c>
      <c r="G222" s="13">
        <f>2073+87+3141</f>
        <v>5301</v>
      </c>
      <c r="H222" s="13">
        <f>1885+77+2430</f>
        <v>4392</v>
      </c>
      <c r="I222" s="13">
        <f>2098+56+1520</f>
        <v>3674</v>
      </c>
      <c r="J222" s="13">
        <f>1914+32+625</f>
        <v>2571</v>
      </c>
      <c r="K222" s="13">
        <f>2031+22+658</f>
        <v>2711</v>
      </c>
      <c r="L222" s="13">
        <f>2062+32+691</f>
        <v>2785</v>
      </c>
      <c r="M222" s="13">
        <f>1879+47+585</f>
        <v>2511</v>
      </c>
      <c r="N222" s="13">
        <f>2125+1358</f>
        <v>3483</v>
      </c>
      <c r="O222" s="13">
        <f>1872+76+1872</f>
        <v>3820</v>
      </c>
      <c r="P222" s="13">
        <f>1894+38+2529</f>
        <v>4461</v>
      </c>
      <c r="Q222" s="14">
        <f t="shared" si="7"/>
        <v>46280</v>
      </c>
      <c r="R222" s="2" t="s">
        <v>834</v>
      </c>
    </row>
    <row r="223" spans="1:18" ht="15" hidden="1" thickBot="1" x14ac:dyDescent="0.35">
      <c r="A223" s="1">
        <f t="shared" si="6"/>
        <v>221</v>
      </c>
      <c r="B223" s="1">
        <v>4021</v>
      </c>
      <c r="C223" s="7">
        <v>104021</v>
      </c>
      <c r="D223" t="str">
        <f>VLOOKUP(B223,[2]Electricity!$A$8:$D$326,4,0)</f>
        <v>Main Rawalpindi Road, Kohat</v>
      </c>
      <c r="E223" s="12">
        <v>6310</v>
      </c>
      <c r="F223" s="13">
        <v>7190</v>
      </c>
      <c r="G223" s="13">
        <v>6901</v>
      </c>
      <c r="H223" s="13">
        <v>5690</v>
      </c>
      <c r="I223" s="13">
        <v>4029</v>
      </c>
      <c r="J223" s="13">
        <v>3445</v>
      </c>
      <c r="K223" s="13">
        <v>2889</v>
      </c>
      <c r="L223" s="13">
        <v>3211</v>
      </c>
      <c r="M223" s="13">
        <v>2632</v>
      </c>
      <c r="N223" s="13">
        <v>3864</v>
      </c>
      <c r="O223" s="13">
        <v>3925</v>
      </c>
      <c r="P223" s="13">
        <v>5591</v>
      </c>
      <c r="Q223" s="14">
        <f t="shared" si="7"/>
        <v>55677</v>
      </c>
      <c r="R223" s="2" t="s">
        <v>834</v>
      </c>
    </row>
    <row r="224" spans="1:18" ht="15" hidden="1" thickBot="1" x14ac:dyDescent="0.35">
      <c r="A224" s="1">
        <f t="shared" si="6"/>
        <v>222</v>
      </c>
      <c r="B224" s="1">
        <v>4022</v>
      </c>
      <c r="C224" s="7">
        <v>104022</v>
      </c>
      <c r="D224" t="str">
        <f>VLOOKUP(B224,[2]Electricity!$A$8:$D$326,4,0)</f>
        <v>Kambar Road, Sawat</v>
      </c>
      <c r="E224" s="12">
        <v>5071</v>
      </c>
      <c r="F224" s="13">
        <v>7040</v>
      </c>
      <c r="G224" s="13">
        <v>6545</v>
      </c>
      <c r="H224" s="13">
        <v>5702</v>
      </c>
      <c r="I224" s="13">
        <v>3616</v>
      </c>
      <c r="J224" s="13">
        <v>3684</v>
      </c>
      <c r="K224" s="13">
        <v>4116</v>
      </c>
      <c r="L224" s="13">
        <v>3915</v>
      </c>
      <c r="M224" s="13">
        <v>3394</v>
      </c>
      <c r="N224" s="13">
        <v>3721</v>
      </c>
      <c r="O224" s="13">
        <v>4000</v>
      </c>
      <c r="P224" s="13">
        <v>5757</v>
      </c>
      <c r="Q224" s="14">
        <f t="shared" si="7"/>
        <v>56561</v>
      </c>
      <c r="R224" s="2" t="s">
        <v>834</v>
      </c>
    </row>
    <row r="225" spans="1:18" ht="15" hidden="1" thickBot="1" x14ac:dyDescent="0.35">
      <c r="A225" s="1">
        <f t="shared" si="6"/>
        <v>223</v>
      </c>
      <c r="B225" s="1">
        <v>4023</v>
      </c>
      <c r="C225" s="1">
        <v>104023</v>
      </c>
      <c r="D225" t="str">
        <f>VLOOKUP(B225,[2]Electricity!$A$8:$D$326,4,0)</f>
        <v>Fateh Garh, Lahore</v>
      </c>
      <c r="E225" s="12">
        <f>722+291+5520</f>
        <v>6533</v>
      </c>
      <c r="F225" s="13">
        <f>772+287+5100</f>
        <v>6159</v>
      </c>
      <c r="G225" s="13">
        <f>762+425+4920</f>
        <v>6107</v>
      </c>
      <c r="H225" s="13">
        <f>715+612+3460</f>
        <v>4787</v>
      </c>
      <c r="I225" s="13">
        <f>672+571+1380</f>
        <v>2623</v>
      </c>
      <c r="J225" s="13">
        <f>537+416+1640</f>
        <v>2593</v>
      </c>
      <c r="K225" s="13">
        <f>678+594+1500</f>
        <v>2772</v>
      </c>
      <c r="L225" s="13">
        <f>654+375+1320</f>
        <v>2349</v>
      </c>
      <c r="M225" s="13">
        <f>578+309+2900</f>
        <v>3787</v>
      </c>
      <c r="N225" s="13">
        <f>760+449+2000+1220</f>
        <v>4429</v>
      </c>
      <c r="O225" s="13">
        <f>851+441+4100</f>
        <v>5392</v>
      </c>
      <c r="P225" s="13">
        <f>821+424+4600</f>
        <v>5845</v>
      </c>
      <c r="Q225" s="14">
        <f t="shared" si="7"/>
        <v>53376</v>
      </c>
      <c r="R225" s="2" t="s">
        <v>834</v>
      </c>
    </row>
    <row r="226" spans="1:18" ht="15" hidden="1" thickBot="1" x14ac:dyDescent="0.35">
      <c r="A226" s="1">
        <f t="shared" si="6"/>
        <v>224</v>
      </c>
      <c r="B226" s="1">
        <v>4024</v>
      </c>
      <c r="C226" s="7">
        <v>104024</v>
      </c>
      <c r="D226" t="str">
        <f>VLOOKUP(B226,[2]Electricity!$A$8:$D$326,4,0)</f>
        <v>Batti Chowk, Sheikhupura</v>
      </c>
      <c r="E226" s="12">
        <v>252460</v>
      </c>
      <c r="F226" s="13">
        <v>3600</v>
      </c>
      <c r="G226" s="13">
        <v>3240</v>
      </c>
      <c r="H226" s="13">
        <v>0</v>
      </c>
      <c r="I226" s="13">
        <v>6460</v>
      </c>
      <c r="J226" s="13">
        <v>4100</v>
      </c>
      <c r="K226" s="13">
        <v>2240</v>
      </c>
      <c r="L226" s="13">
        <v>1660</v>
      </c>
      <c r="M226" s="13">
        <f>1960+860</f>
        <v>2820</v>
      </c>
      <c r="N226" s="13">
        <v>3360</v>
      </c>
      <c r="O226" s="13">
        <v>2540</v>
      </c>
      <c r="P226" s="13">
        <v>6100</v>
      </c>
      <c r="Q226" s="14">
        <f t="shared" si="7"/>
        <v>288580</v>
      </c>
      <c r="R226" s="2" t="s">
        <v>849</v>
      </c>
    </row>
    <row r="227" spans="1:18" ht="15" hidden="1" thickBot="1" x14ac:dyDescent="0.35">
      <c r="A227" s="1">
        <f t="shared" si="6"/>
        <v>225</v>
      </c>
      <c r="B227" s="1">
        <v>4025</v>
      </c>
      <c r="C227" s="7">
        <v>104025</v>
      </c>
      <c r="D227" t="str">
        <f>VLOOKUP(B227,[2]Electricity!$A$8:$D$326,4,0)</f>
        <v>Aziz Shaheed Raod, Sialkot.</v>
      </c>
      <c r="E227" s="12">
        <v>5796</v>
      </c>
      <c r="F227" s="13">
        <v>5997</v>
      </c>
      <c r="G227" s="13">
        <v>6123</v>
      </c>
      <c r="H227" s="13">
        <v>5496</v>
      </c>
      <c r="I227" s="13">
        <v>4610</v>
      </c>
      <c r="J227" s="13">
        <v>4151</v>
      </c>
      <c r="K227" s="13">
        <v>3992</v>
      </c>
      <c r="L227" s="13">
        <v>3634</v>
      </c>
      <c r="M227" s="13">
        <v>4759</v>
      </c>
      <c r="N227" s="13">
        <v>5198</v>
      </c>
      <c r="O227" s="13">
        <v>6169</v>
      </c>
      <c r="P227" s="13">
        <v>6431</v>
      </c>
      <c r="Q227" s="14">
        <f t="shared" si="7"/>
        <v>62356</v>
      </c>
      <c r="R227" s="2" t="s">
        <v>834</v>
      </c>
    </row>
    <row r="228" spans="1:18" ht="15" hidden="1" thickBot="1" x14ac:dyDescent="0.35">
      <c r="A228" s="1">
        <f t="shared" si="6"/>
        <v>226</v>
      </c>
      <c r="B228" s="1">
        <v>4026</v>
      </c>
      <c r="C228" s="7">
        <v>104026</v>
      </c>
      <c r="D228" t="str">
        <f>VLOOKUP(B228,[2]Electricity!$A$8:$D$326,4,0)</f>
        <v>GT Road, Gujrat</v>
      </c>
      <c r="E228" s="12">
        <v>5144</v>
      </c>
      <c r="F228" s="13">
        <v>5145</v>
      </c>
      <c r="G228" s="13">
        <v>4756</v>
      </c>
      <c r="H228" s="13">
        <v>3597</v>
      </c>
      <c r="I228" s="13">
        <v>3026</v>
      </c>
      <c r="J228" s="13">
        <v>2940</v>
      </c>
      <c r="K228" s="13">
        <v>3277</v>
      </c>
      <c r="L228" s="13">
        <v>2444</v>
      </c>
      <c r="M228" s="13">
        <v>3424</v>
      </c>
      <c r="N228" s="13">
        <v>3384</v>
      </c>
      <c r="O228" s="13">
        <v>4582</v>
      </c>
      <c r="P228" s="13">
        <v>4444</v>
      </c>
      <c r="Q228" s="14">
        <f t="shared" si="7"/>
        <v>46163</v>
      </c>
      <c r="R228" s="2" t="s">
        <v>834</v>
      </c>
    </row>
    <row r="229" spans="1:18" ht="15" hidden="1" thickBot="1" x14ac:dyDescent="0.35">
      <c r="A229" s="1">
        <f t="shared" si="6"/>
        <v>227</v>
      </c>
      <c r="B229" s="1">
        <v>4027</v>
      </c>
      <c r="C229" s="7">
        <v>104027</v>
      </c>
      <c r="D229" t="str">
        <f>VLOOKUP(B229,[2]Electricity!$A$8:$D$326,4,0)</f>
        <v>Main GT Road, Wah Cant</v>
      </c>
      <c r="E229" s="12">
        <v>6001</v>
      </c>
      <c r="F229" s="13">
        <v>7849</v>
      </c>
      <c r="G229" s="13">
        <v>7126</v>
      </c>
      <c r="H229" s="13">
        <v>6338</v>
      </c>
      <c r="I229" s="13">
        <v>4562</v>
      </c>
      <c r="J229" s="13">
        <v>3641</v>
      </c>
      <c r="K229" s="13">
        <v>5497</v>
      </c>
      <c r="L229" s="13">
        <v>5214</v>
      </c>
      <c r="M229" s="13">
        <v>4175</v>
      </c>
      <c r="N229" s="13">
        <v>4474</v>
      </c>
      <c r="O229" s="13">
        <v>4076</v>
      </c>
      <c r="P229" s="13">
        <v>4401</v>
      </c>
      <c r="Q229" s="14">
        <f t="shared" si="7"/>
        <v>63354</v>
      </c>
      <c r="R229" s="2" t="s">
        <v>834</v>
      </c>
    </row>
    <row r="230" spans="1:18" ht="15" hidden="1" thickBot="1" x14ac:dyDescent="0.35">
      <c r="A230" s="1">
        <f t="shared" si="6"/>
        <v>228</v>
      </c>
      <c r="B230" s="15">
        <v>4028</v>
      </c>
      <c r="C230" s="7">
        <v>4028</v>
      </c>
      <c r="D230" t="str">
        <f>VLOOKUP(B230,[2]Electricity!$A$8:$D$326,4,0)</f>
        <v>Neelam Road, Muzaffarbad</v>
      </c>
      <c r="E230" s="12">
        <v>4094</v>
      </c>
      <c r="F230" s="13">
        <v>113</v>
      </c>
      <c r="G230" s="13">
        <v>4000</v>
      </c>
      <c r="H230" s="13">
        <v>3972</v>
      </c>
      <c r="I230" s="13">
        <v>4999</v>
      </c>
      <c r="J230" s="13">
        <v>3133</v>
      </c>
      <c r="K230" s="13">
        <v>2757</v>
      </c>
      <c r="L230" s="13">
        <v>2827</v>
      </c>
      <c r="M230" s="13">
        <v>2126</v>
      </c>
      <c r="N230" s="13">
        <v>5300</v>
      </c>
      <c r="O230" s="13">
        <v>2500</v>
      </c>
      <c r="P230" s="13">
        <v>0</v>
      </c>
      <c r="Q230" s="14">
        <f t="shared" si="7"/>
        <v>35821</v>
      </c>
      <c r="R230" s="2" t="s">
        <v>856</v>
      </c>
    </row>
    <row r="231" spans="1:18" ht="15" hidden="1" thickBot="1" x14ac:dyDescent="0.35">
      <c r="A231" s="1">
        <f t="shared" si="6"/>
        <v>229</v>
      </c>
      <c r="B231" s="1">
        <v>4029</v>
      </c>
      <c r="C231" s="7">
        <v>104029</v>
      </c>
      <c r="D231" t="str">
        <f>VLOOKUP(B231,[2]Electricity!$A$8:$D$326,4,0)</f>
        <v>Yousaf Shah Road, Jhang</v>
      </c>
      <c r="E231" s="12">
        <v>4492</v>
      </c>
      <c r="F231" s="13">
        <v>6233</v>
      </c>
      <c r="G231" s="13">
        <v>2175</v>
      </c>
      <c r="H231" s="13">
        <v>3079</v>
      </c>
      <c r="I231" s="13">
        <v>2645</v>
      </c>
      <c r="J231" s="13">
        <v>1453</v>
      </c>
      <c r="K231" s="13">
        <v>3298</v>
      </c>
      <c r="L231" s="13">
        <v>1403</v>
      </c>
      <c r="M231" s="13">
        <v>1822</v>
      </c>
      <c r="N231" s="13">
        <f>3107+914</f>
        <v>4021</v>
      </c>
      <c r="O231" s="13">
        <f>3638+1501</f>
        <v>5139</v>
      </c>
      <c r="P231" s="13">
        <f>4023+1502</f>
        <v>5525</v>
      </c>
      <c r="Q231" s="14">
        <f t="shared" si="7"/>
        <v>41285</v>
      </c>
      <c r="R231" s="2" t="s">
        <v>834</v>
      </c>
    </row>
    <row r="232" spans="1:18" ht="15" hidden="1" thickBot="1" x14ac:dyDescent="0.35">
      <c r="A232" s="1">
        <f t="shared" si="6"/>
        <v>230</v>
      </c>
      <c r="B232" s="1">
        <v>4030</v>
      </c>
      <c r="C232" s="7">
        <v>104030</v>
      </c>
      <c r="D232" t="str">
        <f>VLOOKUP(B232,[2]Electricity!$A$8:$D$326,4,0)</f>
        <v>Nishtar Road, Mian Channu</v>
      </c>
      <c r="E232" s="12">
        <f>1936+4424</f>
        <v>6360</v>
      </c>
      <c r="F232" s="13">
        <f>2645+7681</f>
        <v>10326</v>
      </c>
      <c r="G232" s="13">
        <f>2313+6305</f>
        <v>8618</v>
      </c>
      <c r="H232" s="13">
        <f>1904+2901</f>
        <v>4805</v>
      </c>
      <c r="I232" s="13">
        <f>1825+3790</f>
        <v>5615</v>
      </c>
      <c r="J232" s="13">
        <f>1903+2379</f>
        <v>4282</v>
      </c>
      <c r="K232" s="13">
        <f>1859+2240</f>
        <v>4099</v>
      </c>
      <c r="L232" s="13">
        <f>1963+2352</f>
        <v>4315</v>
      </c>
      <c r="M232" s="13">
        <f>2518+2012</f>
        <v>4530</v>
      </c>
      <c r="N232" s="13">
        <f>4904</f>
        <v>4904</v>
      </c>
      <c r="O232" s="13">
        <v>5128</v>
      </c>
      <c r="P232" s="13">
        <v>5784</v>
      </c>
      <c r="Q232" s="14">
        <f t="shared" si="7"/>
        <v>68766</v>
      </c>
      <c r="R232" s="2" t="s">
        <v>850</v>
      </c>
    </row>
    <row r="233" spans="1:18" ht="15" hidden="1" thickBot="1" x14ac:dyDescent="0.35">
      <c r="A233" s="1">
        <f t="shared" si="6"/>
        <v>231</v>
      </c>
      <c r="B233" s="15">
        <v>4031</v>
      </c>
      <c r="C233" s="1">
        <v>4031</v>
      </c>
      <c r="D233" t="str">
        <f>VLOOKUP(B233,[2]Electricity!$A$8:$D$326,4,0)</f>
        <v xml:space="preserve">Bank Road, Rawalacot </v>
      </c>
      <c r="E233" s="12">
        <v>4492</v>
      </c>
      <c r="F233" s="13">
        <v>6233</v>
      </c>
      <c r="G233" s="13">
        <v>2175</v>
      </c>
      <c r="H233" s="13">
        <v>3079</v>
      </c>
      <c r="I233" s="13">
        <v>2645</v>
      </c>
      <c r="J233" s="13">
        <v>1453</v>
      </c>
      <c r="K233" s="13">
        <v>3298</v>
      </c>
      <c r="L233" s="13">
        <v>1403</v>
      </c>
      <c r="M233" s="13">
        <v>2878</v>
      </c>
      <c r="N233" s="13">
        <v>2685</v>
      </c>
      <c r="O233" s="13">
        <v>1789</v>
      </c>
      <c r="P233" s="13">
        <v>0</v>
      </c>
      <c r="Q233" s="14">
        <f t="shared" si="7"/>
        <v>32130</v>
      </c>
      <c r="R233" s="2" t="s">
        <v>856</v>
      </c>
    </row>
    <row r="234" spans="1:18" ht="15" hidden="1" thickBot="1" x14ac:dyDescent="0.35">
      <c r="A234" s="1">
        <f t="shared" si="6"/>
        <v>232</v>
      </c>
      <c r="B234" s="1">
        <v>4032</v>
      </c>
      <c r="C234" s="1">
        <v>104032</v>
      </c>
      <c r="D234" t="str">
        <f>VLOOKUP(B234,[2]Electricity!$A$8:$D$326,4,0)</f>
        <v>Soney Khail Plaza, Mianwali</v>
      </c>
      <c r="E234" s="12">
        <f>1936+4424</f>
        <v>6360</v>
      </c>
      <c r="F234" s="13">
        <f>2645+7681</f>
        <v>10326</v>
      </c>
      <c r="G234" s="13">
        <f>2313+6305</f>
        <v>8618</v>
      </c>
      <c r="H234" s="13">
        <f>1904+2901</f>
        <v>4805</v>
      </c>
      <c r="I234" s="13">
        <f>1825+3790</f>
        <v>5615</v>
      </c>
      <c r="J234" s="13">
        <f>1903+2379</f>
        <v>4282</v>
      </c>
      <c r="K234" s="13">
        <f>1859+2240</f>
        <v>4099</v>
      </c>
      <c r="L234" s="13">
        <f>1963+2352</f>
        <v>4315</v>
      </c>
      <c r="M234" s="13">
        <f>2518+2012</f>
        <v>4530</v>
      </c>
      <c r="N234" s="13">
        <f>1705+2886</f>
        <v>4591</v>
      </c>
      <c r="O234" s="13">
        <f>2098+4361</f>
        <v>6459</v>
      </c>
      <c r="P234" s="13">
        <f>2098+4361</f>
        <v>6459</v>
      </c>
      <c r="Q234" s="14">
        <f t="shared" si="7"/>
        <v>70459</v>
      </c>
      <c r="R234" s="2" t="s">
        <v>834</v>
      </c>
    </row>
    <row r="235" spans="1:18" ht="15" hidden="1" thickBot="1" x14ac:dyDescent="0.35">
      <c r="A235" s="1">
        <f t="shared" si="6"/>
        <v>233</v>
      </c>
      <c r="B235" s="1">
        <v>4033</v>
      </c>
      <c r="C235" s="7">
        <v>104033</v>
      </c>
      <c r="D235" t="str">
        <f>VLOOKUP(B235,[2]Electricity!$A$8:$D$326,4,0)</f>
        <v>College Road, Chishtian</v>
      </c>
      <c r="E235" s="12">
        <v>8886</v>
      </c>
      <c r="F235" s="13">
        <v>6694</v>
      </c>
      <c r="G235" s="13">
        <v>10867</v>
      </c>
      <c r="H235" s="13">
        <v>7468</v>
      </c>
      <c r="I235" s="13">
        <v>8038</v>
      </c>
      <c r="J235" s="13">
        <v>2092</v>
      </c>
      <c r="K235" s="13">
        <v>4207</v>
      </c>
      <c r="L235" s="13">
        <v>3695</v>
      </c>
      <c r="M235" s="13">
        <v>6710</v>
      </c>
      <c r="N235" s="13">
        <v>6507</v>
      </c>
      <c r="O235" s="13">
        <v>9839</v>
      </c>
      <c r="P235" s="13">
        <v>8848</v>
      </c>
      <c r="Q235" s="14">
        <f t="shared" si="7"/>
        <v>83851</v>
      </c>
      <c r="R235" s="2" t="s">
        <v>834</v>
      </c>
    </row>
    <row r="236" spans="1:18" ht="15" hidden="1" thickBot="1" x14ac:dyDescent="0.35">
      <c r="A236" s="1">
        <f t="shared" si="6"/>
        <v>234</v>
      </c>
      <c r="B236" s="1">
        <v>4034</v>
      </c>
      <c r="C236" s="7">
        <v>104034</v>
      </c>
      <c r="D236" t="str">
        <f>VLOOKUP(B236,[2]Electricity!$A$8:$D$326,4,0)</f>
        <v>Shahbaz Khan Road, Kasur</v>
      </c>
      <c r="E236" s="12">
        <f>4580+446+558</f>
        <v>5584</v>
      </c>
      <c r="F236" s="13">
        <f>6260+409+543</f>
        <v>7212</v>
      </c>
      <c r="G236" s="13">
        <f>5080+753+312</f>
        <v>6145</v>
      </c>
      <c r="H236" s="13">
        <f>4960+725+304</f>
        <v>5989</v>
      </c>
      <c r="I236" s="13">
        <f>3720+484+61</f>
        <v>4265</v>
      </c>
      <c r="J236" s="13">
        <f>3060+237+78</f>
        <v>3375</v>
      </c>
      <c r="K236" s="13">
        <f>0+2361+110</f>
        <v>2471</v>
      </c>
      <c r="L236" s="13">
        <f>0+2030+189</f>
        <v>2219</v>
      </c>
      <c r="M236" s="13">
        <f>0+3527+580</f>
        <v>4107</v>
      </c>
      <c r="N236" s="13">
        <f>3308+650</f>
        <v>3958</v>
      </c>
      <c r="O236" s="13">
        <f>2810+621</f>
        <v>3431</v>
      </c>
      <c r="P236" s="13">
        <f>1847+300</f>
        <v>2147</v>
      </c>
      <c r="Q236" s="14">
        <f t="shared" si="7"/>
        <v>50903</v>
      </c>
      <c r="R236" s="2" t="s">
        <v>834</v>
      </c>
    </row>
    <row r="237" spans="1:18" ht="15" hidden="1" thickBot="1" x14ac:dyDescent="0.35">
      <c r="A237" s="1">
        <f t="shared" si="6"/>
        <v>235</v>
      </c>
      <c r="B237" s="1">
        <v>4035</v>
      </c>
      <c r="C237" s="7">
        <v>104035</v>
      </c>
      <c r="D237" t="str">
        <f>VLOOKUP(B237,[2]Electricity!$A$8:$D$326,4,0)</f>
        <v>Bahria Town, Lahore</v>
      </c>
      <c r="E237" s="12">
        <v>9570</v>
      </c>
      <c r="F237" s="13">
        <v>9183</v>
      </c>
      <c r="G237" s="13">
        <v>9552</v>
      </c>
      <c r="H237" s="13">
        <v>8910</v>
      </c>
      <c r="I237" s="13">
        <v>4549</v>
      </c>
      <c r="J237" s="13">
        <v>4342</v>
      </c>
      <c r="K237" s="13">
        <v>4846</v>
      </c>
      <c r="L237" s="13">
        <v>4402</v>
      </c>
      <c r="M237" s="13">
        <v>6800</v>
      </c>
      <c r="N237" s="13"/>
      <c r="O237" s="13"/>
      <c r="P237" s="13"/>
      <c r="Q237" s="14">
        <f t="shared" si="7"/>
        <v>62154</v>
      </c>
      <c r="R237" s="2" t="s">
        <v>837</v>
      </c>
    </row>
    <row r="238" spans="1:18" ht="15" hidden="1" thickBot="1" x14ac:dyDescent="0.35">
      <c r="A238" s="1">
        <f t="shared" si="6"/>
        <v>236</v>
      </c>
      <c r="B238" s="1">
        <v>4036</v>
      </c>
      <c r="C238" s="1">
        <v>104036</v>
      </c>
      <c r="D238" t="str">
        <f>VLOOKUP(B238,[2]Electricity!$A$8:$D$326,4,0)</f>
        <v>SP Chowk Cantt, Multan</v>
      </c>
      <c r="E238" s="12">
        <v>9570</v>
      </c>
      <c r="F238" s="13">
        <v>9183</v>
      </c>
      <c r="G238" s="13">
        <v>9552</v>
      </c>
      <c r="H238" s="13">
        <v>8910</v>
      </c>
      <c r="I238" s="13">
        <v>4549</v>
      </c>
      <c r="J238" s="13">
        <v>4342</v>
      </c>
      <c r="K238" s="13">
        <v>4846</v>
      </c>
      <c r="L238" s="13">
        <v>4402</v>
      </c>
      <c r="M238" s="13">
        <v>6800</v>
      </c>
      <c r="N238" s="13">
        <v>6342</v>
      </c>
      <c r="O238" s="13">
        <v>9677</v>
      </c>
      <c r="P238" s="13">
        <v>9981</v>
      </c>
      <c r="Q238" s="14">
        <f t="shared" si="7"/>
        <v>88154</v>
      </c>
      <c r="R238" s="2" t="s">
        <v>834</v>
      </c>
    </row>
    <row r="239" spans="1:18" ht="15" hidden="1" thickBot="1" x14ac:dyDescent="0.35">
      <c r="A239" s="1">
        <f t="shared" si="6"/>
        <v>237</v>
      </c>
      <c r="B239" s="1">
        <v>4037</v>
      </c>
      <c r="C239" s="7">
        <v>104037</v>
      </c>
      <c r="D239" t="str">
        <f>VLOOKUP(B239,[2]Electricity!$A$8:$D$326,4,0)</f>
        <v>TMA Road, Gojra</v>
      </c>
      <c r="E239" s="12"/>
      <c r="F239" s="13"/>
      <c r="G239" s="13"/>
      <c r="H239" s="13"/>
      <c r="I239" s="13"/>
      <c r="J239" s="13">
        <f>2+11064</f>
        <v>11066</v>
      </c>
      <c r="K239" s="13">
        <f>0+5599</f>
        <v>5599</v>
      </c>
      <c r="L239" s="13">
        <f>12+3637</f>
        <v>3649</v>
      </c>
      <c r="M239" s="13">
        <f>3875+3481</f>
        <v>7356</v>
      </c>
      <c r="N239" s="13">
        <f>4156+4728</f>
        <v>8884</v>
      </c>
      <c r="O239" s="13">
        <f>4125+3995</f>
        <v>8120</v>
      </c>
      <c r="P239" s="13">
        <f>3831+2686</f>
        <v>6517</v>
      </c>
      <c r="Q239" s="14">
        <f t="shared" si="7"/>
        <v>51191</v>
      </c>
      <c r="R239" s="2" t="s">
        <v>834</v>
      </c>
    </row>
    <row r="240" spans="1:18" ht="15" hidden="1" thickBot="1" x14ac:dyDescent="0.35">
      <c r="A240" s="1">
        <f t="shared" si="6"/>
        <v>238</v>
      </c>
      <c r="B240" s="1">
        <v>4038</v>
      </c>
      <c r="C240" s="7">
        <v>104038</v>
      </c>
      <c r="D240" t="str">
        <f>VLOOKUP(B240,[2]Electricity!$A$8:$D$326,4,0)</f>
        <v>Johar Town, Lahore</v>
      </c>
      <c r="E240" s="12">
        <v>10360</v>
      </c>
      <c r="F240" s="13">
        <v>10920</v>
      </c>
      <c r="G240" s="13">
        <v>11520</v>
      </c>
      <c r="H240" s="13">
        <v>8920</v>
      </c>
      <c r="I240" s="13">
        <v>2920</v>
      </c>
      <c r="J240" s="13">
        <v>5120</v>
      </c>
      <c r="K240" s="13">
        <v>4520</v>
      </c>
      <c r="L240" s="13">
        <v>4640</v>
      </c>
      <c r="M240" s="13">
        <f>7640+2000</f>
        <v>9640</v>
      </c>
      <c r="N240" s="13">
        <v>4840</v>
      </c>
      <c r="O240" s="13">
        <v>10800</v>
      </c>
      <c r="P240" s="13">
        <v>13240</v>
      </c>
      <c r="Q240" s="14">
        <f t="shared" si="7"/>
        <v>97440</v>
      </c>
      <c r="R240" s="2" t="s">
        <v>834</v>
      </c>
    </row>
    <row r="241" spans="1:18" ht="15" hidden="1" thickBot="1" x14ac:dyDescent="0.35">
      <c r="A241" s="1">
        <f t="shared" si="6"/>
        <v>239</v>
      </c>
      <c r="B241" s="1">
        <v>4039</v>
      </c>
      <c r="C241" s="7">
        <v>104039</v>
      </c>
      <c r="D241" t="str">
        <f>VLOOKUP(B241,[2]Electricity!$A$8:$D$326,4,0)</f>
        <v>EME Canal Road, Lahore</v>
      </c>
      <c r="E241" s="12">
        <v>10840</v>
      </c>
      <c r="F241" s="13">
        <v>10840</v>
      </c>
      <c r="G241" s="13">
        <v>9000</v>
      </c>
      <c r="H241" s="13">
        <v>8720</v>
      </c>
      <c r="I241" s="13">
        <v>4440</v>
      </c>
      <c r="J241" s="13">
        <v>4480</v>
      </c>
      <c r="K241" s="13">
        <v>4720</v>
      </c>
      <c r="L241" s="13">
        <v>4040</v>
      </c>
      <c r="M241" s="13">
        <f>5000+2320</f>
        <v>7320</v>
      </c>
      <c r="N241" s="13">
        <v>8680</v>
      </c>
      <c r="O241" s="13">
        <v>10600</v>
      </c>
      <c r="P241" s="13">
        <v>10160</v>
      </c>
      <c r="Q241" s="14">
        <f t="shared" si="7"/>
        <v>93840</v>
      </c>
      <c r="R241" s="2" t="s">
        <v>834</v>
      </c>
    </row>
    <row r="242" spans="1:18" ht="15" hidden="1" thickBot="1" x14ac:dyDescent="0.35">
      <c r="A242" s="1">
        <f t="shared" si="6"/>
        <v>240</v>
      </c>
      <c r="B242" s="1">
        <v>4040</v>
      </c>
      <c r="C242" s="7">
        <v>104040</v>
      </c>
      <c r="D242" t="str">
        <f>VLOOKUP(B242,[2]Electricity!$A$8:$D$326,4,0)</f>
        <v>Mansehra Road, Abbottabad</v>
      </c>
      <c r="E242" s="12">
        <f>6380+34</f>
        <v>6414</v>
      </c>
      <c r="F242" s="13">
        <f>6180+32</f>
        <v>6212</v>
      </c>
      <c r="G242" s="13">
        <f>6540+53</f>
        <v>6593</v>
      </c>
      <c r="H242" s="13">
        <f>5320+187</f>
        <v>5507</v>
      </c>
      <c r="I242" s="13">
        <f>3860+36</f>
        <v>3896</v>
      </c>
      <c r="J242" s="13">
        <f>3800+25</f>
        <v>3825</v>
      </c>
      <c r="K242" s="13">
        <f>3580+24</f>
        <v>3604</v>
      </c>
      <c r="L242" s="13">
        <f>4880+16</f>
        <v>4896</v>
      </c>
      <c r="M242" s="13">
        <f>4380+12</f>
        <v>4392</v>
      </c>
      <c r="N242" s="13">
        <f>4040+92</f>
        <v>4132</v>
      </c>
      <c r="O242" s="13">
        <f>3560+174</f>
        <v>3734</v>
      </c>
      <c r="P242" s="13">
        <f>5060+263</f>
        <v>5323</v>
      </c>
      <c r="Q242" s="14">
        <f t="shared" si="7"/>
        <v>58528</v>
      </c>
      <c r="R242" s="2" t="s">
        <v>834</v>
      </c>
    </row>
    <row r="243" spans="1:18" ht="15" hidden="1" thickBot="1" x14ac:dyDescent="0.35">
      <c r="A243" s="1">
        <f t="shared" si="6"/>
        <v>241</v>
      </c>
      <c r="B243" s="1">
        <v>4041</v>
      </c>
      <c r="C243" s="7">
        <v>104041</v>
      </c>
      <c r="D243" t="str">
        <f>VLOOKUP(B243,[2]Electricity!$A$8:$D$326,4,0)</f>
        <v>AK Arcade, Mirpurkhas</v>
      </c>
      <c r="E243" s="12">
        <v>4960</v>
      </c>
      <c r="F243" s="13">
        <v>4960</v>
      </c>
      <c r="G243" s="13">
        <v>4680</v>
      </c>
      <c r="H243" s="13">
        <v>5000</v>
      </c>
      <c r="I243" s="13">
        <v>4520</v>
      </c>
      <c r="J243" s="13">
        <v>2960</v>
      </c>
      <c r="K243" s="13">
        <v>2280</v>
      </c>
      <c r="L243" s="13">
        <v>2240</v>
      </c>
      <c r="M243" s="13">
        <v>2600</v>
      </c>
      <c r="N243" s="13">
        <v>4560</v>
      </c>
      <c r="O243" s="13">
        <v>4400</v>
      </c>
      <c r="P243" s="13">
        <v>5280</v>
      </c>
      <c r="Q243" s="14">
        <f t="shared" si="7"/>
        <v>48440</v>
      </c>
      <c r="R243" s="2" t="s">
        <v>834</v>
      </c>
    </row>
    <row r="244" spans="1:18" ht="15" hidden="1" thickBot="1" x14ac:dyDescent="0.35">
      <c r="A244" s="1">
        <f t="shared" si="6"/>
        <v>242</v>
      </c>
      <c r="B244" s="1">
        <v>4042</v>
      </c>
      <c r="C244" s="7">
        <v>104042</v>
      </c>
      <c r="D244" t="str">
        <f>VLOOKUP(B244,[2]Electricity!$A$8:$D$326,4,0)</f>
        <v>Fawara Chowk, Sadiqabad</v>
      </c>
      <c r="E244" s="12">
        <v>7659</v>
      </c>
      <c r="F244" s="13">
        <v>7574</v>
      </c>
      <c r="G244" s="13">
        <v>7691</v>
      </c>
      <c r="H244" s="13">
        <v>7223</v>
      </c>
      <c r="I244" s="13">
        <v>6608</v>
      </c>
      <c r="J244" s="13">
        <v>4369</v>
      </c>
      <c r="K244" s="13">
        <v>3635</v>
      </c>
      <c r="L244" s="13">
        <v>3742</v>
      </c>
      <c r="M244" s="13">
        <v>229</v>
      </c>
      <c r="N244" s="13">
        <v>10133</v>
      </c>
      <c r="O244" s="13">
        <v>4857</v>
      </c>
      <c r="P244" s="13">
        <v>9086</v>
      </c>
      <c r="Q244" s="14">
        <f t="shared" si="7"/>
        <v>72806</v>
      </c>
      <c r="R244" s="2" t="s">
        <v>834</v>
      </c>
    </row>
    <row r="245" spans="1:18" ht="15" hidden="1" thickBot="1" x14ac:dyDescent="0.35">
      <c r="A245" s="1">
        <f t="shared" si="6"/>
        <v>243</v>
      </c>
      <c r="B245" s="1">
        <v>4043</v>
      </c>
      <c r="C245" s="1">
        <v>104043</v>
      </c>
      <c r="D245" t="str">
        <f>VLOOKUP(B245,[2]Electricity!$A$8:$D$326,4,0)</f>
        <v>Phalia Road, Mandi Bahauddin</v>
      </c>
      <c r="E245" s="12">
        <f>3152+2820</f>
        <v>5972</v>
      </c>
      <c r="F245" s="13">
        <f>2976+2768</f>
        <v>5744</v>
      </c>
      <c r="G245" s="13">
        <f>3205+3056</f>
        <v>6261</v>
      </c>
      <c r="H245" s="13">
        <f>2569+2588</f>
        <v>5157</v>
      </c>
      <c r="I245" s="13">
        <f>2200+2157</f>
        <v>4357</v>
      </c>
      <c r="J245" s="13">
        <f>1622+1430</f>
        <v>3052</v>
      </c>
      <c r="K245" s="13">
        <f>1742+1504</f>
        <v>3246</v>
      </c>
      <c r="L245" s="13">
        <f>1658+1429</f>
        <v>3087</v>
      </c>
      <c r="M245" s="13">
        <f>1447+1230</f>
        <v>2677</v>
      </c>
      <c r="N245" s="13">
        <f>4303+4242</f>
        <v>8545</v>
      </c>
      <c r="O245" s="13">
        <f>2870+2830</f>
        <v>5700</v>
      </c>
      <c r="P245" s="13">
        <f>2895+2569</f>
        <v>5464</v>
      </c>
      <c r="Q245" s="14">
        <f t="shared" si="7"/>
        <v>59262</v>
      </c>
      <c r="R245" s="2" t="s">
        <v>834</v>
      </c>
    </row>
    <row r="246" spans="1:18" ht="15" hidden="1" thickBot="1" x14ac:dyDescent="0.35">
      <c r="A246" s="1">
        <f t="shared" si="6"/>
        <v>244</v>
      </c>
      <c r="B246" s="15">
        <v>4044</v>
      </c>
      <c r="C246" s="7">
        <v>4044</v>
      </c>
      <c r="D246" t="str">
        <f>VLOOKUP(B246,[2]Electricity!$A$8:$D$326,4,0)</f>
        <v>Kotli Road, Opposite AIOU, Mirpur AJ&amp;K</v>
      </c>
      <c r="E246" s="12">
        <v>10806</v>
      </c>
      <c r="F246" s="13">
        <v>10536</v>
      </c>
      <c r="G246" s="13">
        <v>15008</v>
      </c>
      <c r="H246" s="13">
        <v>8684</v>
      </c>
      <c r="I246" s="13">
        <v>7629</v>
      </c>
      <c r="J246" s="13">
        <v>4967</v>
      </c>
      <c r="K246" s="13">
        <v>7389</v>
      </c>
      <c r="L246" s="13">
        <v>5888</v>
      </c>
      <c r="M246" s="13">
        <v>5573</v>
      </c>
      <c r="N246" s="13">
        <f>5091+2238</f>
        <v>7329</v>
      </c>
      <c r="O246" s="13">
        <v>12311</v>
      </c>
      <c r="P246" s="13">
        <v>14304</v>
      </c>
      <c r="Q246" s="14">
        <f t="shared" si="7"/>
        <v>110424</v>
      </c>
      <c r="R246" s="2" t="s">
        <v>834</v>
      </c>
    </row>
    <row r="247" spans="1:18" ht="15" hidden="1" thickBot="1" x14ac:dyDescent="0.35">
      <c r="A247" s="1">
        <f t="shared" si="6"/>
        <v>245</v>
      </c>
      <c r="B247" s="1">
        <v>4045</v>
      </c>
      <c r="C247" s="7">
        <v>104045</v>
      </c>
      <c r="D247" t="str">
        <f>VLOOKUP(B247,[2]Electricity!$A$8:$D$326,4,0)</f>
        <v>MA Jinnah Road, Okara</v>
      </c>
      <c r="E247" s="12">
        <v>16000</v>
      </c>
      <c r="F247" s="19">
        <v>0</v>
      </c>
      <c r="G247" s="13">
        <v>4919</v>
      </c>
      <c r="H247" s="13">
        <v>7306</v>
      </c>
      <c r="I247" s="13">
        <f>2644+8380</f>
        <v>11024</v>
      </c>
      <c r="J247" s="13">
        <f>717+3050+1795</f>
        <v>5562</v>
      </c>
      <c r="K247" s="13">
        <f>1684+9017+6582</f>
        <v>17283</v>
      </c>
      <c r="L247" s="13">
        <f>1461+3752+1373</f>
        <v>6586</v>
      </c>
      <c r="M247" s="13">
        <f>249+101+5004+540+1290</f>
        <v>7184</v>
      </c>
      <c r="N247" s="13">
        <f>992+7132+2913</f>
        <v>11037</v>
      </c>
      <c r="O247" s="13">
        <f>125+6003+1483</f>
        <v>7611</v>
      </c>
      <c r="P247" s="13">
        <f>177+5871+1740</f>
        <v>7788</v>
      </c>
      <c r="Q247" s="14">
        <f t="shared" si="7"/>
        <v>102300</v>
      </c>
      <c r="R247" s="2" t="s">
        <v>851</v>
      </c>
    </row>
    <row r="248" spans="1:18" ht="15" hidden="1" thickBot="1" x14ac:dyDescent="0.35">
      <c r="A248" s="1">
        <f t="shared" si="6"/>
        <v>246</v>
      </c>
      <c r="B248" s="1">
        <v>4046</v>
      </c>
      <c r="C248" s="7">
        <v>104046</v>
      </c>
      <c r="D248" t="str">
        <f>VLOOKUP(B248,[2]Electricity!$A$8:$D$326,4,0)</f>
        <v>University Road, Sargodha</v>
      </c>
      <c r="E248" s="12">
        <v>6280</v>
      </c>
      <c r="F248" s="13">
        <v>6360</v>
      </c>
      <c r="G248" s="13">
        <v>6040</v>
      </c>
      <c r="H248" s="13">
        <v>4800</v>
      </c>
      <c r="I248" s="13">
        <v>3600</v>
      </c>
      <c r="J248" s="13">
        <v>2680</v>
      </c>
      <c r="K248" s="13">
        <v>2640</v>
      </c>
      <c r="L248" s="13">
        <v>2440</v>
      </c>
      <c r="M248" s="13">
        <v>2800</v>
      </c>
      <c r="N248" s="13">
        <v>0</v>
      </c>
      <c r="O248" s="13">
        <v>160</v>
      </c>
      <c r="P248" s="13">
        <f>280+32960</f>
        <v>33240</v>
      </c>
      <c r="Q248" s="14">
        <f t="shared" si="7"/>
        <v>71040</v>
      </c>
      <c r="R248" s="2" t="s">
        <v>852</v>
      </c>
    </row>
    <row r="249" spans="1:18" ht="15" hidden="1" thickBot="1" x14ac:dyDescent="0.35">
      <c r="A249" s="1">
        <f t="shared" si="6"/>
        <v>247</v>
      </c>
      <c r="B249" s="1">
        <v>4047</v>
      </c>
      <c r="C249" s="7">
        <v>104047</v>
      </c>
      <c r="D249" t="str">
        <f>VLOOKUP(B249,[2]Electricity!$A$8:$D$326,4,0)</f>
        <v>Mishal Khan Plaza, Abbotabad</v>
      </c>
      <c r="E249" s="12">
        <v>4772</v>
      </c>
      <c r="F249" s="13">
        <v>5178</v>
      </c>
      <c r="G249" s="13">
        <v>5308</v>
      </c>
      <c r="H249" s="13">
        <v>3676</v>
      </c>
      <c r="I249" s="13">
        <v>2492</v>
      </c>
      <c r="J249" s="13">
        <v>2804</v>
      </c>
      <c r="K249" s="13">
        <v>3568</v>
      </c>
      <c r="L249" s="13">
        <v>3068</v>
      </c>
      <c r="M249" s="13">
        <v>2896</v>
      </c>
      <c r="N249" s="13">
        <v>3609</v>
      </c>
      <c r="O249" s="13">
        <v>3169</v>
      </c>
      <c r="P249" s="13">
        <v>5203</v>
      </c>
      <c r="Q249" s="14">
        <f t="shared" si="7"/>
        <v>45743</v>
      </c>
      <c r="R249" s="2" t="s">
        <v>834</v>
      </c>
    </row>
    <row r="250" spans="1:18" ht="15" hidden="1" thickBot="1" x14ac:dyDescent="0.35">
      <c r="A250" s="1">
        <f t="shared" si="6"/>
        <v>248</v>
      </c>
      <c r="B250" s="1">
        <v>4048</v>
      </c>
      <c r="C250" s="7">
        <v>104048</v>
      </c>
      <c r="D250" t="str">
        <f>VLOOKUP(B250,[2]Electricity!$A$8:$D$326,4,0)</f>
        <v>Saddar Cantt, Peshawar</v>
      </c>
      <c r="E250" s="12">
        <f>5893+2126</f>
        <v>8019</v>
      </c>
      <c r="F250" s="13">
        <f>3059+2684</f>
        <v>5743</v>
      </c>
      <c r="G250" s="13">
        <f>6680+1037</f>
        <v>7717</v>
      </c>
      <c r="H250" s="13">
        <f>3249+2853</f>
        <v>6102</v>
      </c>
      <c r="I250" s="13">
        <f>2416+2996</f>
        <v>5412</v>
      </c>
      <c r="J250" s="13">
        <f>1715+2808</f>
        <v>4523</v>
      </c>
      <c r="K250" s="13">
        <f>132+3449</f>
        <v>3581</v>
      </c>
      <c r="L250" s="13">
        <f>0+4032</f>
        <v>4032</v>
      </c>
      <c r="M250" s="13">
        <f>2763+0</f>
        <v>2763</v>
      </c>
      <c r="N250" s="13">
        <f>513+0</f>
        <v>513</v>
      </c>
      <c r="O250" s="13">
        <v>3130</v>
      </c>
      <c r="P250" s="13">
        <v>2977</v>
      </c>
      <c r="Q250" s="14">
        <f t="shared" si="7"/>
        <v>54512</v>
      </c>
      <c r="R250" s="2" t="s">
        <v>834</v>
      </c>
    </row>
    <row r="251" spans="1:18" ht="15" hidden="1" thickBot="1" x14ac:dyDescent="0.35">
      <c r="A251" s="1">
        <f t="shared" si="6"/>
        <v>249</v>
      </c>
      <c r="B251" s="1">
        <v>4049</v>
      </c>
      <c r="C251" s="7">
        <v>104049</v>
      </c>
      <c r="D251" t="str">
        <f>VLOOKUP(B251,[2]Electricity!$A$8:$D$326,4,0)</f>
        <v>Jail Road, Bahawalnagar</v>
      </c>
      <c r="E251" s="12">
        <f>2857+5095+2598</f>
        <v>10550</v>
      </c>
      <c r="F251" s="13">
        <f>1940+6142+1544</f>
        <v>9626</v>
      </c>
      <c r="G251" s="13">
        <f>1692+7061+1536</f>
        <v>10289</v>
      </c>
      <c r="H251" s="13">
        <f>1346+6765+1054</f>
        <v>9165</v>
      </c>
      <c r="I251" s="13">
        <f>516+5779+130</f>
        <v>6425</v>
      </c>
      <c r="J251" s="13">
        <f>264+4895+152</f>
        <v>5311</v>
      </c>
      <c r="K251" s="13">
        <f>17+4081+141</f>
        <v>4239</v>
      </c>
      <c r="L251" s="13">
        <f>54+3972+174</f>
        <v>4200</v>
      </c>
      <c r="M251" s="13">
        <f>98+4067+216</f>
        <v>4381</v>
      </c>
      <c r="N251" s="13">
        <f>666+5790+956</f>
        <v>7412</v>
      </c>
      <c r="O251" s="13">
        <f>750+5413+1296</f>
        <v>7459</v>
      </c>
      <c r="P251" s="13">
        <f>1469+5881+2397</f>
        <v>9747</v>
      </c>
      <c r="Q251" s="14">
        <f t="shared" si="7"/>
        <v>88804</v>
      </c>
      <c r="R251" s="2" t="s">
        <v>834</v>
      </c>
    </row>
    <row r="252" spans="1:18" ht="15" hidden="1" thickBot="1" x14ac:dyDescent="0.35">
      <c r="A252" s="1">
        <f t="shared" si="6"/>
        <v>250</v>
      </c>
      <c r="B252" s="1">
        <v>4050</v>
      </c>
      <c r="C252" s="7">
        <v>104050</v>
      </c>
      <c r="D252" t="str">
        <f>VLOOKUP(B252,[2]Electricity!$A$8:$D$326,4,0)</f>
        <v>Aslam Arcade, Attock</v>
      </c>
      <c r="E252" s="12">
        <f>4875+1473</f>
        <v>6348</v>
      </c>
      <c r="F252" s="13">
        <f>4835+2558</f>
        <v>7393</v>
      </c>
      <c r="G252" s="13">
        <f>3788+2179</f>
        <v>5967</v>
      </c>
      <c r="H252" s="13">
        <f>3000+2063</f>
        <v>5063</v>
      </c>
      <c r="I252" s="13">
        <f>3001+1211</f>
        <v>4212</v>
      </c>
      <c r="J252" s="13">
        <f>2863+931</f>
        <v>3794</v>
      </c>
      <c r="K252" s="13">
        <f>3002+1001</f>
        <v>4003</v>
      </c>
      <c r="L252" s="13">
        <f>2950+967</f>
        <v>3917</v>
      </c>
      <c r="M252" s="13">
        <f>2904+845</f>
        <v>3749</v>
      </c>
      <c r="N252" s="13">
        <f>3329+1218</f>
        <v>4547</v>
      </c>
      <c r="O252" s="13">
        <f>3417+1994</f>
        <v>5411</v>
      </c>
      <c r="P252" s="13">
        <f>3314+2680</f>
        <v>5994</v>
      </c>
      <c r="Q252" s="14">
        <f t="shared" si="7"/>
        <v>60398</v>
      </c>
      <c r="R252" s="2" t="s">
        <v>834</v>
      </c>
    </row>
    <row r="253" spans="1:18" ht="15" hidden="1" thickBot="1" x14ac:dyDescent="0.35">
      <c r="A253" s="1">
        <f t="shared" si="6"/>
        <v>251</v>
      </c>
      <c r="B253" s="1">
        <v>4051</v>
      </c>
      <c r="C253" s="7">
        <v>104051</v>
      </c>
      <c r="D253" t="str">
        <f>VLOOKUP(B253,[2]Electricity!$A$8:$D$326,4,0)</f>
        <v>Main Bazar, Joharabad</v>
      </c>
      <c r="E253" s="12"/>
      <c r="F253" s="13"/>
      <c r="G253" s="13"/>
      <c r="H253" s="13"/>
      <c r="I253" s="13"/>
      <c r="J253" s="13"/>
      <c r="K253" s="13">
        <v>7286</v>
      </c>
      <c r="L253" s="13">
        <v>3868</v>
      </c>
      <c r="M253" s="13">
        <v>4760</v>
      </c>
      <c r="N253" s="13">
        <v>5697</v>
      </c>
      <c r="O253" s="13">
        <v>5314</v>
      </c>
      <c r="P253" s="13">
        <v>5185</v>
      </c>
      <c r="Q253" s="14">
        <f t="shared" si="7"/>
        <v>32110</v>
      </c>
      <c r="R253" s="2" t="s">
        <v>834</v>
      </c>
    </row>
    <row r="254" spans="1:18" ht="15" hidden="1" thickBot="1" x14ac:dyDescent="0.35">
      <c r="A254" s="1">
        <f t="shared" si="6"/>
        <v>252</v>
      </c>
      <c r="B254" s="1">
        <v>4052</v>
      </c>
      <c r="C254" s="7">
        <v>104052</v>
      </c>
      <c r="D254" t="str">
        <f>VLOOKUP(B254,[2]Electricity!$A$8:$D$326,4,0)</f>
        <v>Circular Road, Narowal</v>
      </c>
      <c r="E254" s="12">
        <v>6400</v>
      </c>
      <c r="F254" s="13">
        <v>6820</v>
      </c>
      <c r="G254" s="13">
        <v>7000</v>
      </c>
      <c r="H254" s="13">
        <v>7417</v>
      </c>
      <c r="I254" s="13">
        <v>4280</v>
      </c>
      <c r="J254" s="13">
        <v>4080</v>
      </c>
      <c r="K254" s="13">
        <v>3760</v>
      </c>
      <c r="L254" s="13">
        <v>3274</v>
      </c>
      <c r="M254" s="13">
        <v>4666</v>
      </c>
      <c r="N254" s="13">
        <v>3860</v>
      </c>
      <c r="O254" s="13">
        <v>4380</v>
      </c>
      <c r="P254" s="13">
        <v>3560</v>
      </c>
      <c r="Q254" s="14">
        <f t="shared" si="7"/>
        <v>59497</v>
      </c>
      <c r="R254" s="2" t="s">
        <v>834</v>
      </c>
    </row>
    <row r="255" spans="1:18" ht="15" hidden="1" thickBot="1" x14ac:dyDescent="0.35">
      <c r="A255" s="1">
        <f t="shared" si="6"/>
        <v>253</v>
      </c>
      <c r="B255" s="1">
        <v>4053</v>
      </c>
      <c r="C255" s="7">
        <v>104053</v>
      </c>
      <c r="D255" t="str">
        <f>VLOOKUP(B255,[2]Electricity!$A$8:$D$326,4,0)</f>
        <v>High Street, Sahiwal</v>
      </c>
      <c r="E255" s="12">
        <v>8420</v>
      </c>
      <c r="F255" s="13">
        <v>0</v>
      </c>
      <c r="G255" s="13">
        <v>6598</v>
      </c>
      <c r="H255" s="13">
        <f>1722+3847</f>
        <v>5569</v>
      </c>
      <c r="I255" s="13">
        <f>3205+805+3988</f>
        <v>7998</v>
      </c>
      <c r="J255" s="13">
        <f>1985+2603</f>
        <v>4588</v>
      </c>
      <c r="K255" s="13">
        <f>1797+2420</f>
        <v>4217</v>
      </c>
      <c r="L255" s="13">
        <f>1674+2146</f>
        <v>3820</v>
      </c>
      <c r="M255" s="13">
        <f>3651+4918+3440</f>
        <v>12009</v>
      </c>
      <c r="N255" s="13">
        <f>4413+3654</f>
        <v>8067</v>
      </c>
      <c r="O255" s="13">
        <f>4917+5308</f>
        <v>10225</v>
      </c>
      <c r="P255" s="13">
        <f>4669+4438</f>
        <v>9107</v>
      </c>
      <c r="Q255" s="14">
        <f t="shared" si="7"/>
        <v>80618</v>
      </c>
      <c r="R255" s="2" t="s">
        <v>851</v>
      </c>
    </row>
    <row r="256" spans="1:18" ht="15" hidden="1" thickBot="1" x14ac:dyDescent="0.35">
      <c r="A256" s="1">
        <f t="shared" si="6"/>
        <v>254</v>
      </c>
      <c r="B256" s="1">
        <v>4054</v>
      </c>
      <c r="C256" s="7">
        <v>104054</v>
      </c>
      <c r="D256" t="str">
        <f>VLOOKUP(B256,[2]Electricity!$A$8:$D$326,4,0)</f>
        <v>Bank Road, Near Kashmir Road, Rawalpindi</v>
      </c>
      <c r="E256" s="12">
        <v>7360</v>
      </c>
      <c r="F256" s="13">
        <v>8600</v>
      </c>
      <c r="G256" s="13">
        <v>8300</v>
      </c>
      <c r="H256" s="13">
        <v>7460</v>
      </c>
      <c r="I256" s="13">
        <v>6440</v>
      </c>
      <c r="J256" s="13">
        <v>4700</v>
      </c>
      <c r="K256" s="13">
        <v>4500</v>
      </c>
      <c r="L256" s="13">
        <v>4460</v>
      </c>
      <c r="M256" s="13">
        <v>3840</v>
      </c>
      <c r="N256" s="13">
        <v>6040</v>
      </c>
      <c r="O256" s="13">
        <v>5980</v>
      </c>
      <c r="P256" s="13">
        <v>7160</v>
      </c>
      <c r="Q256" s="14">
        <f t="shared" si="7"/>
        <v>74840</v>
      </c>
      <c r="R256" s="2" t="s">
        <v>834</v>
      </c>
    </row>
    <row r="257" spans="1:18" ht="15" hidden="1" thickBot="1" x14ac:dyDescent="0.35">
      <c r="A257" s="1">
        <f t="shared" si="6"/>
        <v>255</v>
      </c>
      <c r="B257" s="1">
        <v>4055</v>
      </c>
      <c r="C257" s="1">
        <v>104055</v>
      </c>
      <c r="D257" t="str">
        <f>VLOOKUP(B257,[2]Electricity!$A$8:$D$326,4,0)</f>
        <v>Bahria Town, Rawalpindi</v>
      </c>
      <c r="E257" s="71" t="s">
        <v>17</v>
      </c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3"/>
      <c r="Q257" s="14">
        <f t="shared" si="7"/>
        <v>0</v>
      </c>
    </row>
    <row r="258" spans="1:18" ht="15" hidden="1" thickBot="1" x14ac:dyDescent="0.35">
      <c r="A258" s="1">
        <f t="shared" si="6"/>
        <v>256</v>
      </c>
      <c r="B258" s="1">
        <v>4056</v>
      </c>
      <c r="C258" s="7">
        <v>104056</v>
      </c>
      <c r="D258" t="str">
        <f>VLOOKUP(B258,[2]Electricity!$A$8:$D$326,4,0)</f>
        <v>Minar Road, Wah Cantt</v>
      </c>
      <c r="E258" s="12">
        <v>2830</v>
      </c>
      <c r="F258" s="13">
        <v>7542</v>
      </c>
      <c r="G258" s="13">
        <v>7832</v>
      </c>
      <c r="H258" s="13">
        <v>6767</v>
      </c>
      <c r="I258" s="13">
        <v>5051</v>
      </c>
      <c r="J258" s="13">
        <v>4090</v>
      </c>
      <c r="K258" s="13">
        <v>4555</v>
      </c>
      <c r="L258" s="13">
        <v>4952</v>
      </c>
      <c r="M258" s="13">
        <v>4328</v>
      </c>
      <c r="N258" s="13">
        <v>5830</v>
      </c>
      <c r="O258" s="13">
        <v>6436</v>
      </c>
      <c r="P258" s="13">
        <v>7995</v>
      </c>
      <c r="Q258" s="14">
        <f t="shared" si="7"/>
        <v>68208</v>
      </c>
      <c r="R258" s="2" t="s">
        <v>834</v>
      </c>
    </row>
    <row r="259" spans="1:18" ht="15" hidden="1" thickBot="1" x14ac:dyDescent="0.35">
      <c r="A259" s="1">
        <f t="shared" si="6"/>
        <v>257</v>
      </c>
      <c r="B259" s="1">
        <v>4057</v>
      </c>
      <c r="C259" s="7">
        <v>104057</v>
      </c>
      <c r="D259" t="str">
        <f>VLOOKUP(B259,[2]Electricity!$A$8:$D$326,4,0)</f>
        <v>CS Mianwali Hospital Road</v>
      </c>
      <c r="E259" s="12"/>
      <c r="F259" s="13"/>
      <c r="G259" s="13">
        <v>9459</v>
      </c>
      <c r="H259" s="13">
        <v>6894</v>
      </c>
      <c r="I259" s="13">
        <v>3856</v>
      </c>
      <c r="J259" s="13">
        <v>3642</v>
      </c>
      <c r="K259" s="13">
        <v>4157</v>
      </c>
      <c r="L259" s="13">
        <v>3695</v>
      </c>
      <c r="M259" s="13">
        <v>4978</v>
      </c>
      <c r="N259" s="13">
        <v>4347</v>
      </c>
      <c r="O259" s="13">
        <v>5570</v>
      </c>
      <c r="P259" s="13">
        <v>6148</v>
      </c>
      <c r="Q259" s="14">
        <f t="shared" si="7"/>
        <v>52746</v>
      </c>
      <c r="R259" s="2" t="s">
        <v>834</v>
      </c>
    </row>
    <row r="260" spans="1:18" ht="15" hidden="1" thickBot="1" x14ac:dyDescent="0.35">
      <c r="A260" s="1">
        <f t="shared" si="6"/>
        <v>258</v>
      </c>
      <c r="B260" s="1">
        <v>4060</v>
      </c>
      <c r="C260" s="7">
        <v>104060</v>
      </c>
      <c r="D260" t="str">
        <f>VLOOKUP(B260,[2]Electricity!$A$8:$D$326,4,0)</f>
        <v>Central Park, Lahore</v>
      </c>
      <c r="E260" s="12">
        <f>1432+1860</f>
        <v>3292</v>
      </c>
      <c r="F260" s="13">
        <f>984+4716</f>
        <v>5700</v>
      </c>
      <c r="G260" s="13">
        <f>858+4220</f>
        <v>5078</v>
      </c>
      <c r="H260" s="13">
        <f>761+3403</f>
        <v>4164</v>
      </c>
      <c r="I260" s="13">
        <f>717+2022</f>
        <v>2739</v>
      </c>
      <c r="J260" s="13">
        <f>911+1826</f>
        <v>2737</v>
      </c>
      <c r="K260" s="13">
        <f>859+1976</f>
        <v>2835</v>
      </c>
      <c r="L260" s="13">
        <f>655+1691</f>
        <v>2346</v>
      </c>
      <c r="M260" s="13">
        <f>781+356+1519+865</f>
        <v>3521</v>
      </c>
      <c r="N260" s="13">
        <v>1017</v>
      </c>
      <c r="O260" s="13">
        <v>725</v>
      </c>
      <c r="P260" s="13">
        <v>630</v>
      </c>
      <c r="Q260" s="14">
        <f t="shared" si="7"/>
        <v>34784</v>
      </c>
      <c r="R260" s="2" t="s">
        <v>853</v>
      </c>
    </row>
    <row r="261" spans="1:18" ht="15" hidden="1" thickBot="1" x14ac:dyDescent="0.35">
      <c r="A261" s="1">
        <f t="shared" ref="A261" si="8">A260+1</f>
        <v>259</v>
      </c>
      <c r="B261" s="1">
        <v>4061</v>
      </c>
      <c r="C261" s="7">
        <v>104061</v>
      </c>
      <c r="D261" t="str">
        <f>VLOOKUP(B261,[2]Electricity!$A$8:$D$326,4,0)</f>
        <v>Manawan, Lahore</v>
      </c>
      <c r="E261" s="12">
        <v>240</v>
      </c>
      <c r="F261" s="13">
        <v>4960</v>
      </c>
      <c r="G261" s="13">
        <v>6400</v>
      </c>
      <c r="H261" s="13">
        <v>6300</v>
      </c>
      <c r="I261" s="13">
        <v>3360</v>
      </c>
      <c r="J261" s="13">
        <v>3160</v>
      </c>
      <c r="K261" s="13">
        <v>2980</v>
      </c>
      <c r="L261" s="13">
        <v>2780</v>
      </c>
      <c r="M261" s="13">
        <f>3680+1060</f>
        <v>4740</v>
      </c>
      <c r="N261" s="13">
        <v>5300</v>
      </c>
      <c r="O261" s="13">
        <v>6180</v>
      </c>
      <c r="P261" s="13">
        <v>5340</v>
      </c>
      <c r="Q261" s="14">
        <f t="shared" ref="Q261:Q266" si="9">SUM(E261:P261)</f>
        <v>51740</v>
      </c>
      <c r="R261" s="2" t="s">
        <v>834</v>
      </c>
    </row>
    <row r="262" spans="1:18" ht="15" hidden="1" thickBot="1" x14ac:dyDescent="0.35">
      <c r="A262" s="1">
        <f>A257+1</f>
        <v>256</v>
      </c>
      <c r="B262" s="1">
        <v>4062</v>
      </c>
      <c r="C262" s="7">
        <v>104062</v>
      </c>
      <c r="D262" t="str">
        <f>VLOOKUP(B262,[2]Electricity!$A$8:$D$326,4,0)</f>
        <v>CS Peshawar University Road-2 Site</v>
      </c>
      <c r="E262" s="20">
        <v>2568</v>
      </c>
      <c r="F262" s="21">
        <v>4049</v>
      </c>
      <c r="G262" s="21">
        <v>2834</v>
      </c>
      <c r="H262" s="21">
        <v>3554</v>
      </c>
      <c r="I262" s="21">
        <v>1631</v>
      </c>
      <c r="J262" s="21">
        <v>973</v>
      </c>
      <c r="K262" s="21">
        <v>1104</v>
      </c>
      <c r="L262" s="21">
        <v>27</v>
      </c>
      <c r="M262" s="21">
        <v>215</v>
      </c>
      <c r="N262" s="21">
        <v>4892</v>
      </c>
      <c r="O262" s="21">
        <v>5164</v>
      </c>
      <c r="P262" s="21">
        <v>6688</v>
      </c>
      <c r="Q262" s="22">
        <f t="shared" si="9"/>
        <v>33699</v>
      </c>
      <c r="R262" s="2" t="s">
        <v>855</v>
      </c>
    </row>
    <row r="263" spans="1:18" ht="15" hidden="1" thickBot="1" x14ac:dyDescent="0.35">
      <c r="A263" s="1">
        <f>A258+1</f>
        <v>257</v>
      </c>
      <c r="B263" s="1">
        <v>1255</v>
      </c>
      <c r="C263" s="7">
        <v>101255</v>
      </c>
      <c r="D263" t="s">
        <v>831</v>
      </c>
      <c r="E263" s="2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2">
        <f t="shared" ref="Q263" si="10">SUM(E263:P263)</f>
        <v>0</v>
      </c>
      <c r="R263" s="2" t="s">
        <v>18</v>
      </c>
    </row>
    <row r="264" spans="1:18" ht="15" hidden="1" thickBot="1" x14ac:dyDescent="0.35">
      <c r="A264" s="1">
        <f>A259+1</f>
        <v>258</v>
      </c>
      <c r="B264" s="1">
        <v>1271</v>
      </c>
      <c r="C264" s="7">
        <v>101271</v>
      </c>
      <c r="D264" t="s">
        <v>832</v>
      </c>
      <c r="E264" s="20">
        <v>332</v>
      </c>
      <c r="F264" s="21">
        <v>516</v>
      </c>
      <c r="G264" s="21">
        <v>263</v>
      </c>
      <c r="H264" s="21">
        <v>83</v>
      </c>
      <c r="I264" s="21">
        <v>3</v>
      </c>
      <c r="J264" s="21">
        <v>15</v>
      </c>
      <c r="K264" s="21">
        <v>3</v>
      </c>
      <c r="L264" s="21">
        <v>1</v>
      </c>
      <c r="M264" s="21">
        <v>740</v>
      </c>
      <c r="N264" s="21">
        <v>3137</v>
      </c>
      <c r="O264" s="21">
        <v>3453</v>
      </c>
      <c r="P264" s="21">
        <v>4056</v>
      </c>
      <c r="Q264" s="22">
        <f t="shared" si="9"/>
        <v>12602</v>
      </c>
      <c r="R264" s="2" t="s">
        <v>854</v>
      </c>
    </row>
    <row r="265" spans="1:18" ht="15" hidden="1" thickBot="1" x14ac:dyDescent="0.35">
      <c r="A265" s="1">
        <f>A260+1</f>
        <v>259</v>
      </c>
      <c r="B265" s="1">
        <v>1273</v>
      </c>
      <c r="C265" s="7">
        <v>101273</v>
      </c>
      <c r="D265" t="s">
        <v>833</v>
      </c>
      <c r="E265" s="20">
        <v>5150</v>
      </c>
      <c r="F265" s="21">
        <v>7092</v>
      </c>
      <c r="G265" s="21">
        <v>6138</v>
      </c>
      <c r="H265" s="21">
        <v>5998</v>
      </c>
      <c r="I265" s="21">
        <v>4111</v>
      </c>
      <c r="J265" s="21">
        <v>2138</v>
      </c>
      <c r="K265" s="21">
        <v>1739</v>
      </c>
      <c r="L265" s="21">
        <v>1673</v>
      </c>
      <c r="M265" s="21">
        <v>411</v>
      </c>
      <c r="N265" s="21">
        <v>3265</v>
      </c>
      <c r="O265" s="21">
        <v>7247</v>
      </c>
      <c r="P265" s="21">
        <v>8760</v>
      </c>
      <c r="Q265" s="22">
        <f t="shared" ref="Q265" si="11">SUM(E265:P265)</f>
        <v>53722</v>
      </c>
      <c r="R265" s="2" t="s">
        <v>834</v>
      </c>
    </row>
    <row r="266" spans="1:18" ht="15" hidden="1" thickBot="1" x14ac:dyDescent="0.35">
      <c r="A266" s="1">
        <f>A261+1</f>
        <v>260</v>
      </c>
      <c r="C266" s="70"/>
      <c r="E266" s="2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2">
        <f t="shared" si="9"/>
        <v>0</v>
      </c>
    </row>
    <row r="267" spans="1:18" ht="15" thickBot="1" x14ac:dyDescent="0.35">
      <c r="B267" s="79" t="s">
        <v>15</v>
      </c>
      <c r="C267" s="79"/>
      <c r="D267" s="79"/>
      <c r="E267" s="23">
        <f>SUBTOTAL(9,E3:E266)</f>
        <v>3512</v>
      </c>
      <c r="F267" s="24">
        <f t="shared" ref="F267:Q267" si="12">SUBTOTAL(9,F3:F266)</f>
        <v>3955</v>
      </c>
      <c r="G267" s="24">
        <f t="shared" si="12"/>
        <v>3154</v>
      </c>
      <c r="H267" s="24">
        <f t="shared" si="12"/>
        <v>2984</v>
      </c>
      <c r="I267" s="24">
        <f t="shared" si="12"/>
        <v>1807</v>
      </c>
      <c r="J267" s="24">
        <f t="shared" si="12"/>
        <v>2118</v>
      </c>
      <c r="K267" s="24">
        <f t="shared" si="12"/>
        <v>1544</v>
      </c>
      <c r="L267" s="24">
        <f t="shared" si="12"/>
        <v>1924</v>
      </c>
      <c r="M267" s="24">
        <f t="shared" si="12"/>
        <v>2782</v>
      </c>
      <c r="N267" s="24">
        <f t="shared" ref="N267:O267" si="13">SUBTOTAL(9,N3:N266)</f>
        <v>1163</v>
      </c>
      <c r="O267" s="24">
        <f t="shared" si="13"/>
        <v>2630</v>
      </c>
      <c r="P267" s="24">
        <f t="shared" si="12"/>
        <v>0</v>
      </c>
      <c r="Q267" s="25">
        <f t="shared" si="12"/>
        <v>27573</v>
      </c>
    </row>
    <row r="276" spans="13:13" x14ac:dyDescent="0.3">
      <c r="M276">
        <f ca="1">M276</f>
        <v>0</v>
      </c>
    </row>
  </sheetData>
  <autoFilter ref="B2:R266" xr:uid="{37502B89-2D7C-4E96-BA2E-80B73A6C7034}">
    <filterColumn colId="16">
      <filters>
        <filter val="bill not found"/>
      </filters>
    </filterColumn>
  </autoFilter>
  <mergeCells count="47">
    <mergeCell ref="B267:D267"/>
    <mergeCell ref="E179:P179"/>
    <mergeCell ref="E181:P181"/>
    <mergeCell ref="E185:P185"/>
    <mergeCell ref="E188:P188"/>
    <mergeCell ref="E192:P192"/>
    <mergeCell ref="E193:P193"/>
    <mergeCell ref="E194:P194"/>
    <mergeCell ref="E196:P196"/>
    <mergeCell ref="E197:P197"/>
    <mergeCell ref="E206:P206"/>
    <mergeCell ref="E257:P257"/>
    <mergeCell ref="E176:P176"/>
    <mergeCell ref="E155:P155"/>
    <mergeCell ref="E160:P160"/>
    <mergeCell ref="E161:P161"/>
    <mergeCell ref="E162:P162"/>
    <mergeCell ref="E164:P164"/>
    <mergeCell ref="E166:P166"/>
    <mergeCell ref="E169:P169"/>
    <mergeCell ref="E170:P170"/>
    <mergeCell ref="E172:P172"/>
    <mergeCell ref="E173:P173"/>
    <mergeCell ref="E175:P175"/>
    <mergeCell ref="E149:P149"/>
    <mergeCell ref="E78:P78"/>
    <mergeCell ref="E85:P85"/>
    <mergeCell ref="E105:P105"/>
    <mergeCell ref="E109:P109"/>
    <mergeCell ref="E111:P111"/>
    <mergeCell ref="E115:P115"/>
    <mergeCell ref="E116:P116"/>
    <mergeCell ref="E119:P119"/>
    <mergeCell ref="E137:P137"/>
    <mergeCell ref="E142:P142"/>
    <mergeCell ref="E144:P144"/>
    <mergeCell ref="E76:P76"/>
    <mergeCell ref="E1:Q1"/>
    <mergeCell ref="B2:C2"/>
    <mergeCell ref="E17:P17"/>
    <mergeCell ref="E33:P33"/>
    <mergeCell ref="E43:P43"/>
    <mergeCell ref="E57:P57"/>
    <mergeCell ref="E69:P69"/>
    <mergeCell ref="E73:P73"/>
    <mergeCell ref="E74:P74"/>
    <mergeCell ref="E75:P75"/>
  </mergeCells>
  <pageMargins left="0.7" right="0.7" top="0.75" bottom="0.75" header="0.3" footer="0.3"/>
  <ignoredErrors>
    <ignoredError sqref="O9 O18 O39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5DC2-95FE-4279-A357-B2E8A36113F5}">
  <dimension ref="A1:F386"/>
  <sheetViews>
    <sheetView showGridLines="0" topLeftCell="A196" zoomScale="109" workbookViewId="0">
      <selection activeCell="H206" sqref="H206"/>
    </sheetView>
  </sheetViews>
  <sheetFormatPr defaultRowHeight="14.4" x14ac:dyDescent="0.3"/>
  <cols>
    <col min="1" max="1" width="7.33203125" style="29" customWidth="1"/>
    <col min="2" max="2" width="5.33203125" customWidth="1"/>
    <col min="3" max="3" width="28.5546875" customWidth="1"/>
    <col min="4" max="4" width="26.44140625" style="2" bestFit="1" customWidth="1"/>
    <col min="5" max="5" width="20.33203125" style="35" customWidth="1"/>
    <col min="6" max="6" width="10.6640625" customWidth="1"/>
  </cols>
  <sheetData>
    <row r="1" spans="1:6" x14ac:dyDescent="0.3">
      <c r="A1" s="28" t="s">
        <v>27</v>
      </c>
      <c r="B1" s="28" t="s">
        <v>28</v>
      </c>
      <c r="C1" s="28" t="s">
        <v>29</v>
      </c>
      <c r="D1" s="31" t="s">
        <v>285</v>
      </c>
      <c r="E1" s="31" t="s">
        <v>485</v>
      </c>
      <c r="F1" s="31" t="s">
        <v>816</v>
      </c>
    </row>
    <row r="2" spans="1:6" x14ac:dyDescent="0.3">
      <c r="A2" s="39">
        <v>1002</v>
      </c>
      <c r="B2" s="40">
        <v>1</v>
      </c>
      <c r="C2" s="40" t="s">
        <v>30</v>
      </c>
      <c r="D2" s="41" t="s">
        <v>286</v>
      </c>
      <c r="E2" s="42" t="s">
        <v>486</v>
      </c>
      <c r="F2" s="40" t="s">
        <v>817</v>
      </c>
    </row>
    <row r="3" spans="1:6" x14ac:dyDescent="0.3">
      <c r="A3" s="39">
        <v>1002</v>
      </c>
      <c r="B3" s="40">
        <v>2</v>
      </c>
      <c r="C3" s="40" t="s">
        <v>30</v>
      </c>
      <c r="D3" s="41" t="s">
        <v>287</v>
      </c>
      <c r="E3" s="42" t="s">
        <v>487</v>
      </c>
      <c r="F3" s="40" t="s">
        <v>817</v>
      </c>
    </row>
    <row r="4" spans="1:6" x14ac:dyDescent="0.3">
      <c r="A4" s="39">
        <v>1002</v>
      </c>
      <c r="B4" s="40">
        <v>3</v>
      </c>
      <c r="C4" s="40" t="s">
        <v>30</v>
      </c>
      <c r="D4" s="41">
        <v>1085799</v>
      </c>
      <c r="E4" s="42" t="s">
        <v>488</v>
      </c>
      <c r="F4" s="40" t="s">
        <v>817</v>
      </c>
    </row>
    <row r="5" spans="1:6" x14ac:dyDescent="0.3">
      <c r="A5" s="39">
        <v>1002</v>
      </c>
      <c r="B5" s="40">
        <v>4</v>
      </c>
      <c r="C5" s="40" t="s">
        <v>30</v>
      </c>
      <c r="D5" s="41" t="s">
        <v>288</v>
      </c>
      <c r="E5" s="42" t="s">
        <v>489</v>
      </c>
      <c r="F5" s="40" t="s">
        <v>817</v>
      </c>
    </row>
    <row r="6" spans="1:6" x14ac:dyDescent="0.3">
      <c r="A6" s="39">
        <v>1005</v>
      </c>
      <c r="B6" s="40">
        <v>1</v>
      </c>
      <c r="C6" s="40" t="s">
        <v>31</v>
      </c>
      <c r="D6" s="41" t="s">
        <v>289</v>
      </c>
      <c r="E6" s="42" t="s">
        <v>490</v>
      </c>
      <c r="F6" s="40" t="s">
        <v>818</v>
      </c>
    </row>
    <row r="7" spans="1:6" x14ac:dyDescent="0.3">
      <c r="A7" s="39">
        <v>1005</v>
      </c>
      <c r="B7" s="40">
        <v>2</v>
      </c>
      <c r="C7" s="40" t="s">
        <v>31</v>
      </c>
      <c r="D7" s="41" t="s">
        <v>290</v>
      </c>
      <c r="E7" s="42" t="s">
        <v>491</v>
      </c>
      <c r="F7" s="40" t="s">
        <v>818</v>
      </c>
    </row>
    <row r="8" spans="1:6" x14ac:dyDescent="0.3">
      <c r="A8" s="39">
        <v>1006</v>
      </c>
      <c r="B8" s="40">
        <v>1</v>
      </c>
      <c r="C8" s="40" t="s">
        <v>32</v>
      </c>
      <c r="D8" s="43">
        <v>7502830</v>
      </c>
      <c r="E8" s="42" t="s">
        <v>492</v>
      </c>
      <c r="F8" s="40" t="s">
        <v>817</v>
      </c>
    </row>
    <row r="9" spans="1:6" x14ac:dyDescent="0.3">
      <c r="A9" s="39">
        <v>1007</v>
      </c>
      <c r="B9" s="40">
        <v>1</v>
      </c>
      <c r="C9" s="40" t="s">
        <v>33</v>
      </c>
      <c r="D9" s="41" t="s">
        <v>291</v>
      </c>
      <c r="E9" s="42" t="s">
        <v>493</v>
      </c>
      <c r="F9" s="40" t="s">
        <v>818</v>
      </c>
    </row>
    <row r="10" spans="1:6" x14ac:dyDescent="0.3">
      <c r="A10" s="39">
        <v>1010</v>
      </c>
      <c r="B10" s="40">
        <v>1</v>
      </c>
      <c r="C10" s="40" t="s">
        <v>34</v>
      </c>
      <c r="D10" s="41" t="s">
        <v>292</v>
      </c>
      <c r="E10" s="42" t="s">
        <v>494</v>
      </c>
      <c r="F10" s="40" t="s">
        <v>819</v>
      </c>
    </row>
    <row r="11" spans="1:6" x14ac:dyDescent="0.3">
      <c r="A11" s="39">
        <v>1010</v>
      </c>
      <c r="B11" s="40">
        <v>2</v>
      </c>
      <c r="C11" s="40" t="s">
        <v>34</v>
      </c>
      <c r="D11" s="41" t="s">
        <v>293</v>
      </c>
      <c r="E11" s="42" t="s">
        <v>495</v>
      </c>
      <c r="F11" s="40" t="s">
        <v>819</v>
      </c>
    </row>
    <row r="12" spans="1:6" x14ac:dyDescent="0.3">
      <c r="A12" s="39">
        <v>1010</v>
      </c>
      <c r="B12" s="40">
        <v>1</v>
      </c>
      <c r="C12" s="40" t="s">
        <v>34</v>
      </c>
      <c r="D12" s="41" t="s">
        <v>292</v>
      </c>
      <c r="E12" s="42" t="s">
        <v>494</v>
      </c>
      <c r="F12" s="40" t="s">
        <v>819</v>
      </c>
    </row>
    <row r="13" spans="1:6" x14ac:dyDescent="0.3">
      <c r="A13" s="39">
        <v>1010</v>
      </c>
      <c r="B13" s="40">
        <v>2</v>
      </c>
      <c r="C13" s="40" t="s">
        <v>34</v>
      </c>
      <c r="D13" s="41" t="s">
        <v>293</v>
      </c>
      <c r="E13" s="42" t="s">
        <v>495</v>
      </c>
      <c r="F13" s="40" t="s">
        <v>819</v>
      </c>
    </row>
    <row r="14" spans="1:6" x14ac:dyDescent="0.3">
      <c r="A14" s="39">
        <v>1011</v>
      </c>
      <c r="B14" s="40">
        <v>1</v>
      </c>
      <c r="C14" s="40" t="s">
        <v>35</v>
      </c>
      <c r="D14" s="43">
        <v>1121046486</v>
      </c>
      <c r="E14" s="42" t="s">
        <v>496</v>
      </c>
      <c r="F14" s="40" t="s">
        <v>819</v>
      </c>
    </row>
    <row r="15" spans="1:6" x14ac:dyDescent="0.3">
      <c r="A15" s="39">
        <v>1011</v>
      </c>
      <c r="B15" s="40">
        <v>2</v>
      </c>
      <c r="C15" s="40" t="s">
        <v>35</v>
      </c>
      <c r="D15" s="43">
        <v>1121046493</v>
      </c>
      <c r="E15" s="42" t="s">
        <v>497</v>
      </c>
      <c r="F15" s="40" t="s">
        <v>819</v>
      </c>
    </row>
    <row r="16" spans="1:6" x14ac:dyDescent="0.3">
      <c r="A16" s="39">
        <v>1011</v>
      </c>
      <c r="B16" s="40">
        <v>3</v>
      </c>
      <c r="C16" s="40" t="s">
        <v>35</v>
      </c>
      <c r="D16" s="43">
        <v>1121046492</v>
      </c>
      <c r="E16" s="42" t="s">
        <v>498</v>
      </c>
      <c r="F16" s="40" t="s">
        <v>819</v>
      </c>
    </row>
    <row r="17" spans="1:6" x14ac:dyDescent="0.3">
      <c r="A17" s="39">
        <v>1011</v>
      </c>
      <c r="B17" s="40">
        <v>4</v>
      </c>
      <c r="C17" s="40" t="s">
        <v>35</v>
      </c>
      <c r="D17" s="41" t="s">
        <v>294</v>
      </c>
      <c r="E17" s="42" t="s">
        <v>499</v>
      </c>
      <c r="F17" s="40" t="s">
        <v>819</v>
      </c>
    </row>
    <row r="18" spans="1:6" x14ac:dyDescent="0.3">
      <c r="A18" s="39">
        <v>1014</v>
      </c>
      <c r="B18" s="40">
        <v>1</v>
      </c>
      <c r="C18" s="40" t="s">
        <v>36</v>
      </c>
      <c r="D18" s="41" t="s">
        <v>295</v>
      </c>
      <c r="E18" s="42" t="s">
        <v>500</v>
      </c>
      <c r="F18" s="40" t="s">
        <v>820</v>
      </c>
    </row>
    <row r="19" spans="1:6" x14ac:dyDescent="0.3">
      <c r="A19" s="39">
        <v>1014</v>
      </c>
      <c r="B19" s="40">
        <v>2</v>
      </c>
      <c r="C19" s="40" t="s">
        <v>36</v>
      </c>
      <c r="D19" s="41" t="s">
        <v>296</v>
      </c>
      <c r="E19" s="42" t="s">
        <v>501</v>
      </c>
      <c r="F19" s="40" t="s">
        <v>820</v>
      </c>
    </row>
    <row r="20" spans="1:6" x14ac:dyDescent="0.3">
      <c r="A20" s="39">
        <v>1015</v>
      </c>
      <c r="B20" s="40">
        <v>1</v>
      </c>
      <c r="C20" s="40" t="s">
        <v>37</v>
      </c>
      <c r="D20" s="41" t="s">
        <v>297</v>
      </c>
      <c r="E20" s="42" t="s">
        <v>502</v>
      </c>
      <c r="F20" s="40" t="s">
        <v>820</v>
      </c>
    </row>
    <row r="21" spans="1:6" x14ac:dyDescent="0.3">
      <c r="A21" s="39">
        <v>1016</v>
      </c>
      <c r="B21" s="40">
        <v>1</v>
      </c>
      <c r="C21" s="40" t="s">
        <v>38</v>
      </c>
      <c r="D21" s="43">
        <v>3001807</v>
      </c>
      <c r="E21" s="42" t="s">
        <v>503</v>
      </c>
      <c r="F21" s="40" t="s">
        <v>817</v>
      </c>
    </row>
    <row r="22" spans="1:6" x14ac:dyDescent="0.3">
      <c r="A22" s="39">
        <v>1017</v>
      </c>
      <c r="B22" s="40">
        <v>1</v>
      </c>
      <c r="C22" s="40" t="s">
        <v>39</v>
      </c>
      <c r="D22" s="41" t="s">
        <v>298</v>
      </c>
      <c r="E22" s="42" t="s">
        <v>504</v>
      </c>
      <c r="F22" s="40" t="s">
        <v>821</v>
      </c>
    </row>
    <row r="23" spans="1:6" x14ac:dyDescent="0.3">
      <c r="A23" s="39">
        <v>1020</v>
      </c>
      <c r="B23" s="40">
        <v>1</v>
      </c>
      <c r="C23" s="40" t="s">
        <v>40</v>
      </c>
      <c r="D23" s="43">
        <v>1710321034</v>
      </c>
      <c r="E23" s="42" t="s">
        <v>505</v>
      </c>
      <c r="F23" s="40" t="s">
        <v>822</v>
      </c>
    </row>
    <row r="24" spans="1:6" x14ac:dyDescent="0.3">
      <c r="A24" s="39">
        <v>1021</v>
      </c>
      <c r="B24" s="40">
        <v>1</v>
      </c>
      <c r="C24" s="40" t="s">
        <v>41</v>
      </c>
      <c r="D24" s="41" t="s">
        <v>299</v>
      </c>
      <c r="E24" s="42" t="s">
        <v>506</v>
      </c>
      <c r="F24" s="40" t="s">
        <v>819</v>
      </c>
    </row>
    <row r="25" spans="1:6" x14ac:dyDescent="0.3">
      <c r="A25" s="39">
        <v>1022</v>
      </c>
      <c r="B25" s="40">
        <v>2</v>
      </c>
      <c r="C25" s="40" t="s">
        <v>42</v>
      </c>
      <c r="D25" s="41" t="s">
        <v>300</v>
      </c>
      <c r="E25" s="42" t="s">
        <v>507</v>
      </c>
      <c r="F25" s="40" t="s">
        <v>821</v>
      </c>
    </row>
    <row r="26" spans="1:6" x14ac:dyDescent="0.3">
      <c r="A26" s="39">
        <v>1024</v>
      </c>
      <c r="B26" s="40">
        <v>1</v>
      </c>
      <c r="C26" s="40" t="s">
        <v>43</v>
      </c>
      <c r="D26" s="43">
        <v>9108034</v>
      </c>
      <c r="E26" s="42" t="s">
        <v>508</v>
      </c>
      <c r="F26" s="40" t="s">
        <v>817</v>
      </c>
    </row>
    <row r="27" spans="1:6" x14ac:dyDescent="0.3">
      <c r="A27" s="39">
        <v>1027</v>
      </c>
      <c r="B27" s="40">
        <v>1</v>
      </c>
      <c r="C27" s="40" t="s">
        <v>44</v>
      </c>
      <c r="D27" s="40"/>
      <c r="E27" s="44"/>
      <c r="F27" s="40" t="s">
        <v>823</v>
      </c>
    </row>
    <row r="28" spans="1:6" x14ac:dyDescent="0.3">
      <c r="A28" s="39">
        <v>1028</v>
      </c>
      <c r="B28" s="40">
        <v>1</v>
      </c>
      <c r="C28" s="40" t="s">
        <v>45</v>
      </c>
      <c r="D28" s="41" t="s">
        <v>301</v>
      </c>
      <c r="E28" s="42" t="s">
        <v>509</v>
      </c>
      <c r="F28" s="40" t="s">
        <v>818</v>
      </c>
    </row>
    <row r="29" spans="1:6" x14ac:dyDescent="0.3">
      <c r="A29" s="39">
        <v>1028</v>
      </c>
      <c r="B29" s="40">
        <v>2</v>
      </c>
      <c r="C29" s="40" t="s">
        <v>45</v>
      </c>
      <c r="D29" s="41" t="s">
        <v>302</v>
      </c>
      <c r="E29" s="42" t="s">
        <v>510</v>
      </c>
      <c r="F29" s="40" t="s">
        <v>818</v>
      </c>
    </row>
    <row r="30" spans="1:6" x14ac:dyDescent="0.3">
      <c r="A30" s="39">
        <v>1028</v>
      </c>
      <c r="B30" s="40">
        <v>3</v>
      </c>
      <c r="C30" s="40" t="s">
        <v>45</v>
      </c>
      <c r="D30" s="41" t="s">
        <v>303</v>
      </c>
      <c r="E30" s="42" t="s">
        <v>511</v>
      </c>
      <c r="F30" s="40" t="s">
        <v>818</v>
      </c>
    </row>
    <row r="31" spans="1:6" x14ac:dyDescent="0.3">
      <c r="A31" s="39">
        <v>1029</v>
      </c>
      <c r="B31" s="40">
        <v>1</v>
      </c>
      <c r="C31" s="40" t="s">
        <v>46</v>
      </c>
      <c r="D31" s="43">
        <v>8306136</v>
      </c>
      <c r="E31" s="42" t="s">
        <v>512</v>
      </c>
      <c r="F31" s="40" t="s">
        <v>817</v>
      </c>
    </row>
    <row r="32" spans="1:6" x14ac:dyDescent="0.3">
      <c r="A32" s="39">
        <v>1030</v>
      </c>
      <c r="B32" s="40">
        <v>1</v>
      </c>
      <c r="C32" s="40" t="s">
        <v>47</v>
      </c>
      <c r="D32" s="41" t="s">
        <v>304</v>
      </c>
      <c r="E32" s="42" t="s">
        <v>513</v>
      </c>
      <c r="F32" s="40" t="s">
        <v>824</v>
      </c>
    </row>
    <row r="33" spans="1:6" x14ac:dyDescent="0.3">
      <c r="A33" s="39">
        <v>1031</v>
      </c>
      <c r="B33" s="40">
        <v>1</v>
      </c>
      <c r="C33" s="40" t="s">
        <v>48</v>
      </c>
      <c r="D33" s="41" t="s">
        <v>305</v>
      </c>
      <c r="E33" s="42" t="s">
        <v>514</v>
      </c>
      <c r="F33" s="40" t="s">
        <v>821</v>
      </c>
    </row>
    <row r="34" spans="1:6" x14ac:dyDescent="0.3">
      <c r="A34" s="39">
        <v>1032</v>
      </c>
      <c r="B34" s="40">
        <v>1</v>
      </c>
      <c r="C34" s="40" t="s">
        <v>49</v>
      </c>
      <c r="D34" s="41" t="s">
        <v>306</v>
      </c>
      <c r="E34" s="42" t="s">
        <v>515</v>
      </c>
      <c r="F34" s="40" t="s">
        <v>821</v>
      </c>
    </row>
    <row r="35" spans="1:6" x14ac:dyDescent="0.3">
      <c r="A35" s="39">
        <v>1032</v>
      </c>
      <c r="B35" s="40">
        <v>2</v>
      </c>
      <c r="C35" s="40" t="s">
        <v>49</v>
      </c>
      <c r="D35" s="43">
        <v>1156048180</v>
      </c>
      <c r="E35" s="42" t="s">
        <v>516</v>
      </c>
      <c r="F35" s="40" t="s">
        <v>821</v>
      </c>
    </row>
    <row r="36" spans="1:6" x14ac:dyDescent="0.3">
      <c r="A36" s="39">
        <v>1032</v>
      </c>
      <c r="B36" s="40">
        <v>3</v>
      </c>
      <c r="C36" s="40" t="s">
        <v>49</v>
      </c>
      <c r="D36" s="43">
        <v>1156048275</v>
      </c>
      <c r="E36" s="42" t="s">
        <v>517</v>
      </c>
      <c r="F36" s="40" t="s">
        <v>821</v>
      </c>
    </row>
    <row r="37" spans="1:6" x14ac:dyDescent="0.3">
      <c r="A37" s="39">
        <v>1033</v>
      </c>
      <c r="B37" s="40">
        <v>1</v>
      </c>
      <c r="C37" s="40" t="s">
        <v>50</v>
      </c>
      <c r="D37" s="43">
        <v>2003779</v>
      </c>
      <c r="E37" s="42" t="s">
        <v>518</v>
      </c>
      <c r="F37" s="40" t="s">
        <v>817</v>
      </c>
    </row>
    <row r="38" spans="1:6" x14ac:dyDescent="0.3">
      <c r="A38" s="39">
        <v>1035</v>
      </c>
      <c r="B38" s="40">
        <v>1</v>
      </c>
      <c r="C38" s="40" t="s">
        <v>51</v>
      </c>
      <c r="D38" s="41" t="s">
        <v>307</v>
      </c>
      <c r="E38" s="42" t="s">
        <v>519</v>
      </c>
      <c r="F38" s="40" t="s">
        <v>819</v>
      </c>
    </row>
    <row r="39" spans="1:6" x14ac:dyDescent="0.3">
      <c r="A39" s="39">
        <v>1036</v>
      </c>
      <c r="B39" s="40">
        <v>1</v>
      </c>
      <c r="C39" s="40" t="s">
        <v>52</v>
      </c>
      <c r="D39" s="40"/>
      <c r="E39" s="44"/>
      <c r="F39" s="40" t="s">
        <v>823</v>
      </c>
    </row>
    <row r="40" spans="1:6" x14ac:dyDescent="0.3">
      <c r="A40" s="39">
        <v>1038</v>
      </c>
      <c r="B40" s="40">
        <v>1</v>
      </c>
      <c r="C40" s="40" t="s">
        <v>53</v>
      </c>
      <c r="D40" s="41" t="s">
        <v>308</v>
      </c>
      <c r="E40" s="42" t="s">
        <v>520</v>
      </c>
      <c r="F40" s="40" t="s">
        <v>819</v>
      </c>
    </row>
    <row r="41" spans="1:6" x14ac:dyDescent="0.3">
      <c r="A41" s="39">
        <v>1039</v>
      </c>
      <c r="B41" s="40">
        <v>1</v>
      </c>
      <c r="C41" s="40" t="s">
        <v>54</v>
      </c>
      <c r="D41" s="43">
        <v>6003965</v>
      </c>
      <c r="E41" s="42" t="s">
        <v>521</v>
      </c>
      <c r="F41" s="40" t="s">
        <v>817</v>
      </c>
    </row>
    <row r="42" spans="1:6" x14ac:dyDescent="0.3">
      <c r="A42" s="39">
        <v>1039</v>
      </c>
      <c r="B42" s="40">
        <v>2</v>
      </c>
      <c r="C42" s="40" t="s">
        <v>54</v>
      </c>
      <c r="D42" s="43">
        <v>6003966</v>
      </c>
      <c r="E42" s="42" t="s">
        <v>522</v>
      </c>
      <c r="F42" s="40" t="s">
        <v>817</v>
      </c>
    </row>
    <row r="43" spans="1:6" x14ac:dyDescent="0.3">
      <c r="A43" s="39">
        <v>1041</v>
      </c>
      <c r="B43" s="40">
        <v>1</v>
      </c>
      <c r="C43" s="40" t="s">
        <v>55</v>
      </c>
      <c r="D43" s="43">
        <v>3005776</v>
      </c>
      <c r="E43" s="42" t="s">
        <v>523</v>
      </c>
      <c r="F43" s="40" t="s">
        <v>817</v>
      </c>
    </row>
    <row r="44" spans="1:6" x14ac:dyDescent="0.3">
      <c r="A44" s="39">
        <v>1041</v>
      </c>
      <c r="B44" s="40">
        <v>2</v>
      </c>
      <c r="C44" s="40" t="s">
        <v>55</v>
      </c>
      <c r="D44" s="43">
        <v>3005775</v>
      </c>
      <c r="E44" s="42" t="s">
        <v>524</v>
      </c>
      <c r="F44" s="40" t="s">
        <v>817</v>
      </c>
    </row>
    <row r="45" spans="1:6" x14ac:dyDescent="0.3">
      <c r="A45" s="39">
        <v>1041</v>
      </c>
      <c r="B45" s="40">
        <v>3</v>
      </c>
      <c r="C45" s="40" t="s">
        <v>55</v>
      </c>
      <c r="D45" s="43">
        <v>3244599</v>
      </c>
      <c r="E45" s="42" t="s">
        <v>525</v>
      </c>
      <c r="F45" s="40" t="s">
        <v>817</v>
      </c>
    </row>
    <row r="46" spans="1:6" x14ac:dyDescent="0.3">
      <c r="A46" s="39">
        <v>1042</v>
      </c>
      <c r="B46" s="40">
        <v>1</v>
      </c>
      <c r="C46" s="40" t="s">
        <v>56</v>
      </c>
      <c r="D46" s="41" t="s">
        <v>309</v>
      </c>
      <c r="E46" s="42" t="s">
        <v>526</v>
      </c>
      <c r="F46" s="40" t="s">
        <v>824</v>
      </c>
    </row>
    <row r="47" spans="1:6" x14ac:dyDescent="0.3">
      <c r="A47" s="39">
        <v>1042</v>
      </c>
      <c r="B47" s="40">
        <v>2</v>
      </c>
      <c r="C47" s="40" t="s">
        <v>56</v>
      </c>
      <c r="D47" s="41" t="s">
        <v>310</v>
      </c>
      <c r="E47" s="42" t="s">
        <v>527</v>
      </c>
      <c r="F47" s="40" t="s">
        <v>824</v>
      </c>
    </row>
    <row r="48" spans="1:6" x14ac:dyDescent="0.3">
      <c r="A48" s="39">
        <v>1042</v>
      </c>
      <c r="B48" s="40">
        <v>3</v>
      </c>
      <c r="C48" s="40" t="s">
        <v>56</v>
      </c>
      <c r="D48" s="41" t="s">
        <v>311</v>
      </c>
      <c r="E48" s="42" t="s">
        <v>528</v>
      </c>
      <c r="F48" s="40" t="s">
        <v>824</v>
      </c>
    </row>
    <row r="49" spans="1:6" x14ac:dyDescent="0.3">
      <c r="A49" s="39">
        <v>1042</v>
      </c>
      <c r="B49" s="40">
        <v>4</v>
      </c>
      <c r="C49" s="40" t="s">
        <v>56</v>
      </c>
      <c r="D49" s="41" t="s">
        <v>312</v>
      </c>
      <c r="E49" s="42" t="s">
        <v>529</v>
      </c>
      <c r="F49" s="40" t="s">
        <v>824</v>
      </c>
    </row>
    <row r="50" spans="1:6" x14ac:dyDescent="0.3">
      <c r="A50" s="39">
        <v>1042</v>
      </c>
      <c r="B50" s="40">
        <v>5</v>
      </c>
      <c r="C50" s="40" t="s">
        <v>56</v>
      </c>
      <c r="D50" s="41" t="s">
        <v>313</v>
      </c>
      <c r="E50" s="42" t="s">
        <v>530</v>
      </c>
      <c r="F50" s="40" t="s">
        <v>824</v>
      </c>
    </row>
    <row r="51" spans="1:6" x14ac:dyDescent="0.3">
      <c r="A51" s="39">
        <v>1043</v>
      </c>
      <c r="B51" s="40">
        <v>1</v>
      </c>
      <c r="C51" s="40" t="s">
        <v>57</v>
      </c>
      <c r="D51" s="41" t="s">
        <v>314</v>
      </c>
      <c r="E51" s="42" t="s">
        <v>531</v>
      </c>
      <c r="F51" s="40" t="s">
        <v>818</v>
      </c>
    </row>
    <row r="52" spans="1:6" x14ac:dyDescent="0.3">
      <c r="A52" s="39">
        <v>1043</v>
      </c>
      <c r="B52" s="40">
        <v>2</v>
      </c>
      <c r="C52" s="40" t="s">
        <v>57</v>
      </c>
      <c r="D52" s="41" t="s">
        <v>315</v>
      </c>
      <c r="E52" s="42" t="s">
        <v>532</v>
      </c>
      <c r="F52" s="40" t="s">
        <v>818</v>
      </c>
    </row>
    <row r="53" spans="1:6" x14ac:dyDescent="0.3">
      <c r="A53" s="39">
        <v>1046</v>
      </c>
      <c r="B53" s="40">
        <v>1</v>
      </c>
      <c r="C53" s="40" t="s">
        <v>58</v>
      </c>
      <c r="D53" s="43">
        <v>2260073490</v>
      </c>
      <c r="E53" s="42" t="s">
        <v>533</v>
      </c>
      <c r="F53" s="40" t="s">
        <v>820</v>
      </c>
    </row>
    <row r="54" spans="1:6" x14ac:dyDescent="0.3">
      <c r="A54" s="39">
        <v>1047</v>
      </c>
      <c r="B54" s="40">
        <v>1</v>
      </c>
      <c r="C54" s="40" t="s">
        <v>59</v>
      </c>
      <c r="D54" s="41" t="s">
        <v>316</v>
      </c>
      <c r="E54" s="42" t="s">
        <v>534</v>
      </c>
      <c r="F54" s="40" t="s">
        <v>818</v>
      </c>
    </row>
    <row r="55" spans="1:6" x14ac:dyDescent="0.3">
      <c r="A55" s="39">
        <v>1049</v>
      </c>
      <c r="B55" s="40">
        <v>1</v>
      </c>
      <c r="C55" s="40" t="s">
        <v>60</v>
      </c>
      <c r="D55" s="40"/>
      <c r="E55" s="44"/>
      <c r="F55" s="40" t="s">
        <v>823</v>
      </c>
    </row>
    <row r="56" spans="1:6" x14ac:dyDescent="0.3">
      <c r="A56" s="39">
        <v>1052</v>
      </c>
      <c r="B56" s="40">
        <v>1</v>
      </c>
      <c r="C56" s="40" t="s">
        <v>61</v>
      </c>
      <c r="D56" s="41" t="s">
        <v>317</v>
      </c>
      <c r="E56" s="42" t="s">
        <v>535</v>
      </c>
      <c r="F56" s="40" t="s">
        <v>825</v>
      </c>
    </row>
    <row r="57" spans="1:6" x14ac:dyDescent="0.3">
      <c r="A57" s="39">
        <v>1053</v>
      </c>
      <c r="B57" s="40">
        <v>1</v>
      </c>
      <c r="C57" s="40" t="s">
        <v>62</v>
      </c>
      <c r="D57" s="41" t="s">
        <v>318</v>
      </c>
      <c r="E57" s="42" t="s">
        <v>536</v>
      </c>
      <c r="F57" s="40" t="s">
        <v>819</v>
      </c>
    </row>
    <row r="58" spans="1:6" x14ac:dyDescent="0.3">
      <c r="A58" s="39">
        <v>1056</v>
      </c>
      <c r="B58" s="40">
        <v>1</v>
      </c>
      <c r="C58" s="40" t="s">
        <v>63</v>
      </c>
      <c r="D58" s="41" t="s">
        <v>319</v>
      </c>
      <c r="E58" s="42" t="s">
        <v>537</v>
      </c>
      <c r="F58" s="40" t="s">
        <v>826</v>
      </c>
    </row>
    <row r="59" spans="1:6" x14ac:dyDescent="0.3">
      <c r="A59" s="39">
        <v>1058</v>
      </c>
      <c r="B59" s="40">
        <v>1</v>
      </c>
      <c r="C59" s="40" t="s">
        <v>64</v>
      </c>
      <c r="D59" s="45" t="s">
        <v>320</v>
      </c>
      <c r="E59" s="42" t="s">
        <v>538</v>
      </c>
      <c r="F59" s="40" t="s">
        <v>826</v>
      </c>
    </row>
    <row r="60" spans="1:6" x14ac:dyDescent="0.3">
      <c r="A60" s="39">
        <v>1061</v>
      </c>
      <c r="B60" s="40">
        <v>1</v>
      </c>
      <c r="C60" s="40" t="s">
        <v>65</v>
      </c>
      <c r="D60" s="41" t="s">
        <v>321</v>
      </c>
      <c r="E60" s="42" t="s">
        <v>539</v>
      </c>
      <c r="F60" s="40" t="s">
        <v>826</v>
      </c>
    </row>
    <row r="61" spans="1:6" x14ac:dyDescent="0.3">
      <c r="A61" s="39">
        <v>1063</v>
      </c>
      <c r="B61" s="40">
        <v>1</v>
      </c>
      <c r="C61" s="40" t="s">
        <v>66</v>
      </c>
      <c r="D61" s="43">
        <v>1151288396</v>
      </c>
      <c r="E61" s="42" t="s">
        <v>540</v>
      </c>
      <c r="F61" s="40" t="s">
        <v>821</v>
      </c>
    </row>
    <row r="62" spans="1:6" x14ac:dyDescent="0.3">
      <c r="A62" s="39">
        <v>1063</v>
      </c>
      <c r="B62" s="40">
        <v>2</v>
      </c>
      <c r="C62" s="40" t="s">
        <v>66</v>
      </c>
      <c r="D62" s="43">
        <v>1151288506</v>
      </c>
      <c r="E62" s="42" t="s">
        <v>541</v>
      </c>
      <c r="F62" s="40" t="s">
        <v>821</v>
      </c>
    </row>
    <row r="63" spans="1:6" x14ac:dyDescent="0.3">
      <c r="A63" s="39">
        <v>1063</v>
      </c>
      <c r="B63" s="40">
        <v>3</v>
      </c>
      <c r="C63" s="40" t="s">
        <v>66</v>
      </c>
      <c r="D63" s="41" t="s">
        <v>322</v>
      </c>
      <c r="E63" s="42" t="s">
        <v>542</v>
      </c>
      <c r="F63" s="40" t="s">
        <v>821</v>
      </c>
    </row>
    <row r="64" spans="1:6" x14ac:dyDescent="0.3">
      <c r="A64" s="39">
        <v>1064</v>
      </c>
      <c r="B64" s="40">
        <v>1</v>
      </c>
      <c r="C64" s="40" t="s">
        <v>67</v>
      </c>
      <c r="D64" s="41" t="s">
        <v>323</v>
      </c>
      <c r="E64" s="42" t="s">
        <v>543</v>
      </c>
      <c r="F64" s="40" t="s">
        <v>819</v>
      </c>
    </row>
    <row r="65" spans="1:6" x14ac:dyDescent="0.3">
      <c r="A65" s="39">
        <v>1066</v>
      </c>
      <c r="B65" s="40">
        <v>1</v>
      </c>
      <c r="C65" s="40" t="s">
        <v>68</v>
      </c>
      <c r="D65" s="41" t="s">
        <v>324</v>
      </c>
      <c r="E65" s="42" t="s">
        <v>544</v>
      </c>
      <c r="F65" s="40" t="s">
        <v>824</v>
      </c>
    </row>
    <row r="66" spans="1:6" x14ac:dyDescent="0.3">
      <c r="A66" s="39">
        <v>1066</v>
      </c>
      <c r="B66" s="40">
        <v>2</v>
      </c>
      <c r="C66" s="40" t="s">
        <v>68</v>
      </c>
      <c r="D66" s="41" t="s">
        <v>325</v>
      </c>
      <c r="E66" s="42" t="s">
        <v>545</v>
      </c>
      <c r="F66" s="40" t="s">
        <v>824</v>
      </c>
    </row>
    <row r="67" spans="1:6" x14ac:dyDescent="0.3">
      <c r="A67" s="39">
        <v>1066</v>
      </c>
      <c r="B67" s="40">
        <v>3</v>
      </c>
      <c r="C67" s="40" t="s">
        <v>68</v>
      </c>
      <c r="D67" s="41" t="s">
        <v>326</v>
      </c>
      <c r="E67" s="42" t="s">
        <v>546</v>
      </c>
      <c r="F67" s="40" t="s">
        <v>824</v>
      </c>
    </row>
    <row r="68" spans="1:6" x14ac:dyDescent="0.3">
      <c r="A68" s="39">
        <v>1066</v>
      </c>
      <c r="B68" s="40">
        <v>4</v>
      </c>
      <c r="C68" s="40" t="s">
        <v>68</v>
      </c>
      <c r="D68" s="41" t="s">
        <v>327</v>
      </c>
      <c r="E68" s="42" t="s">
        <v>547</v>
      </c>
      <c r="F68" s="40" t="s">
        <v>824</v>
      </c>
    </row>
    <row r="69" spans="1:6" x14ac:dyDescent="0.3">
      <c r="A69" s="39">
        <v>1066</v>
      </c>
      <c r="B69" s="40">
        <v>5</v>
      </c>
      <c r="C69" s="40" t="s">
        <v>68</v>
      </c>
      <c r="D69" s="41" t="s">
        <v>328</v>
      </c>
      <c r="E69" s="42" t="s">
        <v>548</v>
      </c>
      <c r="F69" s="40" t="s">
        <v>824</v>
      </c>
    </row>
    <row r="70" spans="1:6" x14ac:dyDescent="0.3">
      <c r="A70" s="39">
        <v>1066</v>
      </c>
      <c r="B70" s="40">
        <v>6</v>
      </c>
      <c r="C70" s="40" t="s">
        <v>68</v>
      </c>
      <c r="D70" s="41" t="s">
        <v>329</v>
      </c>
      <c r="E70" s="42" t="s">
        <v>549</v>
      </c>
      <c r="F70" s="40" t="s">
        <v>824</v>
      </c>
    </row>
    <row r="71" spans="1:6" x14ac:dyDescent="0.3">
      <c r="A71" s="39">
        <v>1066</v>
      </c>
      <c r="B71" s="40">
        <v>7</v>
      </c>
      <c r="C71" s="40" t="s">
        <v>68</v>
      </c>
      <c r="D71" s="41" t="s">
        <v>330</v>
      </c>
      <c r="E71" s="42" t="s">
        <v>550</v>
      </c>
      <c r="F71" s="40" t="s">
        <v>824</v>
      </c>
    </row>
    <row r="72" spans="1:6" x14ac:dyDescent="0.3">
      <c r="A72" s="39">
        <v>1066</v>
      </c>
      <c r="B72" s="40">
        <v>8</v>
      </c>
      <c r="C72" s="40" t="s">
        <v>68</v>
      </c>
      <c r="D72" s="41" t="s">
        <v>331</v>
      </c>
      <c r="E72" s="42" t="s">
        <v>551</v>
      </c>
      <c r="F72" s="40" t="s">
        <v>824</v>
      </c>
    </row>
    <row r="73" spans="1:6" x14ac:dyDescent="0.3">
      <c r="A73" s="39">
        <v>1066</v>
      </c>
      <c r="B73" s="40">
        <v>9</v>
      </c>
      <c r="C73" s="40" t="s">
        <v>68</v>
      </c>
      <c r="D73" s="41" t="s">
        <v>332</v>
      </c>
      <c r="E73" s="42" t="s">
        <v>552</v>
      </c>
      <c r="F73" s="40" t="s">
        <v>824</v>
      </c>
    </row>
    <row r="74" spans="1:6" x14ac:dyDescent="0.3">
      <c r="A74" s="39">
        <v>1066</v>
      </c>
      <c r="B74" s="40">
        <v>10</v>
      </c>
      <c r="C74" s="40" t="s">
        <v>68</v>
      </c>
      <c r="D74" s="41" t="s">
        <v>333</v>
      </c>
      <c r="E74" s="42" t="s">
        <v>553</v>
      </c>
      <c r="F74" s="40" t="s">
        <v>824</v>
      </c>
    </row>
    <row r="75" spans="1:6" x14ac:dyDescent="0.3">
      <c r="A75" s="39">
        <v>1068</v>
      </c>
      <c r="B75" s="40">
        <v>1</v>
      </c>
      <c r="C75" s="40" t="s">
        <v>69</v>
      </c>
      <c r="D75" s="41" t="s">
        <v>334</v>
      </c>
      <c r="E75" s="42" t="s">
        <v>554</v>
      </c>
      <c r="F75" s="40" t="s">
        <v>824</v>
      </c>
    </row>
    <row r="76" spans="1:6" x14ac:dyDescent="0.3">
      <c r="A76" s="39">
        <v>1081</v>
      </c>
      <c r="B76" s="40">
        <v>1</v>
      </c>
      <c r="C76" s="40" t="s">
        <v>70</v>
      </c>
      <c r="D76" s="41" t="s">
        <v>335</v>
      </c>
      <c r="E76" s="42" t="s">
        <v>555</v>
      </c>
      <c r="F76" s="40" t="s">
        <v>821</v>
      </c>
    </row>
    <row r="77" spans="1:6" x14ac:dyDescent="0.3">
      <c r="A77" s="39">
        <v>1083</v>
      </c>
      <c r="B77" s="40">
        <v>1</v>
      </c>
      <c r="C77" s="40" t="s">
        <v>71</v>
      </c>
      <c r="D77" s="41" t="s">
        <v>336</v>
      </c>
      <c r="E77" s="42" t="s">
        <v>556</v>
      </c>
      <c r="F77" s="40" t="s">
        <v>827</v>
      </c>
    </row>
    <row r="78" spans="1:6" x14ac:dyDescent="0.3">
      <c r="A78" s="46">
        <v>1084</v>
      </c>
      <c r="B78" s="47">
        <v>1</v>
      </c>
      <c r="C78" s="47" t="s">
        <v>72</v>
      </c>
      <c r="D78" s="41" t="s">
        <v>337</v>
      </c>
      <c r="E78" s="42" t="s">
        <v>557</v>
      </c>
      <c r="F78" s="40" t="s">
        <v>818</v>
      </c>
    </row>
    <row r="79" spans="1:6" x14ac:dyDescent="0.3">
      <c r="A79" s="46">
        <v>1084</v>
      </c>
      <c r="B79" s="47">
        <v>2</v>
      </c>
      <c r="C79" s="47" t="s">
        <v>72</v>
      </c>
      <c r="D79" s="41" t="s">
        <v>338</v>
      </c>
      <c r="E79" s="42" t="s">
        <v>558</v>
      </c>
      <c r="F79" s="40" t="s">
        <v>818</v>
      </c>
    </row>
    <row r="80" spans="1:6" x14ac:dyDescent="0.3">
      <c r="A80" s="39">
        <v>1086</v>
      </c>
      <c r="B80" s="40">
        <v>1</v>
      </c>
      <c r="C80" s="40" t="s">
        <v>73</v>
      </c>
      <c r="D80" s="41" t="s">
        <v>339</v>
      </c>
      <c r="E80" s="42" t="s">
        <v>559</v>
      </c>
      <c r="F80" s="40" t="s">
        <v>820</v>
      </c>
    </row>
    <row r="81" spans="1:6" x14ac:dyDescent="0.3">
      <c r="A81" s="39">
        <v>1089</v>
      </c>
      <c r="B81" s="40">
        <v>1</v>
      </c>
      <c r="C81" s="40" t="s">
        <v>74</v>
      </c>
      <c r="D81" s="41" t="s">
        <v>340</v>
      </c>
      <c r="E81" s="42" t="s">
        <v>560</v>
      </c>
      <c r="F81" s="40" t="s">
        <v>819</v>
      </c>
    </row>
    <row r="82" spans="1:6" x14ac:dyDescent="0.3">
      <c r="A82" s="39">
        <v>1090</v>
      </c>
      <c r="B82" s="40">
        <v>1</v>
      </c>
      <c r="C82" s="40" t="s">
        <v>75</v>
      </c>
      <c r="D82" s="43">
        <v>2710000388</v>
      </c>
      <c r="E82" s="42" t="s">
        <v>561</v>
      </c>
      <c r="F82" s="40" t="s">
        <v>822</v>
      </c>
    </row>
    <row r="83" spans="1:6" x14ac:dyDescent="0.3">
      <c r="A83" s="39">
        <v>1091</v>
      </c>
      <c r="B83" s="40">
        <v>1</v>
      </c>
      <c r="C83" s="40" t="s">
        <v>76</v>
      </c>
      <c r="D83" s="43">
        <v>1380057430</v>
      </c>
      <c r="E83" s="42" t="s">
        <v>562</v>
      </c>
      <c r="F83" s="40" t="s">
        <v>825</v>
      </c>
    </row>
    <row r="84" spans="1:6" x14ac:dyDescent="0.3">
      <c r="A84" s="39">
        <v>1093</v>
      </c>
      <c r="B84" s="40">
        <v>1</v>
      </c>
      <c r="C84" s="40" t="s">
        <v>77</v>
      </c>
      <c r="D84" s="43">
        <v>4001639</v>
      </c>
      <c r="E84" s="42" t="s">
        <v>563</v>
      </c>
      <c r="F84" s="40" t="s">
        <v>817</v>
      </c>
    </row>
    <row r="85" spans="1:6" x14ac:dyDescent="0.3">
      <c r="A85" s="39">
        <v>1094</v>
      </c>
      <c r="B85" s="40">
        <v>1</v>
      </c>
      <c r="C85" s="40" t="s">
        <v>78</v>
      </c>
      <c r="D85" s="43">
        <v>1262469627</v>
      </c>
      <c r="E85" s="42" t="s">
        <v>564</v>
      </c>
      <c r="F85" s="40" t="s">
        <v>820</v>
      </c>
    </row>
    <row r="86" spans="1:6" x14ac:dyDescent="0.3">
      <c r="A86" s="39">
        <v>1096</v>
      </c>
      <c r="B86" s="40">
        <v>1</v>
      </c>
      <c r="C86" s="40" t="s">
        <v>79</v>
      </c>
      <c r="D86" s="41" t="s">
        <v>341</v>
      </c>
      <c r="E86" s="42" t="s">
        <v>565</v>
      </c>
      <c r="F86" s="40" t="s">
        <v>821</v>
      </c>
    </row>
    <row r="87" spans="1:6" x14ac:dyDescent="0.3">
      <c r="A87" s="39">
        <v>1098</v>
      </c>
      <c r="B87" s="40">
        <v>1</v>
      </c>
      <c r="C87" s="40" t="s">
        <v>80</v>
      </c>
      <c r="D87" s="43">
        <v>7627878</v>
      </c>
      <c r="E87" s="42" t="s">
        <v>566</v>
      </c>
      <c r="F87" s="40" t="s">
        <v>817</v>
      </c>
    </row>
    <row r="88" spans="1:6" x14ac:dyDescent="0.3">
      <c r="A88" s="39">
        <v>1099</v>
      </c>
      <c r="B88" s="40">
        <v>1</v>
      </c>
      <c r="C88" s="40" t="s">
        <v>81</v>
      </c>
      <c r="D88" s="43">
        <v>2003670</v>
      </c>
      <c r="E88" s="42" t="s">
        <v>567</v>
      </c>
      <c r="F88" s="40" t="s">
        <v>817</v>
      </c>
    </row>
    <row r="89" spans="1:6" x14ac:dyDescent="0.3">
      <c r="A89" s="39">
        <v>1099</v>
      </c>
      <c r="B89" s="40">
        <v>2</v>
      </c>
      <c r="C89" s="40" t="s">
        <v>81</v>
      </c>
      <c r="D89" s="43">
        <v>2003671</v>
      </c>
      <c r="E89" s="42" t="s">
        <v>568</v>
      </c>
      <c r="F89" s="40" t="s">
        <v>817</v>
      </c>
    </row>
    <row r="90" spans="1:6" x14ac:dyDescent="0.3">
      <c r="A90" s="39">
        <v>1100</v>
      </c>
      <c r="B90" s="40">
        <v>1</v>
      </c>
      <c r="C90" s="40" t="s">
        <v>82</v>
      </c>
      <c r="D90" s="41" t="s">
        <v>342</v>
      </c>
      <c r="E90" s="48" t="s">
        <v>569</v>
      </c>
      <c r="F90" s="40" t="s">
        <v>821</v>
      </c>
    </row>
    <row r="91" spans="1:6" x14ac:dyDescent="0.3">
      <c r="A91" s="39">
        <v>1100</v>
      </c>
      <c r="B91" s="40">
        <v>2</v>
      </c>
      <c r="C91" s="40" t="s">
        <v>82</v>
      </c>
      <c r="D91" s="43">
        <v>2150260348</v>
      </c>
      <c r="E91" s="48" t="s">
        <v>570</v>
      </c>
      <c r="F91" s="40" t="s">
        <v>821</v>
      </c>
    </row>
    <row r="92" spans="1:6" x14ac:dyDescent="0.3">
      <c r="A92" s="39">
        <v>1103</v>
      </c>
      <c r="B92" s="40">
        <v>1</v>
      </c>
      <c r="C92" s="40" t="s">
        <v>83</v>
      </c>
      <c r="D92" s="40"/>
      <c r="E92" s="48"/>
      <c r="F92" s="40" t="s">
        <v>823</v>
      </c>
    </row>
    <row r="93" spans="1:6" x14ac:dyDescent="0.3">
      <c r="A93" s="39">
        <v>1104</v>
      </c>
      <c r="B93" s="40">
        <v>1</v>
      </c>
      <c r="C93" s="40" t="s">
        <v>84</v>
      </c>
      <c r="D93" s="41" t="s">
        <v>343</v>
      </c>
      <c r="E93" s="48" t="s">
        <v>571</v>
      </c>
      <c r="F93" s="40" t="s">
        <v>824</v>
      </c>
    </row>
    <row r="94" spans="1:6" x14ac:dyDescent="0.3">
      <c r="A94" s="39">
        <v>1106</v>
      </c>
      <c r="B94" s="40">
        <v>1</v>
      </c>
      <c r="C94" s="40" t="s">
        <v>85</v>
      </c>
      <c r="D94" s="41" t="s">
        <v>344</v>
      </c>
      <c r="E94" s="48" t="s">
        <v>572</v>
      </c>
      <c r="F94" s="40" t="s">
        <v>828</v>
      </c>
    </row>
    <row r="95" spans="1:6" x14ac:dyDescent="0.3">
      <c r="A95" s="39">
        <v>1107</v>
      </c>
      <c r="B95" s="40">
        <v>1</v>
      </c>
      <c r="C95" s="40" t="s">
        <v>86</v>
      </c>
      <c r="D95" s="43">
        <v>7499424</v>
      </c>
      <c r="E95" s="48" t="s">
        <v>573</v>
      </c>
      <c r="F95" s="40" t="s">
        <v>817</v>
      </c>
    </row>
    <row r="96" spans="1:6" x14ac:dyDescent="0.3">
      <c r="A96" s="39">
        <v>1108</v>
      </c>
      <c r="B96" s="40">
        <v>1</v>
      </c>
      <c r="C96" s="40" t="s">
        <v>87</v>
      </c>
      <c r="D96" s="41" t="s">
        <v>345</v>
      </c>
      <c r="E96" s="48" t="s">
        <v>574</v>
      </c>
      <c r="F96" s="40" t="s">
        <v>819</v>
      </c>
    </row>
    <row r="97" spans="1:6" x14ac:dyDescent="0.3">
      <c r="A97" s="39">
        <v>1109</v>
      </c>
      <c r="B97" s="40">
        <v>1</v>
      </c>
      <c r="C97" s="40" t="s">
        <v>88</v>
      </c>
      <c r="D97" s="43">
        <v>7616043</v>
      </c>
      <c r="E97" s="48" t="s">
        <v>575</v>
      </c>
      <c r="F97" s="40" t="s">
        <v>817</v>
      </c>
    </row>
    <row r="98" spans="1:6" x14ac:dyDescent="0.3">
      <c r="A98" s="39">
        <v>1109</v>
      </c>
      <c r="B98" s="40">
        <v>2</v>
      </c>
      <c r="C98" s="40" t="s">
        <v>88</v>
      </c>
      <c r="D98" s="43">
        <v>7052041</v>
      </c>
      <c r="E98" s="48" t="s">
        <v>576</v>
      </c>
      <c r="F98" s="40" t="s">
        <v>817</v>
      </c>
    </row>
    <row r="99" spans="1:6" x14ac:dyDescent="0.3">
      <c r="A99" s="39">
        <v>1109</v>
      </c>
      <c r="B99" s="40">
        <v>3</v>
      </c>
      <c r="C99" s="40" t="s">
        <v>88</v>
      </c>
      <c r="D99" s="43">
        <v>7052072</v>
      </c>
      <c r="E99" s="48" t="s">
        <v>577</v>
      </c>
      <c r="F99" s="40" t="s">
        <v>817</v>
      </c>
    </row>
    <row r="100" spans="1:6" x14ac:dyDescent="0.3">
      <c r="A100" s="46">
        <v>1110</v>
      </c>
      <c r="B100" s="47">
        <v>1</v>
      </c>
      <c r="C100" s="47" t="s">
        <v>89</v>
      </c>
      <c r="D100" s="41" t="s">
        <v>346</v>
      </c>
      <c r="E100" s="48" t="s">
        <v>578</v>
      </c>
      <c r="F100" s="40" t="s">
        <v>818</v>
      </c>
    </row>
    <row r="101" spans="1:6" x14ac:dyDescent="0.3">
      <c r="A101" s="46">
        <v>1111</v>
      </c>
      <c r="B101" s="47">
        <v>1</v>
      </c>
      <c r="C101" s="47" t="s">
        <v>90</v>
      </c>
      <c r="D101" s="41" t="s">
        <v>347</v>
      </c>
      <c r="E101" s="48" t="s">
        <v>579</v>
      </c>
      <c r="F101" s="40" t="s">
        <v>818</v>
      </c>
    </row>
    <row r="102" spans="1:6" x14ac:dyDescent="0.3">
      <c r="A102" s="46">
        <v>1111</v>
      </c>
      <c r="B102" s="47">
        <v>2</v>
      </c>
      <c r="C102" s="47" t="s">
        <v>90</v>
      </c>
      <c r="D102" s="41" t="s">
        <v>348</v>
      </c>
      <c r="E102" s="48" t="s">
        <v>580</v>
      </c>
      <c r="F102" s="40" t="s">
        <v>818</v>
      </c>
    </row>
    <row r="103" spans="1:6" x14ac:dyDescent="0.3">
      <c r="A103" s="46">
        <v>1111</v>
      </c>
      <c r="B103" s="47">
        <v>3</v>
      </c>
      <c r="C103" s="47" t="s">
        <v>90</v>
      </c>
      <c r="D103" s="43">
        <v>2140057731</v>
      </c>
      <c r="E103" s="48" t="s">
        <v>581</v>
      </c>
      <c r="F103" s="40" t="s">
        <v>818</v>
      </c>
    </row>
    <row r="104" spans="1:6" x14ac:dyDescent="0.3">
      <c r="A104" s="46">
        <v>1112</v>
      </c>
      <c r="B104" s="47"/>
      <c r="C104" s="47" t="s">
        <v>91</v>
      </c>
      <c r="D104" s="41" t="s">
        <v>349</v>
      </c>
      <c r="E104" s="48" t="s">
        <v>582</v>
      </c>
      <c r="F104" s="40" t="s">
        <v>818</v>
      </c>
    </row>
    <row r="105" spans="1:6" x14ac:dyDescent="0.3">
      <c r="A105" s="39">
        <v>1113</v>
      </c>
      <c r="B105" s="40">
        <v>1</v>
      </c>
      <c r="C105" s="40" t="s">
        <v>92</v>
      </c>
      <c r="D105" s="41" t="s">
        <v>350</v>
      </c>
      <c r="E105" s="48" t="s">
        <v>583</v>
      </c>
      <c r="F105" s="40" t="s">
        <v>828</v>
      </c>
    </row>
    <row r="106" spans="1:6" x14ac:dyDescent="0.3">
      <c r="A106" s="39">
        <v>1116</v>
      </c>
      <c r="B106" s="40">
        <v>1</v>
      </c>
      <c r="C106" s="40" t="s">
        <v>93</v>
      </c>
      <c r="D106" s="41" t="s">
        <v>351</v>
      </c>
      <c r="E106" s="48" t="s">
        <v>584</v>
      </c>
      <c r="F106" s="40" t="s">
        <v>824</v>
      </c>
    </row>
    <row r="107" spans="1:6" x14ac:dyDescent="0.3">
      <c r="A107" s="39">
        <v>1116</v>
      </c>
      <c r="B107" s="40">
        <v>2</v>
      </c>
      <c r="C107" s="40" t="s">
        <v>93</v>
      </c>
      <c r="D107" s="41" t="s">
        <v>352</v>
      </c>
      <c r="E107" s="48" t="s">
        <v>585</v>
      </c>
      <c r="F107" s="40" t="s">
        <v>824</v>
      </c>
    </row>
    <row r="108" spans="1:6" x14ac:dyDescent="0.3">
      <c r="A108" s="39">
        <v>1116</v>
      </c>
      <c r="B108" s="40">
        <v>3</v>
      </c>
      <c r="C108" s="40" t="s">
        <v>93</v>
      </c>
      <c r="D108" s="41" t="s">
        <v>353</v>
      </c>
      <c r="E108" s="48" t="s">
        <v>586</v>
      </c>
      <c r="F108" s="40" t="s">
        <v>824</v>
      </c>
    </row>
    <row r="109" spans="1:6" x14ac:dyDescent="0.3">
      <c r="A109" s="39">
        <v>1117</v>
      </c>
      <c r="B109" s="40">
        <v>1</v>
      </c>
      <c r="C109" s="40" t="s">
        <v>94</v>
      </c>
      <c r="D109" s="41" t="s">
        <v>354</v>
      </c>
      <c r="E109" s="48" t="s">
        <v>587</v>
      </c>
      <c r="F109" s="40" t="s">
        <v>820</v>
      </c>
    </row>
    <row r="110" spans="1:6" x14ac:dyDescent="0.3">
      <c r="A110" s="39">
        <v>1119</v>
      </c>
      <c r="B110" s="40">
        <v>1</v>
      </c>
      <c r="C110" s="40" t="s">
        <v>95</v>
      </c>
      <c r="D110" s="40"/>
      <c r="E110" s="48"/>
      <c r="F110" s="40" t="s">
        <v>823</v>
      </c>
    </row>
    <row r="111" spans="1:6" x14ac:dyDescent="0.3">
      <c r="A111" s="39">
        <v>1121</v>
      </c>
      <c r="B111" s="40">
        <v>1</v>
      </c>
      <c r="C111" s="40" t="s">
        <v>96</v>
      </c>
      <c r="D111" s="41" t="s">
        <v>355</v>
      </c>
      <c r="E111" s="48" t="s">
        <v>588</v>
      </c>
      <c r="F111" s="40" t="s">
        <v>820</v>
      </c>
    </row>
    <row r="112" spans="1:6" x14ac:dyDescent="0.3">
      <c r="A112" s="39">
        <v>1122</v>
      </c>
      <c r="B112" s="40">
        <v>1</v>
      </c>
      <c r="C112" s="40" t="s">
        <v>97</v>
      </c>
      <c r="D112" s="43">
        <v>8272641</v>
      </c>
      <c r="E112" s="48" t="s">
        <v>589</v>
      </c>
      <c r="F112" s="40" t="s">
        <v>817</v>
      </c>
    </row>
    <row r="113" spans="1:6" x14ac:dyDescent="0.3">
      <c r="A113" s="39">
        <v>1124</v>
      </c>
      <c r="B113" s="40">
        <v>1</v>
      </c>
      <c r="C113" s="40" t="s">
        <v>98</v>
      </c>
      <c r="D113" s="41" t="s">
        <v>356</v>
      </c>
      <c r="E113" s="48" t="s">
        <v>590</v>
      </c>
      <c r="F113" s="40" t="s">
        <v>826</v>
      </c>
    </row>
    <row r="114" spans="1:6" x14ac:dyDescent="0.3">
      <c r="A114" s="39">
        <v>1125</v>
      </c>
      <c r="B114" s="40">
        <v>1</v>
      </c>
      <c r="C114" s="40" t="s">
        <v>99</v>
      </c>
      <c r="D114" s="40"/>
      <c r="E114" s="48"/>
      <c r="F114" s="40" t="s">
        <v>823</v>
      </c>
    </row>
    <row r="115" spans="1:6" x14ac:dyDescent="0.3">
      <c r="A115" s="39">
        <v>1126</v>
      </c>
      <c r="B115" s="40">
        <v>1</v>
      </c>
      <c r="C115" s="40" t="s">
        <v>100</v>
      </c>
      <c r="D115" s="40"/>
      <c r="E115" s="48"/>
      <c r="F115" s="40" t="s">
        <v>823</v>
      </c>
    </row>
    <row r="116" spans="1:6" x14ac:dyDescent="0.3">
      <c r="A116" s="39">
        <v>1127</v>
      </c>
      <c r="B116" s="40">
        <v>1</v>
      </c>
      <c r="C116" s="40" t="s">
        <v>101</v>
      </c>
      <c r="D116" s="40"/>
      <c r="E116" s="48"/>
      <c r="F116" s="40" t="s">
        <v>823</v>
      </c>
    </row>
    <row r="117" spans="1:6" x14ac:dyDescent="0.3">
      <c r="A117" s="39">
        <v>1128</v>
      </c>
      <c r="B117" s="40">
        <v>1</v>
      </c>
      <c r="C117" s="40" t="s">
        <v>102</v>
      </c>
      <c r="D117" s="43">
        <v>8268331</v>
      </c>
      <c r="E117" s="48" t="s">
        <v>591</v>
      </c>
      <c r="F117" s="40" t="s">
        <v>817</v>
      </c>
    </row>
    <row r="118" spans="1:6" x14ac:dyDescent="0.3">
      <c r="A118" s="39">
        <v>1130</v>
      </c>
      <c r="B118" s="40">
        <v>4</v>
      </c>
      <c r="C118" s="40" t="s">
        <v>103</v>
      </c>
      <c r="D118" s="43">
        <v>8258728</v>
      </c>
      <c r="E118" s="48" t="s">
        <v>592</v>
      </c>
      <c r="F118" s="40" t="s">
        <v>817</v>
      </c>
    </row>
    <row r="119" spans="1:6" x14ac:dyDescent="0.3">
      <c r="A119" s="39">
        <v>1131</v>
      </c>
      <c r="B119" s="40">
        <v>1</v>
      </c>
      <c r="C119" s="40" t="s">
        <v>104</v>
      </c>
      <c r="D119" s="40"/>
      <c r="E119" s="48"/>
      <c r="F119" s="40" t="s">
        <v>823</v>
      </c>
    </row>
    <row r="120" spans="1:6" x14ac:dyDescent="0.3">
      <c r="A120" s="39">
        <v>1133</v>
      </c>
      <c r="B120" s="40">
        <v>1</v>
      </c>
      <c r="C120" s="40" t="s">
        <v>105</v>
      </c>
      <c r="D120" s="41" t="s">
        <v>357</v>
      </c>
      <c r="E120" s="48" t="s">
        <v>593</v>
      </c>
      <c r="F120" s="40" t="s">
        <v>824</v>
      </c>
    </row>
    <row r="121" spans="1:6" x14ac:dyDescent="0.3">
      <c r="A121" s="39">
        <v>1133</v>
      </c>
      <c r="B121" s="40">
        <v>2</v>
      </c>
      <c r="C121" s="40" t="s">
        <v>105</v>
      </c>
      <c r="D121" s="41" t="s">
        <v>358</v>
      </c>
      <c r="E121" s="48" t="s">
        <v>594</v>
      </c>
      <c r="F121" s="40" t="s">
        <v>824</v>
      </c>
    </row>
    <row r="122" spans="1:6" x14ac:dyDescent="0.3">
      <c r="A122" s="39">
        <v>1134</v>
      </c>
      <c r="B122" s="40">
        <v>1</v>
      </c>
      <c r="C122" s="40" t="s">
        <v>106</v>
      </c>
      <c r="D122" s="43">
        <v>1132927933</v>
      </c>
      <c r="E122" s="48" t="s">
        <v>595</v>
      </c>
      <c r="F122" s="40" t="s">
        <v>826</v>
      </c>
    </row>
    <row r="123" spans="1:6" x14ac:dyDescent="0.3">
      <c r="A123" s="39">
        <v>1134</v>
      </c>
      <c r="B123" s="40">
        <v>2</v>
      </c>
      <c r="C123" s="40" t="s">
        <v>106</v>
      </c>
      <c r="D123" s="43">
        <v>1132927928</v>
      </c>
      <c r="E123" s="48" t="s">
        <v>596</v>
      </c>
      <c r="F123" s="40" t="s">
        <v>826</v>
      </c>
    </row>
    <row r="124" spans="1:6" x14ac:dyDescent="0.3">
      <c r="A124" s="39">
        <v>1134</v>
      </c>
      <c r="B124" s="40">
        <v>3</v>
      </c>
      <c r="C124" s="40" t="s">
        <v>106</v>
      </c>
      <c r="D124" s="43">
        <v>1132927924</v>
      </c>
      <c r="E124" s="48" t="s">
        <v>597</v>
      </c>
      <c r="F124" s="40" t="s">
        <v>826</v>
      </c>
    </row>
    <row r="125" spans="1:6" x14ac:dyDescent="0.3">
      <c r="A125" s="39">
        <v>1137</v>
      </c>
      <c r="B125" s="40">
        <v>1</v>
      </c>
      <c r="C125" s="40" t="s">
        <v>107</v>
      </c>
      <c r="D125" s="41" t="s">
        <v>359</v>
      </c>
      <c r="E125" s="48" t="s">
        <v>598</v>
      </c>
      <c r="F125" s="40" t="s">
        <v>821</v>
      </c>
    </row>
    <row r="126" spans="1:6" x14ac:dyDescent="0.3">
      <c r="A126" s="39">
        <v>1139</v>
      </c>
      <c r="B126" s="40">
        <v>1</v>
      </c>
      <c r="C126" s="40" t="s">
        <v>108</v>
      </c>
      <c r="D126" s="41" t="s">
        <v>360</v>
      </c>
      <c r="E126" s="48" t="s">
        <v>599</v>
      </c>
      <c r="F126" s="40" t="s">
        <v>819</v>
      </c>
    </row>
    <row r="127" spans="1:6" x14ac:dyDescent="0.3">
      <c r="A127" s="39">
        <v>1141</v>
      </c>
      <c r="B127" s="40">
        <v>1</v>
      </c>
      <c r="C127" s="40" t="s">
        <v>109</v>
      </c>
      <c r="D127" s="41" t="s">
        <v>361</v>
      </c>
      <c r="E127" s="48" t="s">
        <v>600</v>
      </c>
      <c r="F127" s="40" t="s">
        <v>821</v>
      </c>
    </row>
    <row r="128" spans="1:6" x14ac:dyDescent="0.3">
      <c r="A128" s="39">
        <v>1141</v>
      </c>
      <c r="B128" s="40">
        <v>2</v>
      </c>
      <c r="C128" s="40" t="s">
        <v>109</v>
      </c>
      <c r="D128" s="43">
        <v>1157219903</v>
      </c>
      <c r="E128" s="48" t="s">
        <v>601</v>
      </c>
      <c r="F128" s="40" t="s">
        <v>821</v>
      </c>
    </row>
    <row r="129" spans="1:6" x14ac:dyDescent="0.3">
      <c r="A129" s="39">
        <v>1143</v>
      </c>
      <c r="B129" s="40">
        <v>1</v>
      </c>
      <c r="C129" s="40" t="s">
        <v>110</v>
      </c>
      <c r="D129" s="41" t="s">
        <v>362</v>
      </c>
      <c r="E129" s="48" t="s">
        <v>602</v>
      </c>
      <c r="F129" s="40" t="s">
        <v>826</v>
      </c>
    </row>
    <row r="130" spans="1:6" x14ac:dyDescent="0.3">
      <c r="A130" s="39">
        <v>1144</v>
      </c>
      <c r="B130" s="40">
        <v>1</v>
      </c>
      <c r="C130" s="40" t="s">
        <v>111</v>
      </c>
      <c r="D130" s="40"/>
      <c r="E130" s="48"/>
      <c r="F130" s="40" t="s">
        <v>823</v>
      </c>
    </row>
    <row r="131" spans="1:6" x14ac:dyDescent="0.3">
      <c r="A131" s="39">
        <v>1145</v>
      </c>
      <c r="B131" s="40">
        <v>1</v>
      </c>
      <c r="C131" s="40" t="s">
        <v>112</v>
      </c>
      <c r="D131" s="43">
        <v>7330285</v>
      </c>
      <c r="E131" s="48" t="s">
        <v>603</v>
      </c>
      <c r="F131" s="40" t="s">
        <v>817</v>
      </c>
    </row>
    <row r="132" spans="1:6" x14ac:dyDescent="0.3">
      <c r="A132" s="39">
        <v>1146</v>
      </c>
      <c r="B132" s="40">
        <v>1</v>
      </c>
      <c r="C132" s="40" t="s">
        <v>113</v>
      </c>
      <c r="D132" s="41" t="s">
        <v>363</v>
      </c>
      <c r="E132" s="48" t="s">
        <v>604</v>
      </c>
      <c r="F132" s="40" t="s">
        <v>826</v>
      </c>
    </row>
    <row r="133" spans="1:6" x14ac:dyDescent="0.3">
      <c r="A133" s="39">
        <v>1147</v>
      </c>
      <c r="B133" s="40">
        <v>1</v>
      </c>
      <c r="C133" s="40" t="s">
        <v>114</v>
      </c>
      <c r="D133" s="41" t="s">
        <v>364</v>
      </c>
      <c r="E133" s="48" t="s">
        <v>605</v>
      </c>
      <c r="F133" s="40" t="s">
        <v>826</v>
      </c>
    </row>
    <row r="134" spans="1:6" x14ac:dyDescent="0.3">
      <c r="A134" s="39">
        <v>1149</v>
      </c>
      <c r="B134" s="40">
        <v>1</v>
      </c>
      <c r="C134" s="40" t="s">
        <v>115</v>
      </c>
      <c r="D134" s="41" t="s">
        <v>365</v>
      </c>
      <c r="E134" s="48" t="s">
        <v>606</v>
      </c>
      <c r="F134" s="40" t="s">
        <v>826</v>
      </c>
    </row>
    <row r="135" spans="1:6" x14ac:dyDescent="0.3">
      <c r="A135" s="39">
        <v>1150</v>
      </c>
      <c r="B135" s="40">
        <v>1</v>
      </c>
      <c r="C135" s="40" t="s">
        <v>116</v>
      </c>
      <c r="D135" s="41" t="s">
        <v>366</v>
      </c>
      <c r="E135" s="48" t="s">
        <v>607</v>
      </c>
      <c r="F135" s="40" t="s">
        <v>826</v>
      </c>
    </row>
    <row r="136" spans="1:6" x14ac:dyDescent="0.3">
      <c r="A136" s="39">
        <v>1151</v>
      </c>
      <c r="B136" s="40">
        <v>1</v>
      </c>
      <c r="C136" s="40" t="s">
        <v>117</v>
      </c>
      <c r="D136" s="43">
        <v>2130001703</v>
      </c>
      <c r="E136" s="48" t="s">
        <v>608</v>
      </c>
      <c r="F136" s="40" t="s">
        <v>826</v>
      </c>
    </row>
    <row r="137" spans="1:6" x14ac:dyDescent="0.3">
      <c r="A137" s="39">
        <v>1152</v>
      </c>
      <c r="B137" s="40">
        <v>1</v>
      </c>
      <c r="C137" s="40" t="s">
        <v>118</v>
      </c>
      <c r="D137" s="41" t="s">
        <v>367</v>
      </c>
      <c r="E137" s="48" t="s">
        <v>609</v>
      </c>
      <c r="F137" s="40" t="s">
        <v>827</v>
      </c>
    </row>
    <row r="138" spans="1:6" x14ac:dyDescent="0.3">
      <c r="A138" s="39">
        <v>1154</v>
      </c>
      <c r="B138" s="40">
        <v>1</v>
      </c>
      <c r="C138" s="40" t="s">
        <v>119</v>
      </c>
      <c r="D138" s="41" t="s">
        <v>368</v>
      </c>
      <c r="E138" s="48" t="s">
        <v>610</v>
      </c>
      <c r="F138" s="40" t="s">
        <v>821</v>
      </c>
    </row>
    <row r="139" spans="1:6" x14ac:dyDescent="0.3">
      <c r="A139" s="39">
        <v>1154</v>
      </c>
      <c r="B139" s="40">
        <v>2</v>
      </c>
      <c r="C139" s="40" t="s">
        <v>119</v>
      </c>
      <c r="D139" s="41" t="s">
        <v>369</v>
      </c>
      <c r="E139" s="48" t="s">
        <v>611</v>
      </c>
      <c r="F139" s="40" t="s">
        <v>821</v>
      </c>
    </row>
    <row r="140" spans="1:6" x14ac:dyDescent="0.3">
      <c r="A140" s="39">
        <v>1155</v>
      </c>
      <c r="B140" s="40">
        <v>1</v>
      </c>
      <c r="C140" s="40" t="s">
        <v>120</v>
      </c>
      <c r="D140" s="41" t="s">
        <v>370</v>
      </c>
      <c r="E140" s="48" t="s">
        <v>612</v>
      </c>
      <c r="F140" s="40" t="s">
        <v>821</v>
      </c>
    </row>
    <row r="141" spans="1:6" x14ac:dyDescent="0.3">
      <c r="A141" s="39">
        <v>1156</v>
      </c>
      <c r="B141" s="40">
        <v>1</v>
      </c>
      <c r="C141" s="40" t="s">
        <v>121</v>
      </c>
      <c r="D141" s="41" t="s">
        <v>371</v>
      </c>
      <c r="E141" s="48" t="s">
        <v>613</v>
      </c>
      <c r="F141" s="40" t="s">
        <v>821</v>
      </c>
    </row>
    <row r="142" spans="1:6" x14ac:dyDescent="0.3">
      <c r="A142" s="39">
        <v>1156</v>
      </c>
      <c r="B142" s="40">
        <v>2</v>
      </c>
      <c r="C142" s="40" t="s">
        <v>121</v>
      </c>
      <c r="D142" s="41" t="s">
        <v>372</v>
      </c>
      <c r="E142" s="48" t="s">
        <v>614</v>
      </c>
      <c r="F142" s="40" t="s">
        <v>821</v>
      </c>
    </row>
    <row r="143" spans="1:6" x14ac:dyDescent="0.3">
      <c r="A143" s="39">
        <v>1157</v>
      </c>
      <c r="B143" s="40">
        <v>1</v>
      </c>
      <c r="C143" s="40" t="s">
        <v>122</v>
      </c>
      <c r="D143" s="41" t="s">
        <v>373</v>
      </c>
      <c r="E143" s="48" t="s">
        <v>615</v>
      </c>
      <c r="F143" s="40" t="s">
        <v>825</v>
      </c>
    </row>
    <row r="144" spans="1:6" x14ac:dyDescent="0.3">
      <c r="A144" s="39">
        <v>1157</v>
      </c>
      <c r="B144" s="40">
        <v>2</v>
      </c>
      <c r="C144" s="40" t="s">
        <v>122</v>
      </c>
      <c r="D144" s="41" t="s">
        <v>374</v>
      </c>
      <c r="E144" s="48" t="s">
        <v>616</v>
      </c>
      <c r="F144" s="40" t="s">
        <v>825</v>
      </c>
    </row>
    <row r="145" spans="1:6" x14ac:dyDescent="0.3">
      <c r="A145" s="39">
        <v>1157</v>
      </c>
      <c r="B145" s="40">
        <v>3</v>
      </c>
      <c r="C145" s="40" t="s">
        <v>122</v>
      </c>
      <c r="D145" s="41" t="s">
        <v>375</v>
      </c>
      <c r="E145" s="48" t="s">
        <v>617</v>
      </c>
      <c r="F145" s="40" t="s">
        <v>825</v>
      </c>
    </row>
    <row r="146" spans="1:6" x14ac:dyDescent="0.3">
      <c r="A146" s="39">
        <v>1158</v>
      </c>
      <c r="B146" s="40">
        <v>1</v>
      </c>
      <c r="C146" s="40" t="s">
        <v>123</v>
      </c>
      <c r="D146" s="41" t="s">
        <v>376</v>
      </c>
      <c r="E146" s="48" t="s">
        <v>618</v>
      </c>
      <c r="F146" s="40" t="s">
        <v>821</v>
      </c>
    </row>
    <row r="147" spans="1:6" x14ac:dyDescent="0.3">
      <c r="A147" s="39">
        <v>1159</v>
      </c>
      <c r="B147" s="40">
        <v>1</v>
      </c>
      <c r="C147" s="40" t="s">
        <v>124</v>
      </c>
      <c r="D147" s="41" t="s">
        <v>377</v>
      </c>
      <c r="E147" s="48" t="s">
        <v>619</v>
      </c>
      <c r="F147" s="40" t="s">
        <v>826</v>
      </c>
    </row>
    <row r="148" spans="1:6" x14ac:dyDescent="0.3">
      <c r="A148" s="39">
        <v>1160</v>
      </c>
      <c r="B148" s="40">
        <v>1</v>
      </c>
      <c r="C148" s="40" t="s">
        <v>125</v>
      </c>
      <c r="D148" s="41" t="s">
        <v>378</v>
      </c>
      <c r="E148" s="48" t="s">
        <v>620</v>
      </c>
      <c r="F148" s="40" t="s">
        <v>820</v>
      </c>
    </row>
    <row r="149" spans="1:6" x14ac:dyDescent="0.3">
      <c r="A149" s="46">
        <v>1161</v>
      </c>
      <c r="B149" s="47">
        <v>1</v>
      </c>
      <c r="C149" s="47" t="s">
        <v>126</v>
      </c>
      <c r="D149" s="41" t="s">
        <v>379</v>
      </c>
      <c r="E149" s="48" t="s">
        <v>621</v>
      </c>
      <c r="F149" s="40" t="s">
        <v>818</v>
      </c>
    </row>
    <row r="150" spans="1:6" x14ac:dyDescent="0.3">
      <c r="A150" s="46">
        <v>1161</v>
      </c>
      <c r="B150" s="47">
        <v>2</v>
      </c>
      <c r="C150" s="47" t="s">
        <v>126</v>
      </c>
      <c r="D150" s="41" t="s">
        <v>380</v>
      </c>
      <c r="E150" s="48" t="s">
        <v>622</v>
      </c>
      <c r="F150" s="40" t="s">
        <v>818</v>
      </c>
    </row>
    <row r="151" spans="1:6" x14ac:dyDescent="0.3">
      <c r="A151" s="46">
        <v>1161</v>
      </c>
      <c r="B151" s="47">
        <v>3</v>
      </c>
      <c r="C151" s="47" t="s">
        <v>126</v>
      </c>
      <c r="D151" s="41" t="s">
        <v>381</v>
      </c>
      <c r="E151" s="48" t="s">
        <v>623</v>
      </c>
      <c r="F151" s="40" t="s">
        <v>818</v>
      </c>
    </row>
    <row r="152" spans="1:6" x14ac:dyDescent="0.3">
      <c r="A152" s="39">
        <v>1162</v>
      </c>
      <c r="B152" s="40">
        <v>1</v>
      </c>
      <c r="C152" s="40" t="s">
        <v>127</v>
      </c>
      <c r="D152" s="41" t="s">
        <v>382</v>
      </c>
      <c r="E152" s="48" t="s">
        <v>624</v>
      </c>
      <c r="F152" s="40" t="s">
        <v>821</v>
      </c>
    </row>
    <row r="153" spans="1:6" x14ac:dyDescent="0.3">
      <c r="A153" s="39">
        <v>1166</v>
      </c>
      <c r="B153" s="40">
        <v>1</v>
      </c>
      <c r="C153" s="40" t="s">
        <v>128</v>
      </c>
      <c r="D153" s="41" t="s">
        <v>383</v>
      </c>
      <c r="E153" s="48" t="s">
        <v>625</v>
      </c>
      <c r="F153" s="40" t="s">
        <v>819</v>
      </c>
    </row>
    <row r="154" spans="1:6" x14ac:dyDescent="0.3">
      <c r="A154" s="39">
        <v>1167</v>
      </c>
      <c r="B154" s="40">
        <v>1</v>
      </c>
      <c r="C154" s="40" t="s">
        <v>129</v>
      </c>
      <c r="D154" s="41" t="s">
        <v>384</v>
      </c>
      <c r="E154" s="48" t="s">
        <v>626</v>
      </c>
      <c r="F154" s="40" t="s">
        <v>824</v>
      </c>
    </row>
    <row r="155" spans="1:6" x14ac:dyDescent="0.3">
      <c r="A155" s="39">
        <v>1167</v>
      </c>
      <c r="B155" s="40">
        <v>2</v>
      </c>
      <c r="C155" s="40" t="s">
        <v>129</v>
      </c>
      <c r="D155" s="41" t="s">
        <v>385</v>
      </c>
      <c r="E155" s="48" t="s">
        <v>627</v>
      </c>
      <c r="F155" s="40" t="s">
        <v>824</v>
      </c>
    </row>
    <row r="156" spans="1:6" x14ac:dyDescent="0.3">
      <c r="A156" s="39">
        <v>1167</v>
      </c>
      <c r="B156" s="40">
        <v>3</v>
      </c>
      <c r="C156" s="40" t="s">
        <v>129</v>
      </c>
      <c r="D156" s="41" t="s">
        <v>386</v>
      </c>
      <c r="E156" s="48" t="s">
        <v>628</v>
      </c>
      <c r="F156" s="40" t="s">
        <v>824</v>
      </c>
    </row>
    <row r="157" spans="1:6" x14ac:dyDescent="0.3">
      <c r="A157" s="39">
        <v>1168</v>
      </c>
      <c r="B157" s="40">
        <v>1</v>
      </c>
      <c r="C157" s="40" t="s">
        <v>130</v>
      </c>
      <c r="D157" s="41" t="s">
        <v>387</v>
      </c>
      <c r="E157" s="48" t="s">
        <v>629</v>
      </c>
      <c r="F157" s="40" t="s">
        <v>819</v>
      </c>
    </row>
    <row r="158" spans="1:6" x14ac:dyDescent="0.3">
      <c r="A158" s="39">
        <v>1168</v>
      </c>
      <c r="B158" s="40">
        <v>2</v>
      </c>
      <c r="C158" s="40" t="s">
        <v>130</v>
      </c>
      <c r="D158" s="41" t="s">
        <v>388</v>
      </c>
      <c r="E158" s="48" t="s">
        <v>630</v>
      </c>
      <c r="F158" s="40" t="s">
        <v>819</v>
      </c>
    </row>
    <row r="159" spans="1:6" x14ac:dyDescent="0.3">
      <c r="A159" s="39">
        <v>1168</v>
      </c>
      <c r="B159" s="40">
        <v>3</v>
      </c>
      <c r="C159" s="40" t="s">
        <v>130</v>
      </c>
      <c r="D159" s="41" t="s">
        <v>389</v>
      </c>
      <c r="E159" s="48" t="s">
        <v>631</v>
      </c>
      <c r="F159" s="40" t="s">
        <v>819</v>
      </c>
    </row>
    <row r="160" spans="1:6" x14ac:dyDescent="0.3">
      <c r="A160" s="39">
        <v>1168</v>
      </c>
      <c r="B160" s="40">
        <v>1</v>
      </c>
      <c r="C160" s="40" t="s">
        <v>130</v>
      </c>
      <c r="D160" s="41" t="s">
        <v>387</v>
      </c>
      <c r="E160" s="48" t="s">
        <v>632</v>
      </c>
      <c r="F160" s="40" t="s">
        <v>819</v>
      </c>
    </row>
    <row r="161" spans="1:6" x14ac:dyDescent="0.3">
      <c r="A161" s="39">
        <v>1168</v>
      </c>
      <c r="B161" s="40">
        <v>3</v>
      </c>
      <c r="C161" s="40" t="s">
        <v>130</v>
      </c>
      <c r="D161" s="41" t="s">
        <v>389</v>
      </c>
      <c r="E161" s="48" t="s">
        <v>633</v>
      </c>
      <c r="F161" s="40" t="s">
        <v>819</v>
      </c>
    </row>
    <row r="162" spans="1:6" x14ac:dyDescent="0.3">
      <c r="A162" s="39">
        <v>1170</v>
      </c>
      <c r="B162" s="40">
        <v>1</v>
      </c>
      <c r="C162" s="40" t="s">
        <v>131</v>
      </c>
      <c r="D162" s="40"/>
      <c r="E162" s="48"/>
      <c r="F162" s="40" t="s">
        <v>823</v>
      </c>
    </row>
    <row r="163" spans="1:6" x14ac:dyDescent="0.3">
      <c r="A163" s="46">
        <v>1171</v>
      </c>
      <c r="B163" s="47">
        <v>1</v>
      </c>
      <c r="C163" s="47" t="s">
        <v>132</v>
      </c>
      <c r="D163" s="41" t="s">
        <v>390</v>
      </c>
      <c r="E163" s="48" t="s">
        <v>634</v>
      </c>
      <c r="F163" s="40" t="s">
        <v>818</v>
      </c>
    </row>
    <row r="164" spans="1:6" x14ac:dyDescent="0.3">
      <c r="A164" s="39">
        <v>1172</v>
      </c>
      <c r="B164" s="40">
        <v>1</v>
      </c>
      <c r="C164" s="40" t="s">
        <v>133</v>
      </c>
      <c r="D164" s="41" t="s">
        <v>391</v>
      </c>
      <c r="E164" s="48" t="s">
        <v>635</v>
      </c>
      <c r="F164" s="40" t="s">
        <v>826</v>
      </c>
    </row>
    <row r="165" spans="1:6" x14ac:dyDescent="0.3">
      <c r="A165" s="39">
        <v>1172</v>
      </c>
      <c r="B165" s="40">
        <v>2</v>
      </c>
      <c r="C165" s="40" t="s">
        <v>133</v>
      </c>
      <c r="D165" s="41" t="s">
        <v>392</v>
      </c>
      <c r="E165" s="48" t="s">
        <v>636</v>
      </c>
      <c r="F165" s="40" t="s">
        <v>826</v>
      </c>
    </row>
    <row r="166" spans="1:6" x14ac:dyDescent="0.3">
      <c r="A166" s="39">
        <v>1175</v>
      </c>
      <c r="B166" s="40">
        <v>1</v>
      </c>
      <c r="C166" s="40" t="s">
        <v>134</v>
      </c>
      <c r="D166" s="41" t="s">
        <v>393</v>
      </c>
      <c r="E166" s="48" t="s">
        <v>637</v>
      </c>
      <c r="F166" s="40" t="s">
        <v>827</v>
      </c>
    </row>
    <row r="167" spans="1:6" x14ac:dyDescent="0.3">
      <c r="A167" s="39">
        <v>1176</v>
      </c>
      <c r="B167" s="40">
        <v>1</v>
      </c>
      <c r="C167" s="40" t="s">
        <v>135</v>
      </c>
      <c r="D167" s="40"/>
      <c r="E167" s="48"/>
      <c r="F167" s="40" t="s">
        <v>823</v>
      </c>
    </row>
    <row r="168" spans="1:6" x14ac:dyDescent="0.3">
      <c r="A168" s="46">
        <v>1178</v>
      </c>
      <c r="B168" s="47">
        <v>1</v>
      </c>
      <c r="C168" s="47" t="s">
        <v>136</v>
      </c>
      <c r="D168" s="41" t="s">
        <v>394</v>
      </c>
      <c r="E168" s="48" t="s">
        <v>638</v>
      </c>
      <c r="F168" s="40" t="s">
        <v>818</v>
      </c>
    </row>
    <row r="169" spans="1:6" x14ac:dyDescent="0.3">
      <c r="A169" s="46">
        <v>1178</v>
      </c>
      <c r="B169" s="47">
        <v>2</v>
      </c>
      <c r="C169" s="47" t="s">
        <v>136</v>
      </c>
      <c r="D169" s="41" t="s">
        <v>395</v>
      </c>
      <c r="E169" s="48" t="s">
        <v>639</v>
      </c>
      <c r="F169" s="40" t="s">
        <v>818</v>
      </c>
    </row>
    <row r="170" spans="1:6" x14ac:dyDescent="0.3">
      <c r="A170" s="39">
        <v>1179</v>
      </c>
      <c r="B170" s="40">
        <v>1</v>
      </c>
      <c r="C170" s="40" t="s">
        <v>137</v>
      </c>
      <c r="D170" s="40"/>
      <c r="E170" s="48"/>
      <c r="F170" s="40" t="s">
        <v>823</v>
      </c>
    </row>
    <row r="171" spans="1:6" x14ac:dyDescent="0.3">
      <c r="A171" s="39">
        <v>1180</v>
      </c>
      <c r="B171" s="40">
        <v>1</v>
      </c>
      <c r="C171" s="40" t="s">
        <v>138</v>
      </c>
      <c r="D171" s="41" t="s">
        <v>396</v>
      </c>
      <c r="E171" s="48" t="s">
        <v>640</v>
      </c>
      <c r="F171" s="40" t="s">
        <v>824</v>
      </c>
    </row>
    <row r="172" spans="1:6" x14ac:dyDescent="0.3">
      <c r="A172" s="39">
        <v>1181</v>
      </c>
      <c r="B172" s="40">
        <v>1</v>
      </c>
      <c r="C172" s="40" t="s">
        <v>139</v>
      </c>
      <c r="D172" s="43" t="s">
        <v>397</v>
      </c>
      <c r="E172" s="48" t="s">
        <v>641</v>
      </c>
      <c r="F172" s="40" t="s">
        <v>825</v>
      </c>
    </row>
    <row r="173" spans="1:6" x14ac:dyDescent="0.3">
      <c r="A173" s="39">
        <v>1182</v>
      </c>
      <c r="B173" s="40">
        <v>1</v>
      </c>
      <c r="C173" s="40" t="s">
        <v>140</v>
      </c>
      <c r="D173" s="43" t="s">
        <v>398</v>
      </c>
      <c r="E173" s="48" t="s">
        <v>642</v>
      </c>
      <c r="F173" s="40" t="s">
        <v>826</v>
      </c>
    </row>
    <row r="174" spans="1:6" x14ac:dyDescent="0.3">
      <c r="A174" s="39">
        <v>1182</v>
      </c>
      <c r="B174" s="40">
        <v>2</v>
      </c>
      <c r="C174" s="40" t="s">
        <v>140</v>
      </c>
      <c r="D174" s="43" t="s">
        <v>399</v>
      </c>
      <c r="E174" s="48" t="s">
        <v>643</v>
      </c>
      <c r="F174" s="40" t="s">
        <v>826</v>
      </c>
    </row>
    <row r="175" spans="1:6" x14ac:dyDescent="0.3">
      <c r="A175" s="39">
        <v>1182</v>
      </c>
      <c r="B175" s="40">
        <v>3</v>
      </c>
      <c r="C175" s="40" t="s">
        <v>140</v>
      </c>
      <c r="D175" s="43" t="s">
        <v>400</v>
      </c>
      <c r="E175" s="48" t="s">
        <v>644</v>
      </c>
      <c r="F175" s="40" t="s">
        <v>826</v>
      </c>
    </row>
    <row r="176" spans="1:6" x14ac:dyDescent="0.3">
      <c r="A176" s="39">
        <v>1183</v>
      </c>
      <c r="B176" s="40">
        <v>1</v>
      </c>
      <c r="C176" s="40" t="s">
        <v>141</v>
      </c>
      <c r="D176" s="40"/>
      <c r="E176" s="48"/>
      <c r="F176" s="40" t="s">
        <v>823</v>
      </c>
    </row>
    <row r="177" spans="1:6" x14ac:dyDescent="0.3">
      <c r="A177" s="39">
        <v>1184</v>
      </c>
      <c r="B177" s="40"/>
      <c r="C177" s="40" t="s">
        <v>142</v>
      </c>
      <c r="D177" s="40"/>
      <c r="E177" s="48"/>
      <c r="F177" s="49" t="s">
        <v>823</v>
      </c>
    </row>
    <row r="178" spans="1:6" x14ac:dyDescent="0.3">
      <c r="A178" s="39">
        <v>1185</v>
      </c>
      <c r="B178" s="40">
        <v>1</v>
      </c>
      <c r="C178" s="40" t="s">
        <v>143</v>
      </c>
      <c r="D178" s="43" t="s">
        <v>401</v>
      </c>
      <c r="E178" s="48" t="s">
        <v>645</v>
      </c>
      <c r="F178" s="40" t="s">
        <v>825</v>
      </c>
    </row>
    <row r="179" spans="1:6" x14ac:dyDescent="0.3">
      <c r="A179" s="39">
        <v>1186</v>
      </c>
      <c r="B179" s="40">
        <v>2</v>
      </c>
      <c r="C179" s="50" t="s">
        <v>144</v>
      </c>
      <c r="D179" s="43">
        <v>9552997</v>
      </c>
      <c r="E179" s="48" t="s">
        <v>646</v>
      </c>
      <c r="F179" s="40" t="s">
        <v>817</v>
      </c>
    </row>
    <row r="180" spans="1:6" x14ac:dyDescent="0.3">
      <c r="A180" s="39">
        <v>1187</v>
      </c>
      <c r="B180" s="40">
        <v>1</v>
      </c>
      <c r="C180" s="40" t="s">
        <v>145</v>
      </c>
      <c r="D180" s="40"/>
      <c r="E180" s="48"/>
      <c r="F180" s="40" t="s">
        <v>823</v>
      </c>
    </row>
    <row r="181" spans="1:6" x14ac:dyDescent="0.3">
      <c r="A181" s="39">
        <v>1188</v>
      </c>
      <c r="B181" s="40">
        <v>1</v>
      </c>
      <c r="C181" s="40" t="s">
        <v>146</v>
      </c>
      <c r="D181" s="43" t="s">
        <v>402</v>
      </c>
      <c r="E181" s="48" t="s">
        <v>647</v>
      </c>
      <c r="F181" s="40" t="s">
        <v>828</v>
      </c>
    </row>
    <row r="182" spans="1:6" x14ac:dyDescent="0.3">
      <c r="A182" s="46">
        <v>1189</v>
      </c>
      <c r="B182" s="47">
        <v>1</v>
      </c>
      <c r="C182" s="47" t="s">
        <v>147</v>
      </c>
      <c r="D182" s="43" t="s">
        <v>403</v>
      </c>
      <c r="E182" s="48" t="s">
        <v>648</v>
      </c>
      <c r="F182" s="40" t="s">
        <v>818</v>
      </c>
    </row>
    <row r="183" spans="1:6" x14ac:dyDescent="0.3">
      <c r="A183" s="46">
        <v>1189</v>
      </c>
      <c r="B183" s="47">
        <v>2</v>
      </c>
      <c r="C183" s="47" t="s">
        <v>147</v>
      </c>
      <c r="D183" s="43">
        <v>2140028767</v>
      </c>
      <c r="E183" s="48" t="s">
        <v>649</v>
      </c>
      <c r="F183" s="40" t="s">
        <v>818</v>
      </c>
    </row>
    <row r="184" spans="1:6" x14ac:dyDescent="0.3">
      <c r="A184" s="46">
        <v>1189</v>
      </c>
      <c r="B184" s="47">
        <v>3</v>
      </c>
      <c r="C184" s="47" t="s">
        <v>147</v>
      </c>
      <c r="D184" s="43">
        <v>2140028922</v>
      </c>
      <c r="E184" s="48" t="s">
        <v>650</v>
      </c>
      <c r="F184" s="40" t="s">
        <v>818</v>
      </c>
    </row>
    <row r="185" spans="1:6" x14ac:dyDescent="0.3">
      <c r="A185" s="46">
        <v>1190</v>
      </c>
      <c r="B185" s="47">
        <v>1</v>
      </c>
      <c r="C185" s="47" t="s">
        <v>148</v>
      </c>
      <c r="D185" s="43" t="s">
        <v>404</v>
      </c>
      <c r="E185" s="48" t="s">
        <v>651</v>
      </c>
      <c r="F185" s="40" t="s">
        <v>818</v>
      </c>
    </row>
    <row r="186" spans="1:6" x14ac:dyDescent="0.3">
      <c r="A186" s="46">
        <v>1190</v>
      </c>
      <c r="B186" s="47">
        <v>2</v>
      </c>
      <c r="C186" s="47" t="s">
        <v>148</v>
      </c>
      <c r="D186" s="43" t="s">
        <v>405</v>
      </c>
      <c r="E186" s="48" t="s">
        <v>652</v>
      </c>
      <c r="F186" s="40" t="s">
        <v>818</v>
      </c>
    </row>
    <row r="187" spans="1:6" x14ac:dyDescent="0.3">
      <c r="A187" s="46">
        <v>1191</v>
      </c>
      <c r="B187" s="47">
        <v>1</v>
      </c>
      <c r="C187" s="47" t="s">
        <v>149</v>
      </c>
      <c r="D187" s="43" t="s">
        <v>406</v>
      </c>
      <c r="E187" s="48" t="s">
        <v>653</v>
      </c>
      <c r="F187" s="40" t="s">
        <v>818</v>
      </c>
    </row>
    <row r="188" spans="1:6" x14ac:dyDescent="0.3">
      <c r="A188" s="39">
        <v>1192</v>
      </c>
      <c r="B188" s="40">
        <v>1</v>
      </c>
      <c r="C188" s="40" t="s">
        <v>150</v>
      </c>
      <c r="D188" s="43" t="s">
        <v>407</v>
      </c>
      <c r="E188" s="48" t="s">
        <v>654</v>
      </c>
      <c r="F188" s="40" t="s">
        <v>826</v>
      </c>
    </row>
    <row r="189" spans="1:6" x14ac:dyDescent="0.3">
      <c r="A189" s="51">
        <v>1193</v>
      </c>
      <c r="B189" s="40">
        <v>1</v>
      </c>
      <c r="C189" s="52" t="s">
        <v>151</v>
      </c>
      <c r="D189" s="43" t="s">
        <v>408</v>
      </c>
      <c r="E189" s="48" t="s">
        <v>655</v>
      </c>
      <c r="F189" s="40" t="s">
        <v>821</v>
      </c>
    </row>
    <row r="190" spans="1:6" x14ac:dyDescent="0.3">
      <c r="A190" s="39">
        <v>1194</v>
      </c>
      <c r="B190" s="40">
        <v>1</v>
      </c>
      <c r="C190" s="40" t="s">
        <v>152</v>
      </c>
      <c r="D190" s="43" t="s">
        <v>409</v>
      </c>
      <c r="E190" s="48" t="s">
        <v>656</v>
      </c>
      <c r="F190" s="40" t="s">
        <v>821</v>
      </c>
    </row>
    <row r="191" spans="1:6" x14ac:dyDescent="0.3">
      <c r="A191" s="39">
        <v>1195</v>
      </c>
      <c r="B191" s="40">
        <v>1</v>
      </c>
      <c r="C191" s="40" t="s">
        <v>153</v>
      </c>
      <c r="D191" s="43">
        <v>9173927</v>
      </c>
      <c r="E191" s="48" t="s">
        <v>657</v>
      </c>
      <c r="F191" s="40" t="s">
        <v>817</v>
      </c>
    </row>
    <row r="192" spans="1:6" x14ac:dyDescent="0.3">
      <c r="A192" s="39">
        <v>1196</v>
      </c>
      <c r="B192" s="40">
        <v>1</v>
      </c>
      <c r="C192" s="40" t="s">
        <v>154</v>
      </c>
      <c r="D192" s="43" t="s">
        <v>410</v>
      </c>
      <c r="E192" s="48" t="s">
        <v>658</v>
      </c>
      <c r="F192" s="40" t="s">
        <v>821</v>
      </c>
    </row>
    <row r="193" spans="1:6" x14ac:dyDescent="0.3">
      <c r="A193" s="39">
        <v>1197</v>
      </c>
      <c r="B193" s="40">
        <v>1</v>
      </c>
      <c r="C193" s="40" t="s">
        <v>155</v>
      </c>
      <c r="D193" s="43" t="s">
        <v>411</v>
      </c>
      <c r="E193" s="48" t="s">
        <v>659</v>
      </c>
      <c r="F193" s="40" t="s">
        <v>824</v>
      </c>
    </row>
    <row r="194" spans="1:6" x14ac:dyDescent="0.3">
      <c r="A194" s="39">
        <v>1197</v>
      </c>
      <c r="B194" s="40">
        <v>2</v>
      </c>
      <c r="C194" s="40" t="s">
        <v>155</v>
      </c>
      <c r="D194" s="43" t="s">
        <v>412</v>
      </c>
      <c r="E194" s="48" t="s">
        <v>660</v>
      </c>
      <c r="F194" s="40" t="s">
        <v>824</v>
      </c>
    </row>
    <row r="195" spans="1:6" x14ac:dyDescent="0.3">
      <c r="A195" s="39">
        <v>1198</v>
      </c>
      <c r="B195" s="40">
        <v>1</v>
      </c>
      <c r="C195" s="40" t="s">
        <v>156</v>
      </c>
      <c r="D195" s="43" t="s">
        <v>413</v>
      </c>
      <c r="E195" s="48" t="s">
        <v>661</v>
      </c>
      <c r="F195" s="40" t="s">
        <v>826</v>
      </c>
    </row>
    <row r="196" spans="1:6" x14ac:dyDescent="0.3">
      <c r="A196" s="39">
        <v>1199</v>
      </c>
      <c r="B196" s="40">
        <v>1</v>
      </c>
      <c r="C196" s="40" t="s">
        <v>157</v>
      </c>
      <c r="D196" s="43">
        <v>8683035</v>
      </c>
      <c r="E196" s="48" t="s">
        <v>662</v>
      </c>
      <c r="F196" s="40" t="s">
        <v>817</v>
      </c>
    </row>
    <row r="197" spans="1:6" x14ac:dyDescent="0.3">
      <c r="A197" s="46">
        <v>1201</v>
      </c>
      <c r="B197" s="47">
        <v>1</v>
      </c>
      <c r="C197" s="53" t="s">
        <v>158</v>
      </c>
      <c r="D197" s="43">
        <v>1141811444</v>
      </c>
      <c r="E197" s="48" t="s">
        <v>663</v>
      </c>
      <c r="F197" s="40" t="s">
        <v>818</v>
      </c>
    </row>
    <row r="198" spans="1:6" x14ac:dyDescent="0.3">
      <c r="A198" s="46">
        <v>1201</v>
      </c>
      <c r="B198" s="47">
        <v>2</v>
      </c>
      <c r="C198" s="53" t="s">
        <v>158</v>
      </c>
      <c r="D198" s="43">
        <v>1141811443</v>
      </c>
      <c r="E198" s="54" t="s">
        <v>664</v>
      </c>
      <c r="F198" s="40" t="s">
        <v>818</v>
      </c>
    </row>
    <row r="199" spans="1:6" x14ac:dyDescent="0.3">
      <c r="A199" s="46">
        <v>1201</v>
      </c>
      <c r="B199" s="47">
        <v>3</v>
      </c>
      <c r="C199" s="53" t="s">
        <v>158</v>
      </c>
      <c r="D199" s="43">
        <v>2140023229</v>
      </c>
      <c r="E199" s="48" t="s">
        <v>665</v>
      </c>
      <c r="F199" s="40" t="s">
        <v>818</v>
      </c>
    </row>
    <row r="200" spans="1:6" x14ac:dyDescent="0.3">
      <c r="A200" s="39">
        <v>1202</v>
      </c>
      <c r="B200" s="40"/>
      <c r="C200" s="49" t="s">
        <v>159</v>
      </c>
      <c r="D200" s="43" t="s">
        <v>414</v>
      </c>
      <c r="E200" s="48" t="s">
        <v>666</v>
      </c>
      <c r="F200" s="40" t="s">
        <v>826</v>
      </c>
    </row>
    <row r="201" spans="1:6" x14ac:dyDescent="0.3">
      <c r="A201" s="51">
        <v>1203</v>
      </c>
      <c r="B201" s="40">
        <v>1</v>
      </c>
      <c r="C201" s="52" t="s">
        <v>160</v>
      </c>
      <c r="D201" s="43" t="s">
        <v>415</v>
      </c>
      <c r="E201" s="48" t="s">
        <v>667</v>
      </c>
      <c r="F201" s="40" t="s">
        <v>821</v>
      </c>
    </row>
    <row r="202" spans="1:6" x14ac:dyDescent="0.3">
      <c r="A202" s="51">
        <v>1204</v>
      </c>
      <c r="B202" s="40">
        <v>1</v>
      </c>
      <c r="C202" s="52" t="s">
        <v>161</v>
      </c>
      <c r="D202" s="43">
        <v>2710004340</v>
      </c>
      <c r="E202" s="48" t="s">
        <v>668</v>
      </c>
      <c r="F202" s="40" t="s">
        <v>822</v>
      </c>
    </row>
    <row r="203" spans="1:6" x14ac:dyDescent="0.3">
      <c r="A203" s="39">
        <v>1205</v>
      </c>
      <c r="B203" s="40">
        <v>1</v>
      </c>
      <c r="C203" s="55" t="s">
        <v>162</v>
      </c>
      <c r="D203" s="43" t="s">
        <v>416</v>
      </c>
      <c r="E203" s="48" t="s">
        <v>669</v>
      </c>
      <c r="F203" s="40" t="s">
        <v>826</v>
      </c>
    </row>
    <row r="204" spans="1:6" x14ac:dyDescent="0.3">
      <c r="A204" s="51">
        <v>1206</v>
      </c>
      <c r="B204" s="40"/>
      <c r="C204" s="52" t="s">
        <v>163</v>
      </c>
      <c r="D204" s="40"/>
      <c r="E204" s="48"/>
      <c r="F204" s="40" t="s">
        <v>823</v>
      </c>
    </row>
    <row r="205" spans="1:6" x14ac:dyDescent="0.3">
      <c r="A205" s="39">
        <v>1207</v>
      </c>
      <c r="B205" s="40">
        <v>1</v>
      </c>
      <c r="C205" s="40" t="s">
        <v>164</v>
      </c>
      <c r="D205" s="43" t="s">
        <v>417</v>
      </c>
      <c r="E205" s="48" t="s">
        <v>670</v>
      </c>
      <c r="F205" s="40" t="s">
        <v>821</v>
      </c>
    </row>
    <row r="206" spans="1:6" x14ac:dyDescent="0.3">
      <c r="A206" s="56">
        <v>1208</v>
      </c>
      <c r="B206" s="40">
        <v>1</v>
      </c>
      <c r="C206" s="53" t="s">
        <v>165</v>
      </c>
      <c r="D206" s="43" t="s">
        <v>418</v>
      </c>
      <c r="E206" s="48" t="s">
        <v>671</v>
      </c>
      <c r="F206" s="40" t="s">
        <v>826</v>
      </c>
    </row>
    <row r="207" spans="1:6" x14ac:dyDescent="0.3">
      <c r="A207" s="51">
        <v>1209</v>
      </c>
      <c r="B207" s="40">
        <v>1</v>
      </c>
      <c r="C207" s="52" t="s">
        <v>166</v>
      </c>
      <c r="D207" s="43" t="s">
        <v>419</v>
      </c>
      <c r="E207" s="48" t="s">
        <v>672</v>
      </c>
      <c r="F207" s="40" t="s">
        <v>819</v>
      </c>
    </row>
    <row r="208" spans="1:6" x14ac:dyDescent="0.3">
      <c r="A208" s="51">
        <v>1210</v>
      </c>
      <c r="B208" s="40">
        <v>1</v>
      </c>
      <c r="C208" s="52" t="s">
        <v>167</v>
      </c>
      <c r="D208" s="43" t="s">
        <v>420</v>
      </c>
      <c r="E208" s="48" t="s">
        <v>673</v>
      </c>
      <c r="F208" s="40" t="s">
        <v>821</v>
      </c>
    </row>
    <row r="209" spans="1:6" x14ac:dyDescent="0.3">
      <c r="A209" s="56">
        <v>1212</v>
      </c>
      <c r="B209" s="40"/>
      <c r="C209" s="53" t="s">
        <v>168</v>
      </c>
      <c r="D209" s="40"/>
      <c r="E209" s="48"/>
      <c r="F209" s="40" t="s">
        <v>823</v>
      </c>
    </row>
    <row r="210" spans="1:6" x14ac:dyDescent="0.3">
      <c r="A210" s="51">
        <v>1213</v>
      </c>
      <c r="B210" s="40">
        <v>1</v>
      </c>
      <c r="C210" s="52" t="s">
        <v>169</v>
      </c>
      <c r="D210" s="43">
        <v>1153252379</v>
      </c>
      <c r="E210" s="48" t="s">
        <v>674</v>
      </c>
      <c r="F210" s="40" t="s">
        <v>821</v>
      </c>
    </row>
    <row r="211" spans="1:6" x14ac:dyDescent="0.3">
      <c r="A211" s="51">
        <v>1213</v>
      </c>
      <c r="B211" s="40">
        <v>2</v>
      </c>
      <c r="C211" s="52" t="s">
        <v>169</v>
      </c>
      <c r="D211" s="43">
        <v>1153252380</v>
      </c>
      <c r="E211" s="48" t="s">
        <v>675</v>
      </c>
      <c r="F211" s="40" t="s">
        <v>821</v>
      </c>
    </row>
    <row r="212" spans="1:6" x14ac:dyDescent="0.3">
      <c r="A212" s="51">
        <v>1213</v>
      </c>
      <c r="B212" s="40">
        <v>3</v>
      </c>
      <c r="C212" s="52" t="s">
        <v>169</v>
      </c>
      <c r="D212" s="43">
        <v>1153252386</v>
      </c>
      <c r="E212" s="48" t="s">
        <v>676</v>
      </c>
      <c r="F212" s="40" t="s">
        <v>821</v>
      </c>
    </row>
    <row r="213" spans="1:6" x14ac:dyDescent="0.3">
      <c r="A213" s="51">
        <v>1215</v>
      </c>
      <c r="B213" s="40"/>
      <c r="C213" s="40" t="s">
        <v>170</v>
      </c>
      <c r="D213" s="40"/>
      <c r="E213" s="48"/>
      <c r="F213" s="40" t="s">
        <v>823</v>
      </c>
    </row>
    <row r="214" spans="1:6" x14ac:dyDescent="0.3">
      <c r="A214" s="51">
        <v>1216</v>
      </c>
      <c r="B214" s="40">
        <v>1</v>
      </c>
      <c r="C214" s="40" t="s">
        <v>171</v>
      </c>
      <c r="D214" s="43">
        <v>9853177</v>
      </c>
      <c r="E214" s="48" t="s">
        <v>677</v>
      </c>
      <c r="F214" s="40" t="s">
        <v>817</v>
      </c>
    </row>
    <row r="215" spans="1:6" x14ac:dyDescent="0.3">
      <c r="A215" s="51">
        <v>1216</v>
      </c>
      <c r="B215" s="40">
        <v>2</v>
      </c>
      <c r="C215" s="40" t="s">
        <v>171</v>
      </c>
      <c r="D215" s="43">
        <v>3026876</v>
      </c>
      <c r="E215" s="48" t="s">
        <v>678</v>
      </c>
      <c r="F215" s="40" t="s">
        <v>817</v>
      </c>
    </row>
    <row r="216" spans="1:6" x14ac:dyDescent="0.3">
      <c r="A216" s="57">
        <v>1217</v>
      </c>
      <c r="B216" s="40">
        <v>1</v>
      </c>
      <c r="C216" s="40" t="s">
        <v>172</v>
      </c>
      <c r="D216" s="43" t="s">
        <v>421</v>
      </c>
      <c r="E216" s="48" t="s">
        <v>679</v>
      </c>
      <c r="F216" s="40" t="s">
        <v>827</v>
      </c>
    </row>
    <row r="217" spans="1:6" x14ac:dyDescent="0.3">
      <c r="A217" s="57">
        <v>1218</v>
      </c>
      <c r="B217" s="40">
        <v>1</v>
      </c>
      <c r="C217" s="40" t="s">
        <v>173</v>
      </c>
      <c r="D217" s="43" t="s">
        <v>422</v>
      </c>
      <c r="E217" s="48" t="s">
        <v>680</v>
      </c>
      <c r="F217" s="40" t="s">
        <v>825</v>
      </c>
    </row>
    <row r="218" spans="1:6" x14ac:dyDescent="0.3">
      <c r="A218" s="56">
        <v>1219</v>
      </c>
      <c r="B218" s="40">
        <v>1</v>
      </c>
      <c r="C218" s="40" t="s">
        <v>174</v>
      </c>
      <c r="D218" s="43">
        <v>1371364028</v>
      </c>
      <c r="E218" s="48" t="s">
        <v>681</v>
      </c>
      <c r="F218" s="40" t="s">
        <v>827</v>
      </c>
    </row>
    <row r="219" spans="1:6" x14ac:dyDescent="0.3">
      <c r="A219" s="56">
        <v>1219</v>
      </c>
      <c r="B219" s="40">
        <v>2</v>
      </c>
      <c r="C219" s="40" t="s">
        <v>174</v>
      </c>
      <c r="D219" s="43">
        <v>1371364029</v>
      </c>
      <c r="E219" s="48" t="s">
        <v>682</v>
      </c>
      <c r="F219" s="40" t="s">
        <v>827</v>
      </c>
    </row>
    <row r="220" spans="1:6" x14ac:dyDescent="0.3">
      <c r="A220" s="57">
        <v>1220</v>
      </c>
      <c r="B220" s="40"/>
      <c r="C220" s="40" t="s">
        <v>175</v>
      </c>
      <c r="D220" s="40"/>
      <c r="E220" s="48"/>
      <c r="F220" s="40" t="s">
        <v>823</v>
      </c>
    </row>
    <row r="221" spans="1:6" x14ac:dyDescent="0.3">
      <c r="A221" s="56">
        <v>1221</v>
      </c>
      <c r="B221" s="40"/>
      <c r="C221" s="40" t="s">
        <v>176</v>
      </c>
      <c r="D221" s="43" t="s">
        <v>423</v>
      </c>
      <c r="E221" s="48" t="s">
        <v>683</v>
      </c>
      <c r="F221" s="40" t="s">
        <v>824</v>
      </c>
    </row>
    <row r="222" spans="1:6" x14ac:dyDescent="0.3">
      <c r="A222" s="57">
        <v>1222</v>
      </c>
      <c r="B222" s="40">
        <v>1</v>
      </c>
      <c r="C222" s="40" t="s">
        <v>177</v>
      </c>
      <c r="D222" s="43" t="s">
        <v>424</v>
      </c>
      <c r="E222" s="48" t="s">
        <v>684</v>
      </c>
      <c r="F222" s="40" t="s">
        <v>829</v>
      </c>
    </row>
    <row r="223" spans="1:6" x14ac:dyDescent="0.3">
      <c r="A223" s="57">
        <v>1222</v>
      </c>
      <c r="B223" s="40">
        <v>2</v>
      </c>
      <c r="C223" s="40" t="s">
        <v>177</v>
      </c>
      <c r="D223" s="43" t="s">
        <v>425</v>
      </c>
      <c r="E223" s="48" t="s">
        <v>685</v>
      </c>
      <c r="F223" s="40" t="s">
        <v>829</v>
      </c>
    </row>
    <row r="224" spans="1:6" x14ac:dyDescent="0.3">
      <c r="A224" s="57">
        <v>1222</v>
      </c>
      <c r="B224" s="40">
        <v>3</v>
      </c>
      <c r="C224" s="40" t="s">
        <v>177</v>
      </c>
      <c r="D224" s="43" t="s">
        <v>426</v>
      </c>
      <c r="E224" s="48" t="s">
        <v>686</v>
      </c>
      <c r="F224" s="40" t="s">
        <v>829</v>
      </c>
    </row>
    <row r="225" spans="1:6" x14ac:dyDescent="0.3">
      <c r="A225" s="57">
        <v>1222</v>
      </c>
      <c r="B225" s="40">
        <v>4</v>
      </c>
      <c r="C225" s="40" t="s">
        <v>177</v>
      </c>
      <c r="D225" s="43" t="s">
        <v>427</v>
      </c>
      <c r="E225" s="48" t="s">
        <v>687</v>
      </c>
      <c r="F225" s="40" t="s">
        <v>829</v>
      </c>
    </row>
    <row r="226" spans="1:6" x14ac:dyDescent="0.3">
      <c r="A226" s="57">
        <v>1223</v>
      </c>
      <c r="B226" s="40">
        <v>1</v>
      </c>
      <c r="C226" s="40" t="s">
        <v>178</v>
      </c>
      <c r="D226" s="43" t="s">
        <v>428</v>
      </c>
      <c r="E226" s="48" t="s">
        <v>688</v>
      </c>
      <c r="F226" s="40" t="s">
        <v>820</v>
      </c>
    </row>
    <row r="227" spans="1:6" x14ac:dyDescent="0.3">
      <c r="A227" s="57">
        <v>1224</v>
      </c>
      <c r="B227" s="40">
        <v>1</v>
      </c>
      <c r="C227" s="40" t="s">
        <v>179</v>
      </c>
      <c r="D227" s="43">
        <v>4013733</v>
      </c>
      <c r="E227" s="48" t="s">
        <v>689</v>
      </c>
      <c r="F227" s="40" t="s">
        <v>817</v>
      </c>
    </row>
    <row r="228" spans="1:6" x14ac:dyDescent="0.3">
      <c r="A228" s="39">
        <v>1225</v>
      </c>
      <c r="B228" s="40">
        <v>1</v>
      </c>
      <c r="C228" s="40" t="s">
        <v>180</v>
      </c>
      <c r="D228" s="43" t="s">
        <v>429</v>
      </c>
      <c r="E228" s="48" t="s">
        <v>690</v>
      </c>
      <c r="F228" s="40" t="s">
        <v>824</v>
      </c>
    </row>
    <row r="229" spans="1:6" x14ac:dyDescent="0.3">
      <c r="A229" s="58">
        <v>1226</v>
      </c>
      <c r="B229" s="49"/>
      <c r="C229" s="40" t="s">
        <v>181</v>
      </c>
      <c r="D229" s="49"/>
      <c r="E229" s="48"/>
      <c r="F229" s="40" t="s">
        <v>823</v>
      </c>
    </row>
    <row r="230" spans="1:6" x14ac:dyDescent="0.3">
      <c r="A230" s="57">
        <v>1228</v>
      </c>
      <c r="B230" s="49">
        <v>1</v>
      </c>
      <c r="C230" s="40" t="s">
        <v>182</v>
      </c>
      <c r="D230" s="43" t="s">
        <v>430</v>
      </c>
      <c r="E230" s="48" t="s">
        <v>691</v>
      </c>
      <c r="F230" s="49" t="s">
        <v>821</v>
      </c>
    </row>
    <row r="231" spans="1:6" x14ac:dyDescent="0.3">
      <c r="A231" s="39">
        <v>1229</v>
      </c>
      <c r="B231" s="40">
        <v>1</v>
      </c>
      <c r="C231" s="40" t="s">
        <v>183</v>
      </c>
      <c r="D231" s="43">
        <v>8340164</v>
      </c>
      <c r="E231" s="48" t="s">
        <v>692</v>
      </c>
      <c r="F231" s="40" t="s">
        <v>817</v>
      </c>
    </row>
    <row r="232" spans="1:6" x14ac:dyDescent="0.3">
      <c r="A232" s="39">
        <v>1229</v>
      </c>
      <c r="B232" s="40">
        <v>2</v>
      </c>
      <c r="C232" s="40" t="s">
        <v>183</v>
      </c>
      <c r="D232" s="43">
        <v>7825277</v>
      </c>
      <c r="E232" s="48" t="s">
        <v>693</v>
      </c>
      <c r="F232" s="40" t="s">
        <v>817</v>
      </c>
    </row>
    <row r="233" spans="1:6" x14ac:dyDescent="0.3">
      <c r="A233" s="39">
        <v>1229</v>
      </c>
      <c r="B233" s="40">
        <v>3</v>
      </c>
      <c r="C233" s="40" t="s">
        <v>183</v>
      </c>
      <c r="D233" s="43">
        <v>8340129</v>
      </c>
      <c r="E233" s="48" t="s">
        <v>694</v>
      </c>
      <c r="F233" s="40" t="s">
        <v>817</v>
      </c>
    </row>
    <row r="234" spans="1:6" x14ac:dyDescent="0.3">
      <c r="A234" s="39">
        <v>1229</v>
      </c>
      <c r="B234" s="40">
        <v>4</v>
      </c>
      <c r="C234" s="40" t="s">
        <v>183</v>
      </c>
      <c r="D234" s="43">
        <v>9938849</v>
      </c>
      <c r="E234" s="48" t="s">
        <v>695</v>
      </c>
      <c r="F234" s="40" t="s">
        <v>817</v>
      </c>
    </row>
    <row r="235" spans="1:6" x14ac:dyDescent="0.3">
      <c r="A235" s="57">
        <v>1230</v>
      </c>
      <c r="B235" s="49">
        <v>1</v>
      </c>
      <c r="C235" s="40" t="s">
        <v>184</v>
      </c>
      <c r="D235" s="55" t="s">
        <v>431</v>
      </c>
      <c r="E235" s="48" t="s">
        <v>696</v>
      </c>
      <c r="F235" s="49" t="s">
        <v>819</v>
      </c>
    </row>
    <row r="236" spans="1:6" x14ac:dyDescent="0.3">
      <c r="A236" s="57">
        <v>1230</v>
      </c>
      <c r="B236" s="49">
        <v>2</v>
      </c>
      <c r="C236" s="40" t="s">
        <v>184</v>
      </c>
      <c r="D236" s="55">
        <v>1124044072</v>
      </c>
      <c r="E236" s="48" t="s">
        <v>697</v>
      </c>
      <c r="F236" s="49" t="s">
        <v>819</v>
      </c>
    </row>
    <row r="237" spans="1:6" x14ac:dyDescent="0.3">
      <c r="A237" s="59">
        <v>1231</v>
      </c>
      <c r="B237" s="49"/>
      <c r="C237" s="40" t="s">
        <v>185</v>
      </c>
      <c r="D237" s="55" t="s">
        <v>432</v>
      </c>
      <c r="E237" s="48" t="s">
        <v>698</v>
      </c>
      <c r="F237" s="40" t="s">
        <v>826</v>
      </c>
    </row>
    <row r="238" spans="1:6" x14ac:dyDescent="0.3">
      <c r="A238" s="59">
        <v>1234</v>
      </c>
      <c r="B238" s="49"/>
      <c r="C238" s="40" t="s">
        <v>186</v>
      </c>
      <c r="D238" s="55"/>
      <c r="E238" s="48"/>
      <c r="F238" s="49" t="s">
        <v>823</v>
      </c>
    </row>
    <row r="239" spans="1:6" x14ac:dyDescent="0.3">
      <c r="A239" s="39">
        <v>1235</v>
      </c>
      <c r="B239" s="40">
        <v>1</v>
      </c>
      <c r="C239" s="40" t="s">
        <v>187</v>
      </c>
      <c r="D239" s="43">
        <v>10338781</v>
      </c>
      <c r="E239" s="48" t="s">
        <v>699</v>
      </c>
      <c r="F239" s="40" t="s">
        <v>817</v>
      </c>
    </row>
    <row r="240" spans="1:6" x14ac:dyDescent="0.3">
      <c r="A240" s="58">
        <v>1236</v>
      </c>
      <c r="B240" s="49"/>
      <c r="C240" s="40" t="s">
        <v>188</v>
      </c>
      <c r="D240" s="49"/>
      <c r="E240" s="48"/>
      <c r="F240" s="40" t="s">
        <v>823</v>
      </c>
    </row>
    <row r="241" spans="1:6" x14ac:dyDescent="0.3">
      <c r="A241" s="57">
        <v>1237</v>
      </c>
      <c r="B241" s="49"/>
      <c r="C241" s="40" t="s">
        <v>189</v>
      </c>
      <c r="D241" s="55">
        <v>2150148779</v>
      </c>
      <c r="E241" s="48" t="s">
        <v>700</v>
      </c>
      <c r="F241" s="40" t="s">
        <v>821</v>
      </c>
    </row>
    <row r="242" spans="1:6" x14ac:dyDescent="0.3">
      <c r="A242" s="57">
        <v>1238</v>
      </c>
      <c r="B242" s="49"/>
      <c r="C242" s="40" t="s">
        <v>190</v>
      </c>
      <c r="D242" s="49"/>
      <c r="E242" s="48"/>
      <c r="F242" s="40" t="s">
        <v>823</v>
      </c>
    </row>
    <row r="243" spans="1:6" x14ac:dyDescent="0.3">
      <c r="A243" s="57">
        <v>1239</v>
      </c>
      <c r="B243" s="49">
        <v>1</v>
      </c>
      <c r="C243" s="40" t="s">
        <v>191</v>
      </c>
      <c r="D243" s="55">
        <v>1150662801</v>
      </c>
      <c r="E243" s="48" t="s">
        <v>701</v>
      </c>
      <c r="F243" s="40" t="s">
        <v>821</v>
      </c>
    </row>
    <row r="244" spans="1:6" x14ac:dyDescent="0.3">
      <c r="A244" s="57">
        <v>1239</v>
      </c>
      <c r="B244" s="49">
        <v>2</v>
      </c>
      <c r="C244" s="40" t="s">
        <v>191</v>
      </c>
      <c r="D244" s="55">
        <v>2150267144</v>
      </c>
      <c r="E244" s="48" t="s">
        <v>702</v>
      </c>
      <c r="F244" s="40" t="s">
        <v>821</v>
      </c>
    </row>
    <row r="245" spans="1:6" x14ac:dyDescent="0.3">
      <c r="A245" s="57">
        <v>1240</v>
      </c>
      <c r="B245" s="49">
        <v>1</v>
      </c>
      <c r="C245" s="40" t="s">
        <v>192</v>
      </c>
      <c r="D245" s="55">
        <v>2150218935</v>
      </c>
      <c r="E245" s="48" t="s">
        <v>703</v>
      </c>
      <c r="F245" s="40" t="s">
        <v>821</v>
      </c>
    </row>
    <row r="246" spans="1:6" x14ac:dyDescent="0.3">
      <c r="A246" s="57">
        <v>1240</v>
      </c>
      <c r="B246" s="49">
        <v>2</v>
      </c>
      <c r="C246" s="40" t="s">
        <v>192</v>
      </c>
      <c r="D246" s="55">
        <v>2150218936</v>
      </c>
      <c r="E246" s="48" t="s">
        <v>704</v>
      </c>
      <c r="F246" s="40" t="s">
        <v>821</v>
      </c>
    </row>
    <row r="247" spans="1:6" x14ac:dyDescent="0.3">
      <c r="A247" s="57">
        <v>1241</v>
      </c>
      <c r="B247" s="49"/>
      <c r="C247" s="40" t="s">
        <v>193</v>
      </c>
      <c r="D247" s="49"/>
      <c r="E247" s="48"/>
      <c r="F247" s="49" t="s">
        <v>823</v>
      </c>
    </row>
    <row r="248" spans="1:6" x14ac:dyDescent="0.3">
      <c r="A248" s="57">
        <v>1243</v>
      </c>
      <c r="B248" s="49">
        <v>1</v>
      </c>
      <c r="C248" s="40" t="s">
        <v>194</v>
      </c>
      <c r="D248" s="55">
        <v>10597804</v>
      </c>
      <c r="E248" s="48" t="s">
        <v>705</v>
      </c>
      <c r="F248" s="40" t="s">
        <v>817</v>
      </c>
    </row>
    <row r="249" spans="1:6" x14ac:dyDescent="0.3">
      <c r="A249" s="57">
        <v>1244</v>
      </c>
      <c r="B249" s="49">
        <v>1</v>
      </c>
      <c r="C249" s="40" t="s">
        <v>195</v>
      </c>
      <c r="D249" s="49"/>
      <c r="E249" s="48"/>
      <c r="F249" s="40" t="s">
        <v>823</v>
      </c>
    </row>
    <row r="250" spans="1:6" x14ac:dyDescent="0.3">
      <c r="A250" s="57">
        <v>1246</v>
      </c>
      <c r="B250" s="49">
        <v>1</v>
      </c>
      <c r="C250" s="40" t="s">
        <v>196</v>
      </c>
      <c r="D250" s="55">
        <v>2150263020</v>
      </c>
      <c r="E250" s="48" t="s">
        <v>706</v>
      </c>
      <c r="F250" s="40" t="s">
        <v>821</v>
      </c>
    </row>
    <row r="251" spans="1:6" x14ac:dyDescent="0.3">
      <c r="A251" s="57">
        <v>1247</v>
      </c>
      <c r="B251" s="49">
        <v>1</v>
      </c>
      <c r="C251" s="40" t="s">
        <v>197</v>
      </c>
      <c r="D251" s="49"/>
      <c r="E251" s="48"/>
      <c r="F251" s="40" t="s">
        <v>823</v>
      </c>
    </row>
    <row r="252" spans="1:6" x14ac:dyDescent="0.3">
      <c r="A252" s="57">
        <v>1250</v>
      </c>
      <c r="B252" s="49">
        <v>1</v>
      </c>
      <c r="C252" s="40" t="s">
        <v>198</v>
      </c>
      <c r="D252" s="55">
        <v>1380795408</v>
      </c>
      <c r="E252" s="48" t="s">
        <v>707</v>
      </c>
      <c r="F252" s="40" t="s">
        <v>825</v>
      </c>
    </row>
    <row r="253" spans="1:6" x14ac:dyDescent="0.3">
      <c r="A253" s="57">
        <v>1251</v>
      </c>
      <c r="B253" s="49">
        <v>1</v>
      </c>
      <c r="C253" s="40" t="s">
        <v>199</v>
      </c>
      <c r="D253" s="60" t="s">
        <v>433</v>
      </c>
      <c r="E253" s="48" t="s">
        <v>708</v>
      </c>
      <c r="F253" s="40" t="s">
        <v>819</v>
      </c>
    </row>
    <row r="254" spans="1:6" x14ac:dyDescent="0.3">
      <c r="A254" s="57">
        <v>1251</v>
      </c>
      <c r="B254" s="49">
        <v>2</v>
      </c>
      <c r="C254" s="40" t="s">
        <v>199</v>
      </c>
      <c r="D254" s="60" t="s">
        <v>434</v>
      </c>
      <c r="E254" s="48" t="s">
        <v>709</v>
      </c>
      <c r="F254" s="40" t="s">
        <v>819</v>
      </c>
    </row>
    <row r="255" spans="1:6" x14ac:dyDescent="0.3">
      <c r="A255" s="57">
        <v>1251</v>
      </c>
      <c r="B255" s="49">
        <v>3</v>
      </c>
      <c r="C255" s="40" t="s">
        <v>199</v>
      </c>
      <c r="D255" s="60" t="s">
        <v>435</v>
      </c>
      <c r="E255" s="48" t="s">
        <v>710</v>
      </c>
      <c r="F255" s="40" t="s">
        <v>819</v>
      </c>
    </row>
    <row r="256" spans="1:6" x14ac:dyDescent="0.3">
      <c r="A256" s="57">
        <v>1253</v>
      </c>
      <c r="B256" s="49">
        <v>1</v>
      </c>
      <c r="C256" s="40" t="s">
        <v>200</v>
      </c>
      <c r="D256" s="55">
        <v>7258911</v>
      </c>
      <c r="E256" s="48" t="s">
        <v>711</v>
      </c>
      <c r="F256" s="40" t="s">
        <v>817</v>
      </c>
    </row>
    <row r="257" spans="1:6" x14ac:dyDescent="0.3">
      <c r="A257" s="57">
        <v>1256</v>
      </c>
      <c r="B257" s="49">
        <v>2</v>
      </c>
      <c r="C257" s="40" t="s">
        <v>201</v>
      </c>
      <c r="D257" s="61">
        <v>7683484</v>
      </c>
      <c r="E257" s="48" t="s">
        <v>712</v>
      </c>
      <c r="F257" s="40" t="s">
        <v>817</v>
      </c>
    </row>
    <row r="258" spans="1:6" x14ac:dyDescent="0.3">
      <c r="A258" s="57">
        <v>1257</v>
      </c>
      <c r="B258" s="49">
        <v>1</v>
      </c>
      <c r="C258" s="40" t="s">
        <v>202</v>
      </c>
      <c r="D258" s="55">
        <v>1153225669</v>
      </c>
      <c r="E258" s="48" t="s">
        <v>713</v>
      </c>
      <c r="F258" s="40" t="s">
        <v>821</v>
      </c>
    </row>
    <row r="259" spans="1:6" x14ac:dyDescent="0.3">
      <c r="A259" s="57">
        <v>1258</v>
      </c>
      <c r="B259" s="49"/>
      <c r="C259" s="40" t="s">
        <v>203</v>
      </c>
      <c r="D259" s="61" t="s">
        <v>436</v>
      </c>
      <c r="E259" s="48" t="s">
        <v>714</v>
      </c>
      <c r="F259" s="40" t="s">
        <v>821</v>
      </c>
    </row>
    <row r="260" spans="1:6" x14ac:dyDescent="0.3">
      <c r="A260" s="57">
        <v>1259</v>
      </c>
      <c r="B260" s="49"/>
      <c r="C260" s="40" t="s">
        <v>204</v>
      </c>
      <c r="D260" s="49"/>
      <c r="E260" s="48"/>
      <c r="F260" s="40" t="s">
        <v>823</v>
      </c>
    </row>
    <row r="261" spans="1:6" x14ac:dyDescent="0.3">
      <c r="A261" s="57">
        <v>1260</v>
      </c>
      <c r="B261" s="49"/>
      <c r="C261" s="40" t="s">
        <v>205</v>
      </c>
      <c r="D261" s="62" t="s">
        <v>437</v>
      </c>
      <c r="E261" s="48" t="s">
        <v>715</v>
      </c>
      <c r="F261" s="40" t="s">
        <v>825</v>
      </c>
    </row>
    <row r="262" spans="1:6" x14ac:dyDescent="0.3">
      <c r="A262" s="57">
        <v>1261</v>
      </c>
      <c r="B262" s="49"/>
      <c r="C262" s="40" t="s">
        <v>206</v>
      </c>
      <c r="D262" s="61" t="s">
        <v>438</v>
      </c>
      <c r="E262" s="48" t="s">
        <v>716</v>
      </c>
      <c r="F262" s="40" t="s">
        <v>821</v>
      </c>
    </row>
    <row r="263" spans="1:6" x14ac:dyDescent="0.3">
      <c r="A263" s="57">
        <v>1262</v>
      </c>
      <c r="B263" s="49"/>
      <c r="C263" s="40" t="s">
        <v>207</v>
      </c>
      <c r="D263" s="63"/>
      <c r="E263" s="48"/>
      <c r="F263" s="40" t="s">
        <v>823</v>
      </c>
    </row>
    <row r="264" spans="1:6" x14ac:dyDescent="0.3">
      <c r="A264" s="57">
        <v>1263</v>
      </c>
      <c r="B264" s="49"/>
      <c r="C264" s="40" t="s">
        <v>208</v>
      </c>
      <c r="D264" s="60" t="s">
        <v>439</v>
      </c>
      <c r="E264" s="48" t="s">
        <v>717</v>
      </c>
      <c r="F264" s="40" t="s">
        <v>821</v>
      </c>
    </row>
    <row r="265" spans="1:6" x14ac:dyDescent="0.3">
      <c r="A265" s="57">
        <v>1265</v>
      </c>
      <c r="B265" s="49"/>
      <c r="C265" s="40" t="s">
        <v>209</v>
      </c>
      <c r="D265" s="60">
        <v>2150278800</v>
      </c>
      <c r="E265" s="48" t="s">
        <v>718</v>
      </c>
      <c r="F265" s="40" t="s">
        <v>821</v>
      </c>
    </row>
    <row r="266" spans="1:6" x14ac:dyDescent="0.3">
      <c r="A266" s="57">
        <v>1501</v>
      </c>
      <c r="B266" s="40">
        <v>1</v>
      </c>
      <c r="C266" s="40" t="s">
        <v>210</v>
      </c>
      <c r="D266" s="40"/>
      <c r="E266" s="48"/>
      <c r="F266" s="40" t="s">
        <v>823</v>
      </c>
    </row>
    <row r="267" spans="1:6" x14ac:dyDescent="0.3">
      <c r="A267" s="39">
        <v>1509</v>
      </c>
      <c r="B267" s="40">
        <v>1</v>
      </c>
      <c r="C267" s="40" t="s">
        <v>211</v>
      </c>
      <c r="D267" s="41" t="s">
        <v>440</v>
      </c>
      <c r="E267" s="48" t="s">
        <v>719</v>
      </c>
      <c r="F267" s="40" t="s">
        <v>820</v>
      </c>
    </row>
    <row r="268" spans="1:6" x14ac:dyDescent="0.3">
      <c r="A268" s="39">
        <v>1524</v>
      </c>
      <c r="B268" s="40"/>
      <c r="C268" s="40" t="s">
        <v>212</v>
      </c>
      <c r="D268" s="41" t="s">
        <v>441</v>
      </c>
      <c r="E268" s="48" t="s">
        <v>720</v>
      </c>
      <c r="F268" s="40" t="s">
        <v>826</v>
      </c>
    </row>
    <row r="269" spans="1:6" x14ac:dyDescent="0.3">
      <c r="A269" s="39">
        <v>1525</v>
      </c>
      <c r="B269" s="40">
        <v>1</v>
      </c>
      <c r="C269" s="40" t="s">
        <v>213</v>
      </c>
      <c r="D269" s="41" t="s">
        <v>442</v>
      </c>
      <c r="E269" s="48" t="s">
        <v>721</v>
      </c>
      <c r="F269" s="40" t="s">
        <v>820</v>
      </c>
    </row>
    <row r="270" spans="1:6" x14ac:dyDescent="0.3">
      <c r="A270" s="46">
        <v>1527</v>
      </c>
      <c r="B270" s="47">
        <v>1</v>
      </c>
      <c r="C270" s="47" t="s">
        <v>214</v>
      </c>
      <c r="D270" s="43">
        <v>2140055356</v>
      </c>
      <c r="E270" s="48" t="s">
        <v>722</v>
      </c>
      <c r="F270" s="40" t="s">
        <v>818</v>
      </c>
    </row>
    <row r="271" spans="1:6" x14ac:dyDescent="0.3">
      <c r="A271" s="46">
        <v>1527</v>
      </c>
      <c r="B271" s="47">
        <v>2</v>
      </c>
      <c r="C271" s="47" t="s">
        <v>215</v>
      </c>
      <c r="D271" s="43">
        <v>2140016210</v>
      </c>
      <c r="E271" s="48" t="s">
        <v>723</v>
      </c>
      <c r="F271" s="40" t="s">
        <v>818</v>
      </c>
    </row>
    <row r="272" spans="1:6" x14ac:dyDescent="0.3">
      <c r="A272" s="39">
        <v>1528</v>
      </c>
      <c r="B272" s="40">
        <v>1</v>
      </c>
      <c r="C272" s="40" t="s">
        <v>216</v>
      </c>
      <c r="D272" s="43">
        <v>9662296</v>
      </c>
      <c r="E272" s="48" t="s">
        <v>724</v>
      </c>
      <c r="F272" s="40" t="s">
        <v>817</v>
      </c>
    </row>
    <row r="273" spans="1:6" x14ac:dyDescent="0.3">
      <c r="A273" s="39">
        <v>1529</v>
      </c>
      <c r="B273" s="40">
        <v>1</v>
      </c>
      <c r="C273" s="40" t="s">
        <v>217</v>
      </c>
      <c r="D273" s="43">
        <v>1730018821</v>
      </c>
      <c r="E273" s="48" t="s">
        <v>725</v>
      </c>
      <c r="F273" s="64" t="s">
        <v>822</v>
      </c>
    </row>
    <row r="274" spans="1:6" x14ac:dyDescent="0.3">
      <c r="A274" s="39">
        <v>1529</v>
      </c>
      <c r="B274" s="40">
        <v>2</v>
      </c>
      <c r="C274" s="40" t="s">
        <v>217</v>
      </c>
      <c r="D274" s="43">
        <v>1730024021</v>
      </c>
      <c r="E274" s="48" t="s">
        <v>726</v>
      </c>
      <c r="F274" s="64" t="s">
        <v>822</v>
      </c>
    </row>
    <row r="275" spans="1:6" x14ac:dyDescent="0.3">
      <c r="A275" s="39">
        <v>1529</v>
      </c>
      <c r="B275" s="40">
        <v>3</v>
      </c>
      <c r="C275" s="40" t="s">
        <v>217</v>
      </c>
      <c r="D275" s="43">
        <v>1730021643</v>
      </c>
      <c r="E275" s="48" t="s">
        <v>727</v>
      </c>
      <c r="F275" s="64" t="s">
        <v>822</v>
      </c>
    </row>
    <row r="276" spans="1:6" x14ac:dyDescent="0.3">
      <c r="A276" s="46">
        <v>1534</v>
      </c>
      <c r="B276" s="47">
        <v>1</v>
      </c>
      <c r="C276" s="47" t="s">
        <v>218</v>
      </c>
      <c r="D276" s="43" t="s">
        <v>443</v>
      </c>
      <c r="E276" s="48" t="s">
        <v>728</v>
      </c>
      <c r="F276" s="40" t="s">
        <v>818</v>
      </c>
    </row>
    <row r="277" spans="1:6" x14ac:dyDescent="0.3">
      <c r="A277" s="39">
        <v>4001</v>
      </c>
      <c r="B277" s="40">
        <v>1</v>
      </c>
      <c r="C277" s="40" t="s">
        <v>219</v>
      </c>
      <c r="D277" s="41" t="s">
        <v>444</v>
      </c>
      <c r="E277" s="48" t="s">
        <v>729</v>
      </c>
      <c r="F277" s="40" t="s">
        <v>817</v>
      </c>
    </row>
    <row r="278" spans="1:6" x14ac:dyDescent="0.3">
      <c r="A278" s="39">
        <v>4002</v>
      </c>
      <c r="B278" s="40">
        <v>1</v>
      </c>
      <c r="C278" s="40" t="s">
        <v>220</v>
      </c>
      <c r="D278" s="40"/>
      <c r="E278" s="48"/>
      <c r="F278" s="40" t="s">
        <v>823</v>
      </c>
    </row>
    <row r="279" spans="1:6" x14ac:dyDescent="0.3">
      <c r="A279" s="39">
        <v>4003</v>
      </c>
      <c r="B279" s="40">
        <v>1</v>
      </c>
      <c r="C279" s="40" t="s">
        <v>221</v>
      </c>
      <c r="D279" s="41" t="s">
        <v>445</v>
      </c>
      <c r="E279" s="48" t="s">
        <v>730</v>
      </c>
      <c r="F279" s="40" t="s">
        <v>821</v>
      </c>
    </row>
    <row r="280" spans="1:6" x14ac:dyDescent="0.3">
      <c r="A280" s="39">
        <v>4004</v>
      </c>
      <c r="B280" s="40">
        <v>1</v>
      </c>
      <c r="C280" s="40" t="s">
        <v>222</v>
      </c>
      <c r="D280" s="41" t="s">
        <v>446</v>
      </c>
      <c r="E280" s="48" t="s">
        <v>731</v>
      </c>
      <c r="F280" s="40" t="s">
        <v>819</v>
      </c>
    </row>
    <row r="281" spans="1:6" x14ac:dyDescent="0.3">
      <c r="A281" s="39">
        <v>4005</v>
      </c>
      <c r="B281" s="40">
        <v>1</v>
      </c>
      <c r="C281" s="40" t="s">
        <v>223</v>
      </c>
      <c r="D281" s="41" t="s">
        <v>447</v>
      </c>
      <c r="E281" s="48" t="s">
        <v>732</v>
      </c>
      <c r="F281" s="40" t="s">
        <v>827</v>
      </c>
    </row>
    <row r="282" spans="1:6" x14ac:dyDescent="0.3">
      <c r="A282" s="39">
        <v>4006</v>
      </c>
      <c r="B282" s="40">
        <v>1</v>
      </c>
      <c r="C282" s="40" t="s">
        <v>224</v>
      </c>
      <c r="D282" s="41" t="s">
        <v>448</v>
      </c>
      <c r="E282" s="48" t="s">
        <v>733</v>
      </c>
      <c r="F282" s="40" t="s">
        <v>821</v>
      </c>
    </row>
    <row r="283" spans="1:6" x14ac:dyDescent="0.3">
      <c r="A283" s="39">
        <v>4007</v>
      </c>
      <c r="B283" s="40">
        <v>1</v>
      </c>
      <c r="C283" s="40" t="s">
        <v>225</v>
      </c>
      <c r="D283" s="41" t="s">
        <v>449</v>
      </c>
      <c r="E283" s="48" t="s">
        <v>734</v>
      </c>
      <c r="F283" s="40" t="s">
        <v>820</v>
      </c>
    </row>
    <row r="284" spans="1:6" x14ac:dyDescent="0.3">
      <c r="A284" s="39">
        <v>4008</v>
      </c>
      <c r="B284" s="40">
        <v>1</v>
      </c>
      <c r="C284" s="40" t="s">
        <v>226</v>
      </c>
      <c r="D284" s="65" t="s">
        <v>450</v>
      </c>
      <c r="E284" s="48" t="s">
        <v>735</v>
      </c>
      <c r="F284" s="40" t="s">
        <v>820</v>
      </c>
    </row>
    <row r="285" spans="1:6" x14ac:dyDescent="0.3">
      <c r="A285" s="39">
        <v>4010</v>
      </c>
      <c r="B285" s="40">
        <v>1</v>
      </c>
      <c r="C285" s="40" t="s">
        <v>227</v>
      </c>
      <c r="D285" s="43" t="s">
        <v>451</v>
      </c>
      <c r="E285" s="48" t="s">
        <v>736</v>
      </c>
      <c r="F285" s="40" t="s">
        <v>819</v>
      </c>
    </row>
    <row r="286" spans="1:6" x14ac:dyDescent="0.3">
      <c r="A286" s="39">
        <v>4010</v>
      </c>
      <c r="B286" s="40">
        <v>2</v>
      </c>
      <c r="C286" s="40" t="s">
        <v>227</v>
      </c>
      <c r="D286" s="43" t="s">
        <v>452</v>
      </c>
      <c r="E286" s="48" t="s">
        <v>737</v>
      </c>
      <c r="F286" s="40" t="s">
        <v>819</v>
      </c>
    </row>
    <row r="287" spans="1:6" x14ac:dyDescent="0.3">
      <c r="A287" s="39">
        <v>4010</v>
      </c>
      <c r="B287" s="40">
        <v>1</v>
      </c>
      <c r="C287" s="40" t="s">
        <v>227</v>
      </c>
      <c r="D287" s="43" t="s">
        <v>451</v>
      </c>
      <c r="E287" s="48" t="s">
        <v>736</v>
      </c>
      <c r="F287" s="40" t="s">
        <v>819</v>
      </c>
    </row>
    <row r="288" spans="1:6" x14ac:dyDescent="0.3">
      <c r="A288" s="39">
        <v>4010</v>
      </c>
      <c r="B288" s="40">
        <v>2</v>
      </c>
      <c r="C288" s="40" t="s">
        <v>227</v>
      </c>
      <c r="D288" s="43" t="s">
        <v>452</v>
      </c>
      <c r="E288" s="48" t="s">
        <v>737</v>
      </c>
      <c r="F288" s="40" t="s">
        <v>819</v>
      </c>
    </row>
    <row r="289" spans="1:6" x14ac:dyDescent="0.3">
      <c r="A289" s="39">
        <v>4011</v>
      </c>
      <c r="B289" s="40">
        <v>1</v>
      </c>
      <c r="C289" s="40" t="s">
        <v>228</v>
      </c>
      <c r="D289" s="43">
        <v>2150227622</v>
      </c>
      <c r="E289" s="48" t="s">
        <v>738</v>
      </c>
      <c r="F289" s="40" t="s">
        <v>821</v>
      </c>
    </row>
    <row r="290" spans="1:6" x14ac:dyDescent="0.3">
      <c r="A290" s="46">
        <v>4012</v>
      </c>
      <c r="B290" s="47">
        <v>1</v>
      </c>
      <c r="C290" s="47" t="s">
        <v>229</v>
      </c>
      <c r="D290" s="43">
        <v>1141539406</v>
      </c>
      <c r="E290" s="48" t="s">
        <v>739</v>
      </c>
      <c r="F290" s="40" t="s">
        <v>818</v>
      </c>
    </row>
    <row r="291" spans="1:6" x14ac:dyDescent="0.3">
      <c r="A291" s="46">
        <v>4012</v>
      </c>
      <c r="B291" s="47">
        <v>2</v>
      </c>
      <c r="C291" s="47" t="s">
        <v>229</v>
      </c>
      <c r="D291" s="43" t="s">
        <v>453</v>
      </c>
      <c r="E291" s="48" t="s">
        <v>740</v>
      </c>
      <c r="F291" s="40" t="s">
        <v>818</v>
      </c>
    </row>
    <row r="292" spans="1:6" x14ac:dyDescent="0.3">
      <c r="A292" s="39">
        <v>4013</v>
      </c>
      <c r="B292" s="40">
        <v>1</v>
      </c>
      <c r="C292" s="40" t="s">
        <v>230</v>
      </c>
      <c r="D292" s="43" t="s">
        <v>454</v>
      </c>
      <c r="E292" s="48" t="s">
        <v>741</v>
      </c>
      <c r="F292" s="40" t="s">
        <v>819</v>
      </c>
    </row>
    <row r="293" spans="1:6" x14ac:dyDescent="0.3">
      <c r="A293" s="56">
        <v>4014</v>
      </c>
      <c r="B293" s="40">
        <v>1</v>
      </c>
      <c r="C293" s="40" t="s">
        <v>231</v>
      </c>
      <c r="D293" s="43" t="s">
        <v>455</v>
      </c>
      <c r="E293" s="48" t="s">
        <v>742</v>
      </c>
      <c r="F293" s="40" t="s">
        <v>820</v>
      </c>
    </row>
    <row r="294" spans="1:6" x14ac:dyDescent="0.3">
      <c r="A294" s="39">
        <v>4016</v>
      </c>
      <c r="B294" s="40"/>
      <c r="C294" s="40" t="s">
        <v>232</v>
      </c>
      <c r="D294" s="43">
        <v>7778464</v>
      </c>
      <c r="E294" s="48" t="s">
        <v>743</v>
      </c>
      <c r="F294" s="40" t="s">
        <v>817</v>
      </c>
    </row>
    <row r="295" spans="1:6" x14ac:dyDescent="0.3">
      <c r="A295" s="51">
        <v>4017</v>
      </c>
      <c r="B295" s="40"/>
      <c r="C295" s="40" t="s">
        <v>233</v>
      </c>
      <c r="D295" s="43">
        <v>2150262919</v>
      </c>
      <c r="E295" s="48" t="s">
        <v>744</v>
      </c>
      <c r="F295" s="40" t="s">
        <v>821</v>
      </c>
    </row>
    <row r="296" spans="1:6" x14ac:dyDescent="0.3">
      <c r="A296" s="56">
        <v>4018</v>
      </c>
      <c r="B296" s="47"/>
      <c r="C296" s="47" t="s">
        <v>234</v>
      </c>
      <c r="D296" s="43" t="s">
        <v>456</v>
      </c>
      <c r="E296" s="42" t="s">
        <v>745</v>
      </c>
      <c r="F296" s="40" t="s">
        <v>818</v>
      </c>
    </row>
    <row r="297" spans="1:6" x14ac:dyDescent="0.3">
      <c r="A297" s="56">
        <v>4019</v>
      </c>
      <c r="B297" s="40">
        <v>1</v>
      </c>
      <c r="C297" s="40" t="s">
        <v>235</v>
      </c>
      <c r="D297" s="43" t="s">
        <v>457</v>
      </c>
      <c r="E297" s="42" t="s">
        <v>746</v>
      </c>
      <c r="F297" s="40" t="s">
        <v>824</v>
      </c>
    </row>
    <row r="298" spans="1:6" x14ac:dyDescent="0.3">
      <c r="A298" s="56">
        <v>4019</v>
      </c>
      <c r="B298" s="40">
        <v>2</v>
      </c>
      <c r="C298" s="40" t="s">
        <v>235</v>
      </c>
      <c r="D298" s="43" t="s">
        <v>458</v>
      </c>
      <c r="E298" s="42" t="s">
        <v>747</v>
      </c>
      <c r="F298" s="40" t="s">
        <v>824</v>
      </c>
    </row>
    <row r="299" spans="1:6" x14ac:dyDescent="0.3">
      <c r="A299" s="56">
        <v>4019</v>
      </c>
      <c r="B299" s="40">
        <v>3</v>
      </c>
      <c r="C299" s="40" t="s">
        <v>235</v>
      </c>
      <c r="D299" s="43" t="s">
        <v>459</v>
      </c>
      <c r="E299" s="42" t="s">
        <v>748</v>
      </c>
      <c r="F299" s="40" t="s">
        <v>824</v>
      </c>
    </row>
    <row r="300" spans="1:6" x14ac:dyDescent="0.3">
      <c r="A300" s="57">
        <v>4020</v>
      </c>
      <c r="B300" s="47">
        <v>1</v>
      </c>
      <c r="C300" s="47" t="s">
        <v>236</v>
      </c>
      <c r="D300" s="43" t="s">
        <v>460</v>
      </c>
      <c r="E300" s="42" t="s">
        <v>749</v>
      </c>
      <c r="F300" s="40" t="s">
        <v>818</v>
      </c>
    </row>
    <row r="301" spans="1:6" x14ac:dyDescent="0.3">
      <c r="A301" s="57">
        <v>4020</v>
      </c>
      <c r="B301" s="47">
        <v>2</v>
      </c>
      <c r="C301" s="47" t="s">
        <v>236</v>
      </c>
      <c r="D301" s="43">
        <v>1140398139</v>
      </c>
      <c r="E301" s="42" t="s">
        <v>750</v>
      </c>
      <c r="F301" s="40" t="s">
        <v>818</v>
      </c>
    </row>
    <row r="302" spans="1:6" x14ac:dyDescent="0.3">
      <c r="A302" s="57">
        <v>4020</v>
      </c>
      <c r="B302" s="47">
        <v>3</v>
      </c>
      <c r="C302" s="47" t="s">
        <v>236</v>
      </c>
      <c r="D302" s="43" t="s">
        <v>461</v>
      </c>
      <c r="E302" s="42" t="s">
        <v>751</v>
      </c>
      <c r="F302" s="40" t="s">
        <v>818</v>
      </c>
    </row>
    <row r="303" spans="1:6" x14ac:dyDescent="0.3">
      <c r="A303" s="57">
        <v>4021</v>
      </c>
      <c r="B303" s="40"/>
      <c r="C303" s="40" t="s">
        <v>237</v>
      </c>
      <c r="D303" s="43" t="s">
        <v>462</v>
      </c>
      <c r="E303" s="42" t="s">
        <v>752</v>
      </c>
      <c r="F303" s="40" t="s">
        <v>820</v>
      </c>
    </row>
    <row r="304" spans="1:6" x14ac:dyDescent="0.3">
      <c r="A304" s="58">
        <v>4022</v>
      </c>
      <c r="B304" s="49"/>
      <c r="C304" s="40" t="s">
        <v>238</v>
      </c>
      <c r="D304" s="55">
        <v>2260067989</v>
      </c>
      <c r="E304" s="42" t="s">
        <v>753</v>
      </c>
      <c r="F304" s="40" t="s">
        <v>820</v>
      </c>
    </row>
    <row r="305" spans="1:6" x14ac:dyDescent="0.3">
      <c r="A305" s="58">
        <v>4023</v>
      </c>
      <c r="B305" s="49">
        <v>1</v>
      </c>
      <c r="C305" s="40" t="s">
        <v>239</v>
      </c>
      <c r="D305" s="55">
        <v>1028680</v>
      </c>
      <c r="E305" s="42" t="s">
        <v>754</v>
      </c>
      <c r="F305" s="40" t="s">
        <v>817</v>
      </c>
    </row>
    <row r="306" spans="1:6" x14ac:dyDescent="0.3">
      <c r="A306" s="58">
        <v>4023</v>
      </c>
      <c r="B306" s="49">
        <v>2</v>
      </c>
      <c r="C306" s="40" t="s">
        <v>239</v>
      </c>
      <c r="D306" s="55">
        <v>1028679</v>
      </c>
      <c r="E306" s="42" t="s">
        <v>755</v>
      </c>
      <c r="F306" s="40" t="s">
        <v>817</v>
      </c>
    </row>
    <row r="307" spans="1:6" x14ac:dyDescent="0.3">
      <c r="A307" s="58">
        <v>4023</v>
      </c>
      <c r="B307" s="49">
        <v>3</v>
      </c>
      <c r="C307" s="40" t="s">
        <v>239</v>
      </c>
      <c r="D307" s="55">
        <v>10540665</v>
      </c>
      <c r="E307" s="42" t="s">
        <v>756</v>
      </c>
      <c r="F307" s="40" t="s">
        <v>817</v>
      </c>
    </row>
    <row r="308" spans="1:6" x14ac:dyDescent="0.3">
      <c r="A308" s="39">
        <v>4024</v>
      </c>
      <c r="B308" s="40">
        <v>1</v>
      </c>
      <c r="C308" s="40" t="s">
        <v>240</v>
      </c>
      <c r="D308" s="43">
        <v>10119827</v>
      </c>
      <c r="E308" s="42" t="s">
        <v>757</v>
      </c>
      <c r="F308" s="40" t="s">
        <v>817</v>
      </c>
    </row>
    <row r="309" spans="1:6" x14ac:dyDescent="0.3">
      <c r="A309" s="39">
        <v>4025</v>
      </c>
      <c r="B309" s="40">
        <v>1</v>
      </c>
      <c r="C309" s="40" t="s">
        <v>241</v>
      </c>
      <c r="D309" s="43" t="s">
        <v>463</v>
      </c>
      <c r="E309" s="42" t="s">
        <v>758</v>
      </c>
      <c r="F309" s="40" t="s">
        <v>819</v>
      </c>
    </row>
    <row r="310" spans="1:6" x14ac:dyDescent="0.3">
      <c r="A310" s="39">
        <v>4026</v>
      </c>
      <c r="B310" s="40">
        <v>1</v>
      </c>
      <c r="C310" s="40" t="s">
        <v>242</v>
      </c>
      <c r="D310" s="43" t="s">
        <v>464</v>
      </c>
      <c r="E310" s="42" t="s">
        <v>759</v>
      </c>
      <c r="F310" s="40" t="s">
        <v>819</v>
      </c>
    </row>
    <row r="311" spans="1:6" x14ac:dyDescent="0.3">
      <c r="A311" s="46">
        <v>4027</v>
      </c>
      <c r="B311" s="47">
        <v>1</v>
      </c>
      <c r="C311" s="47" t="s">
        <v>243</v>
      </c>
      <c r="D311" s="43">
        <v>1140656454</v>
      </c>
      <c r="E311" s="42" t="s">
        <v>760</v>
      </c>
      <c r="F311" s="40" t="s">
        <v>818</v>
      </c>
    </row>
    <row r="312" spans="1:6" x14ac:dyDescent="0.3">
      <c r="A312" s="58">
        <v>4028</v>
      </c>
      <c r="B312" s="49"/>
      <c r="C312" s="40" t="s">
        <v>244</v>
      </c>
      <c r="D312" s="55">
        <v>2710002995</v>
      </c>
      <c r="E312" s="42" t="s">
        <v>761</v>
      </c>
      <c r="F312" s="40" t="s">
        <v>822</v>
      </c>
    </row>
    <row r="313" spans="1:6" x14ac:dyDescent="0.3">
      <c r="A313" s="58">
        <v>4029</v>
      </c>
      <c r="B313" s="49">
        <v>1</v>
      </c>
      <c r="C313" s="40" t="s">
        <v>245</v>
      </c>
      <c r="D313" s="55" t="s">
        <v>465</v>
      </c>
      <c r="E313" s="42" t="s">
        <v>762</v>
      </c>
      <c r="F313" s="40" t="s">
        <v>826</v>
      </c>
    </row>
    <row r="314" spans="1:6" x14ac:dyDescent="0.3">
      <c r="A314" s="58">
        <v>4029</v>
      </c>
      <c r="B314" s="49">
        <v>2</v>
      </c>
      <c r="C314" s="40" t="s">
        <v>245</v>
      </c>
      <c r="D314" s="55" t="s">
        <v>466</v>
      </c>
      <c r="E314" s="42" t="s">
        <v>763</v>
      </c>
      <c r="F314" s="40" t="s">
        <v>826</v>
      </c>
    </row>
    <row r="315" spans="1:6" x14ac:dyDescent="0.3">
      <c r="A315" s="58">
        <v>4030</v>
      </c>
      <c r="B315" s="49">
        <v>3</v>
      </c>
      <c r="C315" s="40" t="s">
        <v>246</v>
      </c>
      <c r="D315" s="55">
        <v>2150260594</v>
      </c>
      <c r="E315" s="42" t="s">
        <v>764</v>
      </c>
      <c r="F315" s="49" t="s">
        <v>821</v>
      </c>
    </row>
    <row r="316" spans="1:6" x14ac:dyDescent="0.3">
      <c r="A316" s="58">
        <v>4031</v>
      </c>
      <c r="B316" s="49"/>
      <c r="C316" s="40" t="s">
        <v>247</v>
      </c>
      <c r="D316" s="55">
        <v>2710010107</v>
      </c>
      <c r="E316" s="42" t="s">
        <v>765</v>
      </c>
      <c r="F316" s="49" t="s">
        <v>822</v>
      </c>
    </row>
    <row r="317" spans="1:6" x14ac:dyDescent="0.3">
      <c r="A317" s="58">
        <v>4032</v>
      </c>
      <c r="B317" s="49">
        <v>1</v>
      </c>
      <c r="C317" s="40" t="s">
        <v>248</v>
      </c>
      <c r="D317" s="55" t="s">
        <v>467</v>
      </c>
      <c r="E317" s="42" t="s">
        <v>766</v>
      </c>
      <c r="F317" s="49" t="s">
        <v>826</v>
      </c>
    </row>
    <row r="318" spans="1:6" x14ac:dyDescent="0.3">
      <c r="A318" s="58">
        <v>4032</v>
      </c>
      <c r="B318" s="49">
        <v>2</v>
      </c>
      <c r="C318" s="40" t="s">
        <v>248</v>
      </c>
      <c r="D318" s="55" t="s">
        <v>468</v>
      </c>
      <c r="E318" s="42" t="s">
        <v>767</v>
      </c>
      <c r="F318" s="49" t="s">
        <v>826</v>
      </c>
    </row>
    <row r="319" spans="1:6" x14ac:dyDescent="0.3">
      <c r="A319" s="57">
        <v>4033</v>
      </c>
      <c r="B319" s="49">
        <v>1</v>
      </c>
      <c r="C319" s="40" t="s">
        <v>249</v>
      </c>
      <c r="D319" s="55">
        <v>2150255832</v>
      </c>
      <c r="E319" s="42" t="s">
        <v>768</v>
      </c>
      <c r="F319" s="49" t="s">
        <v>821</v>
      </c>
    </row>
    <row r="320" spans="1:6" x14ac:dyDescent="0.3">
      <c r="A320" s="58">
        <v>4034</v>
      </c>
      <c r="B320" s="49">
        <v>1</v>
      </c>
      <c r="C320" s="40" t="s">
        <v>250</v>
      </c>
      <c r="D320" s="55">
        <v>9597902</v>
      </c>
      <c r="E320" s="42" t="s">
        <v>769</v>
      </c>
      <c r="F320" s="49" t="s">
        <v>817</v>
      </c>
    </row>
    <row r="321" spans="1:6" x14ac:dyDescent="0.3">
      <c r="A321" s="58">
        <v>4034</v>
      </c>
      <c r="B321" s="49">
        <v>2</v>
      </c>
      <c r="C321" s="40" t="s">
        <v>250</v>
      </c>
      <c r="D321" s="43">
        <v>4302360</v>
      </c>
      <c r="E321" s="42" t="s">
        <v>770</v>
      </c>
      <c r="F321" s="49" t="s">
        <v>817</v>
      </c>
    </row>
    <row r="322" spans="1:6" x14ac:dyDescent="0.3">
      <c r="A322" s="58">
        <v>4034</v>
      </c>
      <c r="B322" s="49">
        <v>3</v>
      </c>
      <c r="C322" s="40" t="s">
        <v>250</v>
      </c>
      <c r="D322" s="55">
        <v>4302370</v>
      </c>
      <c r="E322" s="42" t="s">
        <v>771</v>
      </c>
      <c r="F322" s="49" t="s">
        <v>817</v>
      </c>
    </row>
    <row r="323" spans="1:6" x14ac:dyDescent="0.3">
      <c r="A323" s="57">
        <v>4035</v>
      </c>
      <c r="B323" s="49">
        <v>1</v>
      </c>
      <c r="C323" s="40" t="s">
        <v>251</v>
      </c>
      <c r="D323" s="49"/>
      <c r="E323" s="44"/>
      <c r="F323" s="40" t="s">
        <v>823</v>
      </c>
    </row>
    <row r="324" spans="1:6" x14ac:dyDescent="0.3">
      <c r="A324" s="57">
        <v>4036</v>
      </c>
      <c r="B324" s="49">
        <v>1</v>
      </c>
      <c r="C324" s="40" t="s">
        <v>252</v>
      </c>
      <c r="D324" s="55">
        <v>2150000067</v>
      </c>
      <c r="E324" s="42" t="s">
        <v>772</v>
      </c>
      <c r="F324" s="40" t="s">
        <v>821</v>
      </c>
    </row>
    <row r="325" spans="1:6" x14ac:dyDescent="0.3">
      <c r="A325" s="59">
        <v>4037</v>
      </c>
      <c r="B325" s="49">
        <v>1</v>
      </c>
      <c r="C325" s="40" t="s">
        <v>253</v>
      </c>
      <c r="D325" s="60" t="s">
        <v>469</v>
      </c>
      <c r="E325" s="42" t="s">
        <v>773</v>
      </c>
      <c r="F325" s="49" t="s">
        <v>826</v>
      </c>
    </row>
    <row r="326" spans="1:6" x14ac:dyDescent="0.3">
      <c r="A326" s="59">
        <v>4037</v>
      </c>
      <c r="B326" s="49">
        <v>2</v>
      </c>
      <c r="C326" s="40" t="s">
        <v>253</v>
      </c>
      <c r="D326" s="60" t="s">
        <v>470</v>
      </c>
      <c r="E326" s="42" t="s">
        <v>774</v>
      </c>
      <c r="F326" s="49" t="s">
        <v>826</v>
      </c>
    </row>
    <row r="327" spans="1:6" x14ac:dyDescent="0.3">
      <c r="A327" s="59">
        <v>4038</v>
      </c>
      <c r="B327" s="49">
        <v>1</v>
      </c>
      <c r="C327" s="40" t="s">
        <v>254</v>
      </c>
      <c r="D327" s="55">
        <v>10116325</v>
      </c>
      <c r="E327" s="42" t="s">
        <v>775</v>
      </c>
      <c r="F327" s="49" t="s">
        <v>817</v>
      </c>
    </row>
    <row r="328" spans="1:6" x14ac:dyDescent="0.3">
      <c r="A328" s="59">
        <v>4038</v>
      </c>
      <c r="B328" s="49">
        <v>2</v>
      </c>
      <c r="C328" s="40" t="s">
        <v>254</v>
      </c>
      <c r="D328" s="55">
        <v>10257436</v>
      </c>
      <c r="E328" s="42" t="s">
        <v>776</v>
      </c>
      <c r="F328" s="49" t="s">
        <v>817</v>
      </c>
    </row>
    <row r="329" spans="1:6" x14ac:dyDescent="0.3">
      <c r="A329" s="59">
        <v>4039</v>
      </c>
      <c r="B329" s="49">
        <v>1</v>
      </c>
      <c r="C329" s="40" t="s">
        <v>255</v>
      </c>
      <c r="D329" s="55">
        <v>3002266</v>
      </c>
      <c r="E329" s="42" t="s">
        <v>777</v>
      </c>
      <c r="F329" s="49" t="s">
        <v>817</v>
      </c>
    </row>
    <row r="330" spans="1:6" x14ac:dyDescent="0.3">
      <c r="A330" s="59">
        <v>4040</v>
      </c>
      <c r="B330" s="49">
        <v>1</v>
      </c>
      <c r="C330" s="40" t="s">
        <v>256</v>
      </c>
      <c r="D330" s="55" t="s">
        <v>471</v>
      </c>
      <c r="E330" s="42" t="s">
        <v>778</v>
      </c>
      <c r="F330" s="49" t="s">
        <v>820</v>
      </c>
    </row>
    <row r="331" spans="1:6" x14ac:dyDescent="0.3">
      <c r="A331" s="59">
        <v>4041</v>
      </c>
      <c r="B331" s="49">
        <v>1</v>
      </c>
      <c r="C331" s="40" t="s">
        <v>257</v>
      </c>
      <c r="D331" s="55" t="s">
        <v>472</v>
      </c>
      <c r="E331" s="42" t="s">
        <v>779</v>
      </c>
      <c r="F331" s="49" t="s">
        <v>827</v>
      </c>
    </row>
    <row r="332" spans="1:6" x14ac:dyDescent="0.3">
      <c r="A332" s="59">
        <v>4042</v>
      </c>
      <c r="B332" s="49">
        <v>1</v>
      </c>
      <c r="C332" s="40" t="s">
        <v>258</v>
      </c>
      <c r="D332" s="55">
        <v>2150267789</v>
      </c>
      <c r="E332" s="42" t="s">
        <v>780</v>
      </c>
      <c r="F332" s="49" t="s">
        <v>821</v>
      </c>
    </row>
    <row r="333" spans="1:6" x14ac:dyDescent="0.3">
      <c r="A333" s="59">
        <v>4043</v>
      </c>
      <c r="B333" s="49">
        <v>1</v>
      </c>
      <c r="C333" s="40" t="s">
        <v>259</v>
      </c>
      <c r="D333" s="55" t="s">
        <v>473</v>
      </c>
      <c r="E333" s="42" t="s">
        <v>781</v>
      </c>
      <c r="F333" s="49" t="s">
        <v>819</v>
      </c>
    </row>
    <row r="334" spans="1:6" x14ac:dyDescent="0.3">
      <c r="A334" s="59">
        <v>4043</v>
      </c>
      <c r="B334" s="49">
        <v>2</v>
      </c>
      <c r="C334" s="40" t="s">
        <v>259</v>
      </c>
      <c r="D334" s="55" t="s">
        <v>474</v>
      </c>
      <c r="E334" s="42" t="s">
        <v>782</v>
      </c>
      <c r="F334" s="49" t="s">
        <v>819</v>
      </c>
    </row>
    <row r="335" spans="1:6" x14ac:dyDescent="0.3">
      <c r="A335" s="59">
        <v>4043</v>
      </c>
      <c r="B335" s="49">
        <v>1</v>
      </c>
      <c r="C335" s="40" t="s">
        <v>259</v>
      </c>
      <c r="D335" s="55" t="s">
        <v>473</v>
      </c>
      <c r="E335" s="42" t="s">
        <v>783</v>
      </c>
      <c r="F335" s="49" t="s">
        <v>819</v>
      </c>
    </row>
    <row r="336" spans="1:6" x14ac:dyDescent="0.3">
      <c r="A336" s="59">
        <v>4043</v>
      </c>
      <c r="B336" s="49">
        <v>2</v>
      </c>
      <c r="C336" s="40" t="s">
        <v>259</v>
      </c>
      <c r="D336" s="55" t="s">
        <v>474</v>
      </c>
      <c r="E336" s="42" t="s">
        <v>784</v>
      </c>
      <c r="F336" s="49" t="s">
        <v>819</v>
      </c>
    </row>
    <row r="337" spans="1:6" x14ac:dyDescent="0.3">
      <c r="A337" s="59">
        <v>4044</v>
      </c>
      <c r="B337" s="49">
        <v>1</v>
      </c>
      <c r="C337" s="40" t="s">
        <v>260</v>
      </c>
      <c r="D337" s="43">
        <v>2710010459</v>
      </c>
      <c r="E337" s="66" t="s">
        <v>785</v>
      </c>
      <c r="F337" s="49" t="s">
        <v>822</v>
      </c>
    </row>
    <row r="338" spans="1:6" x14ac:dyDescent="0.3">
      <c r="A338" s="59">
        <v>4045</v>
      </c>
      <c r="B338" s="49">
        <v>1</v>
      </c>
      <c r="C338" s="40" t="s">
        <v>261</v>
      </c>
      <c r="D338" s="55">
        <v>9154261</v>
      </c>
      <c r="E338" s="66" t="s">
        <v>786</v>
      </c>
      <c r="F338" s="49" t="s">
        <v>817</v>
      </c>
    </row>
    <row r="339" spans="1:6" x14ac:dyDescent="0.3">
      <c r="A339" s="59">
        <v>4045</v>
      </c>
      <c r="B339" s="49">
        <v>2</v>
      </c>
      <c r="C339" s="40" t="s">
        <v>261</v>
      </c>
      <c r="D339" s="55">
        <v>10890090</v>
      </c>
      <c r="E339" s="66" t="s">
        <v>787</v>
      </c>
      <c r="F339" s="49" t="s">
        <v>817</v>
      </c>
    </row>
    <row r="340" spans="1:6" x14ac:dyDescent="0.3">
      <c r="A340" s="59">
        <v>4045</v>
      </c>
      <c r="B340" s="49">
        <v>3</v>
      </c>
      <c r="C340" s="40" t="s">
        <v>261</v>
      </c>
      <c r="D340" s="55">
        <v>10872820</v>
      </c>
      <c r="E340" s="66" t="s">
        <v>788</v>
      </c>
      <c r="F340" s="49" t="s">
        <v>817</v>
      </c>
    </row>
    <row r="341" spans="1:6" x14ac:dyDescent="0.3">
      <c r="A341" s="58">
        <v>4046</v>
      </c>
      <c r="B341" s="49">
        <v>1</v>
      </c>
      <c r="C341" s="40" t="s">
        <v>262</v>
      </c>
      <c r="D341" s="55" t="s">
        <v>475</v>
      </c>
      <c r="E341" s="67" t="s">
        <v>789</v>
      </c>
      <c r="F341" s="49" t="s">
        <v>826</v>
      </c>
    </row>
    <row r="342" spans="1:6" x14ac:dyDescent="0.3">
      <c r="A342" s="58">
        <v>4046</v>
      </c>
      <c r="B342" s="49">
        <v>2</v>
      </c>
      <c r="C342" s="40" t="s">
        <v>262</v>
      </c>
      <c r="D342" s="55" t="s">
        <v>476</v>
      </c>
      <c r="E342" s="67" t="s">
        <v>790</v>
      </c>
      <c r="F342" s="49" t="s">
        <v>826</v>
      </c>
    </row>
    <row r="343" spans="1:6" x14ac:dyDescent="0.3">
      <c r="A343" s="58">
        <v>4047</v>
      </c>
      <c r="B343" s="49">
        <v>1</v>
      </c>
      <c r="C343" s="40" t="s">
        <v>263</v>
      </c>
      <c r="D343" s="55">
        <v>2260071121</v>
      </c>
      <c r="E343" s="67" t="s">
        <v>791</v>
      </c>
      <c r="F343" s="49" t="s">
        <v>820</v>
      </c>
    </row>
    <row r="344" spans="1:6" x14ac:dyDescent="0.3">
      <c r="A344" s="58">
        <v>4048</v>
      </c>
      <c r="B344" s="49">
        <v>1</v>
      </c>
      <c r="C344" s="40" t="s">
        <v>264</v>
      </c>
      <c r="D344" s="55" t="s">
        <v>477</v>
      </c>
      <c r="E344" s="67" t="s">
        <v>792</v>
      </c>
      <c r="F344" s="49" t="s">
        <v>820</v>
      </c>
    </row>
    <row r="345" spans="1:6" x14ac:dyDescent="0.3">
      <c r="A345" s="58">
        <v>4048</v>
      </c>
      <c r="B345" s="49">
        <v>2</v>
      </c>
      <c r="C345" s="40" t="s">
        <v>264</v>
      </c>
      <c r="D345" s="55" t="s">
        <v>478</v>
      </c>
      <c r="E345" s="67" t="s">
        <v>793</v>
      </c>
      <c r="F345" s="49" t="s">
        <v>820</v>
      </c>
    </row>
    <row r="346" spans="1:6" x14ac:dyDescent="0.3">
      <c r="A346" s="58">
        <v>4049</v>
      </c>
      <c r="B346" s="49">
        <v>1</v>
      </c>
      <c r="C346" s="40" t="s">
        <v>265</v>
      </c>
      <c r="D346" s="55" t="s">
        <v>479</v>
      </c>
      <c r="E346" s="67" t="s">
        <v>794</v>
      </c>
      <c r="F346" s="49" t="s">
        <v>821</v>
      </c>
    </row>
    <row r="347" spans="1:6" x14ac:dyDescent="0.3">
      <c r="A347" s="58">
        <v>4049</v>
      </c>
      <c r="B347" s="49">
        <v>2</v>
      </c>
      <c r="C347" s="40" t="s">
        <v>265</v>
      </c>
      <c r="D347" s="55" t="s">
        <v>480</v>
      </c>
      <c r="E347" s="67" t="s">
        <v>795</v>
      </c>
      <c r="F347" s="49" t="s">
        <v>821</v>
      </c>
    </row>
    <row r="348" spans="1:6" x14ac:dyDescent="0.3">
      <c r="A348" s="58">
        <v>4049</v>
      </c>
      <c r="B348" s="49">
        <v>3</v>
      </c>
      <c r="C348" s="40" t="s">
        <v>265</v>
      </c>
      <c r="D348" s="55" t="s">
        <v>481</v>
      </c>
      <c r="E348" s="67" t="s">
        <v>796</v>
      </c>
      <c r="F348" s="49" t="s">
        <v>821</v>
      </c>
    </row>
    <row r="349" spans="1:6" x14ac:dyDescent="0.3">
      <c r="A349" s="57">
        <v>4050</v>
      </c>
      <c r="B349" s="53">
        <v>1</v>
      </c>
      <c r="C349" s="47" t="s">
        <v>266</v>
      </c>
      <c r="D349" s="55">
        <v>2140055236</v>
      </c>
      <c r="E349" s="42" t="s">
        <v>797</v>
      </c>
      <c r="F349" s="49" t="s">
        <v>818</v>
      </c>
    </row>
    <row r="350" spans="1:6" x14ac:dyDescent="0.3">
      <c r="A350" s="57">
        <v>4050</v>
      </c>
      <c r="B350" s="53">
        <v>2</v>
      </c>
      <c r="C350" s="47" t="s">
        <v>266</v>
      </c>
      <c r="D350" s="55">
        <v>2140012081</v>
      </c>
      <c r="E350" s="42" t="s">
        <v>798</v>
      </c>
      <c r="F350" s="49" t="s">
        <v>818</v>
      </c>
    </row>
    <row r="351" spans="1:6" x14ac:dyDescent="0.3">
      <c r="A351" s="58">
        <v>4051</v>
      </c>
      <c r="B351" s="49">
        <v>1</v>
      </c>
      <c r="C351" s="40" t="s">
        <v>267</v>
      </c>
      <c r="D351" s="60" t="s">
        <v>482</v>
      </c>
      <c r="E351" s="42" t="s">
        <v>799</v>
      </c>
      <c r="F351" s="49" t="s">
        <v>826</v>
      </c>
    </row>
    <row r="352" spans="1:6" x14ac:dyDescent="0.3">
      <c r="A352" s="58">
        <v>4052</v>
      </c>
      <c r="B352" s="49">
        <v>1</v>
      </c>
      <c r="C352" s="40" t="s">
        <v>268</v>
      </c>
      <c r="D352" s="32" t="s">
        <v>483</v>
      </c>
      <c r="E352" s="42" t="s">
        <v>800</v>
      </c>
      <c r="F352" s="49" t="s">
        <v>819</v>
      </c>
    </row>
    <row r="353" spans="1:6" x14ac:dyDescent="0.3">
      <c r="A353" s="58">
        <v>4053</v>
      </c>
      <c r="B353" s="49">
        <v>1</v>
      </c>
      <c r="C353" s="40" t="s">
        <v>269</v>
      </c>
      <c r="D353" s="55">
        <v>3150652204</v>
      </c>
      <c r="E353" s="42" t="s">
        <v>801</v>
      </c>
      <c r="F353" s="49" t="s">
        <v>821</v>
      </c>
    </row>
    <row r="354" spans="1:6" x14ac:dyDescent="0.3">
      <c r="A354" s="58">
        <v>4053</v>
      </c>
      <c r="B354" s="49">
        <v>3</v>
      </c>
      <c r="C354" s="40" t="s">
        <v>269</v>
      </c>
      <c r="D354" s="55">
        <v>3150652205</v>
      </c>
      <c r="E354" s="42" t="s">
        <v>802</v>
      </c>
      <c r="F354" s="49" t="s">
        <v>821</v>
      </c>
    </row>
    <row r="355" spans="1:6" x14ac:dyDescent="0.3">
      <c r="A355" s="57">
        <v>4054</v>
      </c>
      <c r="B355" s="53">
        <v>1</v>
      </c>
      <c r="C355" s="47" t="s">
        <v>270</v>
      </c>
      <c r="D355" s="55">
        <v>2140043705</v>
      </c>
      <c r="E355" s="42" t="s">
        <v>803</v>
      </c>
      <c r="F355" s="49" t="s">
        <v>818</v>
      </c>
    </row>
    <row r="356" spans="1:6" x14ac:dyDescent="0.3">
      <c r="A356" s="58">
        <v>4055</v>
      </c>
      <c r="B356" s="49"/>
      <c r="C356" s="40" t="s">
        <v>271</v>
      </c>
      <c r="D356" s="58"/>
      <c r="E356" s="42"/>
      <c r="F356" s="49" t="s">
        <v>823</v>
      </c>
    </row>
    <row r="357" spans="1:6" x14ac:dyDescent="0.3">
      <c r="A357" s="57">
        <v>4056</v>
      </c>
      <c r="B357" s="53">
        <v>1</v>
      </c>
      <c r="C357" s="53" t="s">
        <v>272</v>
      </c>
      <c r="D357" s="55">
        <v>2140010480</v>
      </c>
      <c r="E357" s="42" t="s">
        <v>804</v>
      </c>
      <c r="F357" s="49" t="s">
        <v>818</v>
      </c>
    </row>
    <row r="358" spans="1:6" x14ac:dyDescent="0.3">
      <c r="A358" s="58">
        <v>4057</v>
      </c>
      <c r="B358" s="49">
        <v>1</v>
      </c>
      <c r="C358" s="40" t="s">
        <v>273</v>
      </c>
      <c r="D358" s="60" t="s">
        <v>484</v>
      </c>
      <c r="E358" s="42" t="s">
        <v>805</v>
      </c>
      <c r="F358" s="62" t="s">
        <v>826</v>
      </c>
    </row>
    <row r="359" spans="1:6" x14ac:dyDescent="0.3">
      <c r="A359" s="58">
        <v>4060</v>
      </c>
      <c r="B359" s="49">
        <v>1</v>
      </c>
      <c r="C359" s="53" t="s">
        <v>274</v>
      </c>
      <c r="D359" s="55">
        <v>10389837</v>
      </c>
      <c r="E359" s="42" t="s">
        <v>806</v>
      </c>
      <c r="F359" s="49" t="s">
        <v>817</v>
      </c>
    </row>
    <row r="360" spans="1:6" x14ac:dyDescent="0.3">
      <c r="A360" s="58">
        <v>4060</v>
      </c>
      <c r="B360" s="49">
        <v>2</v>
      </c>
      <c r="C360" s="53" t="s">
        <v>274</v>
      </c>
      <c r="D360" s="55">
        <v>10389838</v>
      </c>
      <c r="E360" s="42" t="s">
        <v>807</v>
      </c>
      <c r="F360" s="49" t="s">
        <v>817</v>
      </c>
    </row>
    <row r="361" spans="1:6" x14ac:dyDescent="0.3">
      <c r="A361" s="58">
        <v>4061</v>
      </c>
      <c r="B361" s="49"/>
      <c r="C361" s="53" t="s">
        <v>275</v>
      </c>
      <c r="D361" s="55">
        <v>9250640</v>
      </c>
      <c r="E361" s="42" t="s">
        <v>808</v>
      </c>
      <c r="F361" s="49" t="s">
        <v>817</v>
      </c>
    </row>
    <row r="362" spans="1:6" x14ac:dyDescent="0.3">
      <c r="A362" s="58">
        <v>4040</v>
      </c>
      <c r="B362" s="49">
        <v>2</v>
      </c>
      <c r="C362" s="40" t="s">
        <v>256</v>
      </c>
      <c r="D362" s="68">
        <v>1261509949</v>
      </c>
      <c r="E362" s="42" t="s">
        <v>809</v>
      </c>
      <c r="F362" s="62" t="s">
        <v>820</v>
      </c>
    </row>
    <row r="363" spans="1:6" x14ac:dyDescent="0.3">
      <c r="A363" s="58">
        <v>1242</v>
      </c>
      <c r="B363" s="49">
        <v>1</v>
      </c>
      <c r="C363" s="49" t="s">
        <v>276</v>
      </c>
      <c r="D363" s="55"/>
      <c r="E363" s="69"/>
      <c r="F363" s="49" t="s">
        <v>823</v>
      </c>
    </row>
    <row r="364" spans="1:6" x14ac:dyDescent="0.3">
      <c r="A364" s="58">
        <v>1264</v>
      </c>
      <c r="B364" s="49">
        <v>1</v>
      </c>
      <c r="C364" s="49" t="s">
        <v>277</v>
      </c>
      <c r="D364" s="55">
        <v>2150283242</v>
      </c>
      <c r="E364" s="42" t="s">
        <v>810</v>
      </c>
      <c r="F364" s="49" t="s">
        <v>821</v>
      </c>
    </row>
    <row r="365" spans="1:6" x14ac:dyDescent="0.3">
      <c r="A365" s="58">
        <v>1266</v>
      </c>
      <c r="B365" s="49">
        <v>1</v>
      </c>
      <c r="C365" s="49" t="s">
        <v>278</v>
      </c>
      <c r="D365" s="55"/>
      <c r="E365" s="42"/>
      <c r="F365" s="49" t="s">
        <v>823</v>
      </c>
    </row>
    <row r="366" spans="1:6" x14ac:dyDescent="0.3">
      <c r="A366" s="58">
        <v>1267</v>
      </c>
      <c r="B366" s="49">
        <v>1</v>
      </c>
      <c r="C366" s="49" t="s">
        <v>279</v>
      </c>
      <c r="D366" s="55"/>
      <c r="E366" s="42"/>
      <c r="F366" s="49" t="s">
        <v>823</v>
      </c>
    </row>
    <row r="367" spans="1:6" x14ac:dyDescent="0.3">
      <c r="A367" s="58">
        <v>1269</v>
      </c>
      <c r="B367" s="49">
        <v>1</v>
      </c>
      <c r="C367" s="49" t="s">
        <v>280</v>
      </c>
      <c r="D367" s="55"/>
      <c r="E367" s="42"/>
      <c r="F367" s="49" t="s">
        <v>823</v>
      </c>
    </row>
    <row r="368" spans="1:6" x14ac:dyDescent="0.3">
      <c r="A368" s="58">
        <v>4062</v>
      </c>
      <c r="B368" s="49">
        <v>1</v>
      </c>
      <c r="C368" s="62" t="s">
        <v>281</v>
      </c>
      <c r="D368" s="55">
        <v>2260015052</v>
      </c>
      <c r="E368" s="42" t="s">
        <v>811</v>
      </c>
      <c r="F368" s="62" t="s">
        <v>820</v>
      </c>
    </row>
    <row r="369" spans="1:6" x14ac:dyDescent="0.3">
      <c r="A369" s="58">
        <v>1270</v>
      </c>
      <c r="B369" s="49">
        <v>1</v>
      </c>
      <c r="C369" s="62" t="s">
        <v>282</v>
      </c>
      <c r="D369" s="55">
        <v>9689628</v>
      </c>
      <c r="E369" s="42" t="s">
        <v>812</v>
      </c>
      <c r="F369" s="62" t="s">
        <v>817</v>
      </c>
    </row>
    <row r="370" spans="1:6" x14ac:dyDescent="0.3">
      <c r="A370" s="58">
        <v>1270</v>
      </c>
      <c r="B370" s="49">
        <v>2</v>
      </c>
      <c r="C370" s="62" t="s">
        <v>282</v>
      </c>
      <c r="D370" s="55">
        <v>9574988</v>
      </c>
      <c r="E370" s="42" t="s">
        <v>813</v>
      </c>
      <c r="F370" s="62" t="s">
        <v>817</v>
      </c>
    </row>
    <row r="371" spans="1:6" x14ac:dyDescent="0.3">
      <c r="A371" s="57">
        <v>1271</v>
      </c>
      <c r="B371" s="53">
        <v>1</v>
      </c>
      <c r="C371" s="53" t="s">
        <v>283</v>
      </c>
      <c r="D371" s="55">
        <v>2140017300</v>
      </c>
      <c r="E371" s="48" t="s">
        <v>814</v>
      </c>
      <c r="F371" s="40" t="s">
        <v>818</v>
      </c>
    </row>
    <row r="372" spans="1:6" x14ac:dyDescent="0.3">
      <c r="A372" s="57">
        <v>1273</v>
      </c>
      <c r="B372" s="53">
        <v>1</v>
      </c>
      <c r="C372" s="53" t="s">
        <v>284</v>
      </c>
      <c r="D372" s="55">
        <v>1142548015</v>
      </c>
      <c r="E372" s="42" t="s">
        <v>815</v>
      </c>
      <c r="F372" s="62" t="s">
        <v>818</v>
      </c>
    </row>
    <row r="373" spans="1:6" x14ac:dyDescent="0.3">
      <c r="E373" s="34"/>
      <c r="F373" s="36"/>
    </row>
    <row r="374" spans="1:6" x14ac:dyDescent="0.3">
      <c r="F374" s="37"/>
    </row>
    <row r="375" spans="1:6" x14ac:dyDescent="0.3">
      <c r="E375" s="34"/>
      <c r="F375" s="38"/>
    </row>
    <row r="376" spans="1:6" x14ac:dyDescent="0.3">
      <c r="F376" s="36"/>
    </row>
    <row r="377" spans="1:6" x14ac:dyDescent="0.3">
      <c r="F377" s="38"/>
    </row>
    <row r="378" spans="1:6" x14ac:dyDescent="0.3">
      <c r="C378" s="30"/>
      <c r="F378" s="38"/>
    </row>
    <row r="379" spans="1:6" x14ac:dyDescent="0.3">
      <c r="D379" s="33"/>
      <c r="F379" s="36"/>
    </row>
    <row r="380" spans="1:6" x14ac:dyDescent="0.3">
      <c r="F380" s="38"/>
    </row>
    <row r="383" spans="1:6" x14ac:dyDescent="0.3">
      <c r="E383" s="34"/>
    </row>
    <row r="384" spans="1:6" x14ac:dyDescent="0.3">
      <c r="E384" s="34"/>
    </row>
    <row r="385" spans="5:5" x14ac:dyDescent="0.3">
      <c r="E385" s="34"/>
    </row>
    <row r="386" spans="5:5" x14ac:dyDescent="0.3">
      <c r="E386" s="34"/>
    </row>
  </sheetData>
  <conditionalFormatting sqref="A1:B1">
    <cfRule type="duplicateValues" dxfId="11" priority="6"/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</conditionalFormatting>
  <conditionalFormatting sqref="D10">
    <cfRule type="duplicateValues" dxfId="4" priority="2"/>
  </conditionalFormatting>
  <conditionalFormatting sqref="D11 D13">
    <cfRule type="duplicateValues" dxfId="3" priority="5"/>
  </conditionalFormatting>
  <conditionalFormatting sqref="D12">
    <cfRule type="duplicateValues" dxfId="2" priority="1"/>
  </conditionalFormatting>
  <conditionalFormatting sqref="D59">
    <cfRule type="duplicateValues" dxfId="1" priority="4"/>
  </conditionalFormatting>
  <conditionalFormatting sqref="D30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of Electricity</vt:lpstr>
      <vt:lpstr>Meter No.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Zia /HMPL</dc:creator>
  <cp:lastModifiedBy>Umair Hassan</cp:lastModifiedBy>
  <dcterms:created xsi:type="dcterms:W3CDTF">2015-06-05T18:17:20Z</dcterms:created>
  <dcterms:modified xsi:type="dcterms:W3CDTF">2025-08-07T05:50:45Z</dcterms:modified>
</cp:coreProperties>
</file>