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640" windowHeight="11760" activeTab="8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i" sheetId="6" r:id="rId6"/>
    <sheet name="juli" sheetId="7" r:id="rId7"/>
    <sheet name="agt" sheetId="8" r:id="rId8"/>
    <sheet name="sept" sheetId="9" r:id="rId9"/>
  </sheets>
  <externalReferences>
    <externalReference r:id="rId10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9" i="9"/>
  <c r="T46"/>
  <c r="T35"/>
  <c r="T32"/>
  <c r="T25"/>
  <c r="T19" l="1"/>
  <c r="R66"/>
  <c r="R63"/>
  <c r="S63" s="1"/>
  <c r="R51"/>
  <c r="R41"/>
  <c r="P73"/>
  <c r="P70"/>
  <c r="R70" s="1"/>
  <c r="S70" s="1"/>
  <c r="P66"/>
  <c r="P62"/>
  <c r="P57"/>
  <c r="R57" s="1"/>
  <c r="S57" s="1"/>
  <c r="P54"/>
  <c r="P51"/>
  <c r="P48"/>
  <c r="P44"/>
  <c r="R44" s="1"/>
  <c r="P39"/>
  <c r="P34"/>
  <c r="P31"/>
  <c r="P22"/>
  <c r="R22" s="1"/>
  <c r="S22" s="1"/>
  <c r="V75"/>
  <c r="U75"/>
  <c r="Q74"/>
  <c r="R73"/>
  <c r="S73" s="1"/>
  <c r="Q73"/>
  <c r="M73"/>
  <c r="Q71"/>
  <c r="M70"/>
  <c r="M69"/>
  <c r="M15" s="1"/>
  <c r="R67"/>
  <c r="S67" s="1"/>
  <c r="Q67"/>
  <c r="M66"/>
  <c r="Q66" s="1"/>
  <c r="T64"/>
  <c r="S64"/>
  <c r="R64"/>
  <c r="Q64"/>
  <c r="T63"/>
  <c r="Q63"/>
  <c r="R62"/>
  <c r="S62" s="1"/>
  <c r="M62"/>
  <c r="Q60"/>
  <c r="S59"/>
  <c r="R59"/>
  <c r="Q59"/>
  <c r="Q58"/>
  <c r="M57"/>
  <c r="Q55"/>
  <c r="R54"/>
  <c r="S54" s="1"/>
  <c r="Q54"/>
  <c r="M54"/>
  <c r="R52"/>
  <c r="M51"/>
  <c r="R49"/>
  <c r="S49" s="1"/>
  <c r="Q49"/>
  <c r="M48"/>
  <c r="Q48" s="1"/>
  <c r="R46"/>
  <c r="S46" s="1"/>
  <c r="Q46"/>
  <c r="Q45"/>
  <c r="M44"/>
  <c r="R42"/>
  <c r="R40"/>
  <c r="R39"/>
  <c r="M39"/>
  <c r="T37"/>
  <c r="R37"/>
  <c r="S37" s="1"/>
  <c r="Q37"/>
  <c r="R36"/>
  <c r="S36" s="1"/>
  <c r="Q36"/>
  <c r="Q35"/>
  <c r="R34"/>
  <c r="S34" s="1"/>
  <c r="Q34"/>
  <c r="M34"/>
  <c r="R32"/>
  <c r="S32" s="1"/>
  <c r="Q32"/>
  <c r="R31"/>
  <c r="M31"/>
  <c r="Q31" s="1"/>
  <c r="R29"/>
  <c r="S29" s="1"/>
  <c r="Q29"/>
  <c r="R28"/>
  <c r="S28" s="1"/>
  <c r="Q28"/>
  <c r="R27"/>
  <c r="S27" s="1"/>
  <c r="Q27"/>
  <c r="R26"/>
  <c r="S26" s="1"/>
  <c r="Q26"/>
  <c r="Q25"/>
  <c r="R24"/>
  <c r="S24" s="1"/>
  <c r="Q24"/>
  <c r="R23"/>
  <c r="M22"/>
  <c r="M21" s="1"/>
  <c r="M14" s="1"/>
  <c r="R19"/>
  <c r="S19" s="1"/>
  <c r="Q19"/>
  <c r="R18"/>
  <c r="P18"/>
  <c r="P17" s="1"/>
  <c r="R17" s="1"/>
  <c r="M18"/>
  <c r="T25" i="8"/>
  <c r="R25" i="9" l="1"/>
  <c r="S25" s="1"/>
  <c r="R74"/>
  <c r="S74" s="1"/>
  <c r="R35"/>
  <c r="S35" s="1"/>
  <c r="R48"/>
  <c r="R60"/>
  <c r="S60" s="1"/>
  <c r="R71"/>
  <c r="S71" s="1"/>
  <c r="R45"/>
  <c r="S45" s="1"/>
  <c r="R55"/>
  <c r="S55" s="1"/>
  <c r="R58"/>
  <c r="S58" s="1"/>
  <c r="N75"/>
  <c r="Q44"/>
  <c r="Q57"/>
  <c r="Q70"/>
  <c r="S44"/>
  <c r="P21"/>
  <c r="P69"/>
  <c r="Q69" s="1"/>
  <c r="Q18"/>
  <c r="P15"/>
  <c r="S48"/>
  <c r="S66"/>
  <c r="M17"/>
  <c r="M13" s="1"/>
  <c r="M12" s="1"/>
  <c r="P13"/>
  <c r="Q22"/>
  <c r="Q62"/>
  <c r="S18"/>
  <c r="S31"/>
  <c r="T49" i="8"/>
  <c r="T46"/>
  <c r="T36"/>
  <c r="T35"/>
  <c r="T32"/>
  <c r="T19"/>
  <c r="R74"/>
  <c r="S74" s="1"/>
  <c r="R66"/>
  <c r="S66" s="1"/>
  <c r="R63"/>
  <c r="S63" s="1"/>
  <c r="R60"/>
  <c r="S60" s="1"/>
  <c r="R58"/>
  <c r="S58" s="1"/>
  <c r="R55"/>
  <c r="S55" s="1"/>
  <c r="R52"/>
  <c r="R51"/>
  <c r="R48"/>
  <c r="R42"/>
  <c r="R41"/>
  <c r="R37"/>
  <c r="S37" s="1"/>
  <c r="R32"/>
  <c r="S32" s="1"/>
  <c r="R29"/>
  <c r="S29" s="1"/>
  <c r="R27"/>
  <c r="S27" s="1"/>
  <c r="R25"/>
  <c r="S25" s="1"/>
  <c r="P73"/>
  <c r="P70"/>
  <c r="R70" s="1"/>
  <c r="S70" s="1"/>
  <c r="P66"/>
  <c r="P62"/>
  <c r="P57"/>
  <c r="Q57" s="1"/>
  <c r="P54"/>
  <c r="R54" s="1"/>
  <c r="S54" s="1"/>
  <c r="P51"/>
  <c r="P48"/>
  <c r="P44"/>
  <c r="P39"/>
  <c r="P34"/>
  <c r="P31"/>
  <c r="P22"/>
  <c r="P21" s="1"/>
  <c r="P19"/>
  <c r="V75"/>
  <c r="U75"/>
  <c r="N75"/>
  <c r="Q74"/>
  <c r="S73"/>
  <c r="R73"/>
  <c r="M73"/>
  <c r="Q73" s="1"/>
  <c r="S71"/>
  <c r="R71"/>
  <c r="Q71"/>
  <c r="Q70"/>
  <c r="M70"/>
  <c r="R67"/>
  <c r="S67" s="1"/>
  <c r="Q67"/>
  <c r="Q66"/>
  <c r="M66"/>
  <c r="T64"/>
  <c r="R64"/>
  <c r="S64" s="1"/>
  <c r="Q64"/>
  <c r="T63"/>
  <c r="Q63"/>
  <c r="R62"/>
  <c r="S62" s="1"/>
  <c r="Q62"/>
  <c r="M62"/>
  <c r="Q60"/>
  <c r="R59"/>
  <c r="S59" s="1"/>
  <c r="Q59"/>
  <c r="Q58"/>
  <c r="M57"/>
  <c r="Q55"/>
  <c r="M54"/>
  <c r="M51"/>
  <c r="R49"/>
  <c r="S49" s="1"/>
  <c r="Q49"/>
  <c r="M48"/>
  <c r="Q48" s="1"/>
  <c r="R46"/>
  <c r="S46" s="1"/>
  <c r="Q46"/>
  <c r="S45"/>
  <c r="R45"/>
  <c r="Q45"/>
  <c r="R44"/>
  <c r="S44" s="1"/>
  <c r="M44"/>
  <c r="R40"/>
  <c r="R39"/>
  <c r="M39"/>
  <c r="T37"/>
  <c r="Q37"/>
  <c r="R36"/>
  <c r="S36" s="1"/>
  <c r="Q36"/>
  <c r="R35"/>
  <c r="S35" s="1"/>
  <c r="Q35"/>
  <c r="R34"/>
  <c r="M34"/>
  <c r="Q34" s="1"/>
  <c r="Q32"/>
  <c r="R31"/>
  <c r="M31"/>
  <c r="Q31" s="1"/>
  <c r="Q29"/>
  <c r="R28"/>
  <c r="S28" s="1"/>
  <c r="Q28"/>
  <c r="Q27"/>
  <c r="R26"/>
  <c r="S26" s="1"/>
  <c r="Q26"/>
  <c r="Q25"/>
  <c r="S24"/>
  <c r="R24"/>
  <c r="Q24"/>
  <c r="R23"/>
  <c r="M22"/>
  <c r="R19"/>
  <c r="S19" s="1"/>
  <c r="Q19"/>
  <c r="P18"/>
  <c r="Q18" s="1"/>
  <c r="M18"/>
  <c r="R69" i="9" l="1"/>
  <c r="S69" s="1"/>
  <c r="P14"/>
  <c r="P12" s="1"/>
  <c r="R21"/>
  <c r="S21" s="1"/>
  <c r="Q21"/>
  <c r="M10"/>
  <c r="M75"/>
  <c r="O75" s="1"/>
  <c r="Q15"/>
  <c r="R15"/>
  <c r="S15" s="1"/>
  <c r="Q13"/>
  <c r="R13"/>
  <c r="S13" s="1"/>
  <c r="Q17"/>
  <c r="S17"/>
  <c r="R18" i="8"/>
  <c r="S18" s="1"/>
  <c r="P14"/>
  <c r="R14" s="1"/>
  <c r="R21"/>
  <c r="R22"/>
  <c r="S22" s="1"/>
  <c r="P69"/>
  <c r="P17"/>
  <c r="P13" s="1"/>
  <c r="Q54"/>
  <c r="Q44"/>
  <c r="R57"/>
  <c r="S57" s="1"/>
  <c r="Q22"/>
  <c r="M17"/>
  <c r="M13" s="1"/>
  <c r="R17"/>
  <c r="M69"/>
  <c r="S31"/>
  <c r="S34"/>
  <c r="S48"/>
  <c r="M21"/>
  <c r="T64" i="7"/>
  <c r="T49"/>
  <c r="T46"/>
  <c r="T36"/>
  <c r="T35"/>
  <c r="T32"/>
  <c r="T19"/>
  <c r="V75"/>
  <c r="U75"/>
  <c r="N75"/>
  <c r="R74"/>
  <c r="S74" s="1"/>
  <c r="Q74"/>
  <c r="R73"/>
  <c r="S73" s="1"/>
  <c r="M73"/>
  <c r="Q73" s="1"/>
  <c r="R71"/>
  <c r="S71" s="1"/>
  <c r="Q71"/>
  <c r="R70"/>
  <c r="S70" s="1"/>
  <c r="M70"/>
  <c r="Q70" s="1"/>
  <c r="R69"/>
  <c r="R67"/>
  <c r="S67" s="1"/>
  <c r="Q67"/>
  <c r="R66"/>
  <c r="S66" s="1"/>
  <c r="Q66"/>
  <c r="M66"/>
  <c r="R64"/>
  <c r="S64" s="1"/>
  <c r="Q64"/>
  <c r="T63"/>
  <c r="R63"/>
  <c r="S63" s="1"/>
  <c r="Q63"/>
  <c r="R62"/>
  <c r="S62" s="1"/>
  <c r="Q62"/>
  <c r="M62"/>
  <c r="R60"/>
  <c r="S60" s="1"/>
  <c r="Q60"/>
  <c r="R59"/>
  <c r="S59" s="1"/>
  <c r="Q59"/>
  <c r="R58"/>
  <c r="S58" s="1"/>
  <c r="Q58"/>
  <c r="R57"/>
  <c r="S57" s="1"/>
  <c r="Q57"/>
  <c r="M57"/>
  <c r="R55"/>
  <c r="S55" s="1"/>
  <c r="Q55"/>
  <c r="R54"/>
  <c r="S54" s="1"/>
  <c r="Q54"/>
  <c r="M54"/>
  <c r="R52"/>
  <c r="R51"/>
  <c r="M51"/>
  <c r="R49"/>
  <c r="S49" s="1"/>
  <c r="Q49"/>
  <c r="R48"/>
  <c r="M48"/>
  <c r="R46"/>
  <c r="S46" s="1"/>
  <c r="Q46"/>
  <c r="R45"/>
  <c r="S45" s="1"/>
  <c r="Q45"/>
  <c r="R44"/>
  <c r="S44" s="1"/>
  <c r="M44"/>
  <c r="Q44" s="1"/>
  <c r="R42"/>
  <c r="R41"/>
  <c r="R40"/>
  <c r="R39"/>
  <c r="M39"/>
  <c r="T37"/>
  <c r="R37"/>
  <c r="S37" s="1"/>
  <c r="Q37"/>
  <c r="R36"/>
  <c r="S36" s="1"/>
  <c r="Q36"/>
  <c r="R35"/>
  <c r="S35" s="1"/>
  <c r="Q35"/>
  <c r="R34"/>
  <c r="M34"/>
  <c r="R32"/>
  <c r="S32" s="1"/>
  <c r="Q32"/>
  <c r="R31"/>
  <c r="M31"/>
  <c r="R29"/>
  <c r="S29" s="1"/>
  <c r="Q29"/>
  <c r="R28"/>
  <c r="S28" s="1"/>
  <c r="Q28"/>
  <c r="R27"/>
  <c r="S27" s="1"/>
  <c r="Q27"/>
  <c r="R26"/>
  <c r="S26" s="1"/>
  <c r="Q26"/>
  <c r="S25"/>
  <c r="R25"/>
  <c r="Q25"/>
  <c r="R24"/>
  <c r="S24" s="1"/>
  <c r="Q24"/>
  <c r="R23"/>
  <c r="R22"/>
  <c r="S22" s="1"/>
  <c r="M22"/>
  <c r="Q22" s="1"/>
  <c r="R21"/>
  <c r="S19"/>
  <c r="R19"/>
  <c r="Q19"/>
  <c r="P18"/>
  <c r="Q18" s="1"/>
  <c r="M18"/>
  <c r="M17" s="1"/>
  <c r="M13" s="1"/>
  <c r="P17"/>
  <c r="R17" s="1"/>
  <c r="P15"/>
  <c r="R15" s="1"/>
  <c r="R14"/>
  <c r="P14"/>
  <c r="Q14" i="9" l="1"/>
  <c r="R14"/>
  <c r="S14" s="1"/>
  <c r="R12"/>
  <c r="Q12"/>
  <c r="P10"/>
  <c r="Q10" s="1"/>
  <c r="P75"/>
  <c r="R69" i="8"/>
  <c r="S69" s="1"/>
  <c r="P15"/>
  <c r="R15" s="1"/>
  <c r="R13"/>
  <c r="S13" s="1"/>
  <c r="Q13"/>
  <c r="M15"/>
  <c r="Q69"/>
  <c r="M14"/>
  <c r="S21"/>
  <c r="Q21"/>
  <c r="M12"/>
  <c r="S17"/>
  <c r="Q17"/>
  <c r="S48" i="7"/>
  <c r="S34"/>
  <c r="R18"/>
  <c r="S18" s="1"/>
  <c r="S31"/>
  <c r="S17"/>
  <c r="P13"/>
  <c r="Q17"/>
  <c r="M21"/>
  <c r="Q31"/>
  <c r="Q34"/>
  <c r="Q48"/>
  <c r="M69"/>
  <c r="T49" i="6"/>
  <c r="T46"/>
  <c r="T36"/>
  <c r="T35"/>
  <c r="T32"/>
  <c r="T19"/>
  <c r="V75"/>
  <c r="U75"/>
  <c r="N75"/>
  <c r="S74"/>
  <c r="R74"/>
  <c r="Q74"/>
  <c r="R73"/>
  <c r="S73" s="1"/>
  <c r="M73"/>
  <c r="Q73" s="1"/>
  <c r="R71"/>
  <c r="S71" s="1"/>
  <c r="Q71"/>
  <c r="R70"/>
  <c r="S70" s="1"/>
  <c r="M70"/>
  <c r="Q70" s="1"/>
  <c r="R69"/>
  <c r="R67"/>
  <c r="S67" s="1"/>
  <c r="Q67"/>
  <c r="R66"/>
  <c r="S66" s="1"/>
  <c r="Q66"/>
  <c r="M66"/>
  <c r="R64"/>
  <c r="S64" s="1"/>
  <c r="Q64"/>
  <c r="T63"/>
  <c r="R63"/>
  <c r="S63" s="1"/>
  <c r="Q63"/>
  <c r="R62"/>
  <c r="S62" s="1"/>
  <c r="Q62"/>
  <c r="M62"/>
  <c r="R60"/>
  <c r="S60" s="1"/>
  <c r="Q60"/>
  <c r="R59"/>
  <c r="S59" s="1"/>
  <c r="Q59"/>
  <c r="R58"/>
  <c r="S58" s="1"/>
  <c r="Q58"/>
  <c r="R57"/>
  <c r="S57" s="1"/>
  <c r="Q57"/>
  <c r="M57"/>
  <c r="R55"/>
  <c r="S55" s="1"/>
  <c r="Q55"/>
  <c r="R54"/>
  <c r="S54" s="1"/>
  <c r="Q54"/>
  <c r="M54"/>
  <c r="R52"/>
  <c r="R51"/>
  <c r="M51"/>
  <c r="R49"/>
  <c r="S49" s="1"/>
  <c r="Q49"/>
  <c r="R48"/>
  <c r="M48"/>
  <c r="S48" s="1"/>
  <c r="R46"/>
  <c r="S46" s="1"/>
  <c r="Q46"/>
  <c r="S45"/>
  <c r="R45"/>
  <c r="Q45"/>
  <c r="R44"/>
  <c r="S44" s="1"/>
  <c r="M44"/>
  <c r="Q44" s="1"/>
  <c r="R42"/>
  <c r="R41"/>
  <c r="R40"/>
  <c r="R39"/>
  <c r="M39"/>
  <c r="T37"/>
  <c r="R37"/>
  <c r="S37" s="1"/>
  <c r="Q37"/>
  <c r="R36"/>
  <c r="S36" s="1"/>
  <c r="Q36"/>
  <c r="R35"/>
  <c r="S35" s="1"/>
  <c r="Q35"/>
  <c r="R34"/>
  <c r="M34"/>
  <c r="R32"/>
  <c r="S32" s="1"/>
  <c r="Q32"/>
  <c r="R31"/>
  <c r="M31"/>
  <c r="R29"/>
  <c r="S29" s="1"/>
  <c r="Q29"/>
  <c r="R28"/>
  <c r="S28" s="1"/>
  <c r="Q28"/>
  <c r="R27"/>
  <c r="S27" s="1"/>
  <c r="Q27"/>
  <c r="R26"/>
  <c r="S26" s="1"/>
  <c r="Q26"/>
  <c r="R25"/>
  <c r="S25" s="1"/>
  <c r="Q25"/>
  <c r="R24"/>
  <c r="S24" s="1"/>
  <c r="Q24"/>
  <c r="R23"/>
  <c r="R22"/>
  <c r="S22" s="1"/>
  <c r="M22"/>
  <c r="Q22" s="1"/>
  <c r="R21"/>
  <c r="R19"/>
  <c r="S19" s="1"/>
  <c r="Q19"/>
  <c r="P18"/>
  <c r="Q18" s="1"/>
  <c r="M18"/>
  <c r="M17" s="1"/>
  <c r="M13" s="1"/>
  <c r="P17"/>
  <c r="R17" s="1"/>
  <c r="P15"/>
  <c r="R15" s="1"/>
  <c r="P14"/>
  <c r="R14" s="1"/>
  <c r="R10" i="9" l="1"/>
  <c r="S10" s="1"/>
  <c r="S12"/>
  <c r="R75"/>
  <c r="S75" s="1"/>
  <c r="Q75"/>
  <c r="P12" i="8"/>
  <c r="P75" s="1"/>
  <c r="M10"/>
  <c r="M75"/>
  <c r="O75" s="1"/>
  <c r="Q14"/>
  <c r="S14"/>
  <c r="P10"/>
  <c r="R12"/>
  <c r="Q15"/>
  <c r="S15"/>
  <c r="R13" i="7"/>
  <c r="S13" s="1"/>
  <c r="Q13"/>
  <c r="P12"/>
  <c r="Q69"/>
  <c r="M15"/>
  <c r="S69"/>
  <c r="S21"/>
  <c r="Q21"/>
  <c r="M14"/>
  <c r="R18" i="6"/>
  <c r="S31"/>
  <c r="S34"/>
  <c r="S17"/>
  <c r="P13"/>
  <c r="Q17"/>
  <c r="M21"/>
  <c r="Q31"/>
  <c r="Q34"/>
  <c r="Q48"/>
  <c r="M69"/>
  <c r="S18"/>
  <c r="Q12" i="8" l="1"/>
  <c r="R75"/>
  <c r="S75" s="1"/>
  <c r="Q75"/>
  <c r="Q10"/>
  <c r="R10"/>
  <c r="S10" s="1"/>
  <c r="S12"/>
  <c r="P10" i="7"/>
  <c r="P75"/>
  <c r="R12"/>
  <c r="Q12"/>
  <c r="Q14"/>
  <c r="S14"/>
  <c r="M12"/>
  <c r="Q15"/>
  <c r="S15"/>
  <c r="S21" i="6"/>
  <c r="Q21"/>
  <c r="M14"/>
  <c r="Q69"/>
  <c r="M15"/>
  <c r="S69"/>
  <c r="R13"/>
  <c r="S13" s="1"/>
  <c r="P12"/>
  <c r="Q13"/>
  <c r="M75" i="7" l="1"/>
  <c r="O75" s="1"/>
  <c r="M10"/>
  <c r="Q10" s="1"/>
  <c r="S12"/>
  <c r="R10"/>
  <c r="S10" s="1"/>
  <c r="Q75"/>
  <c r="R75"/>
  <c r="S75" s="1"/>
  <c r="P10" i="6"/>
  <c r="P75"/>
  <c r="R12"/>
  <c r="Q12"/>
  <c r="Q14"/>
  <c r="S14"/>
  <c r="M12"/>
  <c r="Q15"/>
  <c r="S15"/>
  <c r="M75" l="1"/>
  <c r="O75" s="1"/>
  <c r="M10"/>
  <c r="Q10" s="1"/>
  <c r="S12"/>
  <c r="R10"/>
  <c r="S10" s="1"/>
  <c r="Q75"/>
  <c r="R75"/>
  <c r="S75" s="1"/>
  <c r="T36" i="5" l="1"/>
  <c r="T35"/>
  <c r="T46"/>
  <c r="V75"/>
  <c r="U75"/>
  <c r="N75"/>
  <c r="R74"/>
  <c r="S74" s="1"/>
  <c r="Q74"/>
  <c r="R73"/>
  <c r="S73" s="1"/>
  <c r="M73"/>
  <c r="R71"/>
  <c r="S71" s="1"/>
  <c r="Q71"/>
  <c r="M70"/>
  <c r="M69" s="1"/>
  <c r="M15" s="1"/>
  <c r="R67"/>
  <c r="S67" s="1"/>
  <c r="Q67"/>
  <c r="Q66"/>
  <c r="R66"/>
  <c r="S66" s="1"/>
  <c r="M66"/>
  <c r="R64"/>
  <c r="S64" s="1"/>
  <c r="Q64"/>
  <c r="T63"/>
  <c r="R63"/>
  <c r="S63" s="1"/>
  <c r="Q63"/>
  <c r="Q62"/>
  <c r="R62"/>
  <c r="S62" s="1"/>
  <c r="M62"/>
  <c r="R60"/>
  <c r="S60" s="1"/>
  <c r="Q60"/>
  <c r="R59"/>
  <c r="S59" s="1"/>
  <c r="Q59"/>
  <c r="R58"/>
  <c r="S58" s="1"/>
  <c r="Q58"/>
  <c r="R57"/>
  <c r="M57"/>
  <c r="Q57" s="1"/>
  <c r="S55"/>
  <c r="R55"/>
  <c r="Q55"/>
  <c r="R54"/>
  <c r="Q54"/>
  <c r="M54"/>
  <c r="R52"/>
  <c r="R51"/>
  <c r="M51"/>
  <c r="T49"/>
  <c r="R49"/>
  <c r="S49" s="1"/>
  <c r="Q49"/>
  <c r="R48"/>
  <c r="S48" s="1"/>
  <c r="M48"/>
  <c r="R46"/>
  <c r="S46" s="1"/>
  <c r="Q46"/>
  <c r="R45"/>
  <c r="S45" s="1"/>
  <c r="Q45"/>
  <c r="R44"/>
  <c r="S44" s="1"/>
  <c r="M44"/>
  <c r="R42"/>
  <c r="R41"/>
  <c r="R40"/>
  <c r="R39"/>
  <c r="M39"/>
  <c r="T37"/>
  <c r="R37"/>
  <c r="S37" s="1"/>
  <c r="Q37"/>
  <c r="R36"/>
  <c r="S36" s="1"/>
  <c r="Q36"/>
  <c r="R35"/>
  <c r="S35" s="1"/>
  <c r="Q35"/>
  <c r="R34"/>
  <c r="Q34"/>
  <c r="M34"/>
  <c r="S34" s="1"/>
  <c r="T32"/>
  <c r="R32"/>
  <c r="S32" s="1"/>
  <c r="Q32"/>
  <c r="R31"/>
  <c r="M31"/>
  <c r="R29"/>
  <c r="S29" s="1"/>
  <c r="Q29"/>
  <c r="R28"/>
  <c r="S28" s="1"/>
  <c r="Q28"/>
  <c r="R27"/>
  <c r="S27" s="1"/>
  <c r="Q27"/>
  <c r="R26"/>
  <c r="S26" s="1"/>
  <c r="Q26"/>
  <c r="S25"/>
  <c r="R25"/>
  <c r="Q25"/>
  <c r="R24"/>
  <c r="S24" s="1"/>
  <c r="Q24"/>
  <c r="R23"/>
  <c r="R22"/>
  <c r="Q22"/>
  <c r="M22"/>
  <c r="M21" s="1"/>
  <c r="M14" s="1"/>
  <c r="P14"/>
  <c r="T19"/>
  <c r="R19"/>
  <c r="S19" s="1"/>
  <c r="Q19"/>
  <c r="Q18"/>
  <c r="P18"/>
  <c r="P17" s="1"/>
  <c r="M18"/>
  <c r="M17" s="1"/>
  <c r="M13" s="1"/>
  <c r="M12" s="1"/>
  <c r="S31" l="1"/>
  <c r="S54"/>
  <c r="Q17"/>
  <c r="P13"/>
  <c r="R17"/>
  <c r="S17" s="1"/>
  <c r="R14"/>
  <c r="S14" s="1"/>
  <c r="Q14"/>
  <c r="Q69"/>
  <c r="R69"/>
  <c r="S69" s="1"/>
  <c r="P15"/>
  <c r="M75"/>
  <c r="O75" s="1"/>
  <c r="M10"/>
  <c r="S22"/>
  <c r="R18"/>
  <c r="S18" s="1"/>
  <c r="Q21"/>
  <c r="Q31"/>
  <c r="Q44"/>
  <c r="Q48"/>
  <c r="Q70"/>
  <c r="Q73"/>
  <c r="S57"/>
  <c r="R21"/>
  <c r="S21" s="1"/>
  <c r="R70"/>
  <c r="S70" s="1"/>
  <c r="T49" i="4"/>
  <c r="T46"/>
  <c r="T36"/>
  <c r="T35"/>
  <c r="T32"/>
  <c r="T19"/>
  <c r="P73"/>
  <c r="P70"/>
  <c r="P69" s="1"/>
  <c r="P66"/>
  <c r="P62"/>
  <c r="P57"/>
  <c r="P54"/>
  <c r="P51"/>
  <c r="P48"/>
  <c r="P44"/>
  <c r="P39"/>
  <c r="P34"/>
  <c r="P22"/>
  <c r="P21" s="1"/>
  <c r="P12" i="5" l="1"/>
  <c r="R13"/>
  <c r="S13" s="1"/>
  <c r="Q13"/>
  <c r="R15"/>
  <c r="S15" s="1"/>
  <c r="Q15"/>
  <c r="V75" i="4"/>
  <c r="U75"/>
  <c r="N75"/>
  <c r="R74"/>
  <c r="S74" s="1"/>
  <c r="Q74"/>
  <c r="R73"/>
  <c r="S73" s="1"/>
  <c r="M73"/>
  <c r="R71"/>
  <c r="S71" s="1"/>
  <c r="Q71"/>
  <c r="M70"/>
  <c r="M69" s="1"/>
  <c r="M15" s="1"/>
  <c r="R67"/>
  <c r="S67" s="1"/>
  <c r="Q67"/>
  <c r="Q66"/>
  <c r="R66"/>
  <c r="S66" s="1"/>
  <c r="M66"/>
  <c r="R64"/>
  <c r="S64" s="1"/>
  <c r="Q64"/>
  <c r="T63"/>
  <c r="R63"/>
  <c r="S63" s="1"/>
  <c r="Q63"/>
  <c r="Q62"/>
  <c r="R62"/>
  <c r="S62" s="1"/>
  <c r="M62"/>
  <c r="R60"/>
  <c r="S60" s="1"/>
  <c r="Q60"/>
  <c r="R59"/>
  <c r="S59" s="1"/>
  <c r="Q59"/>
  <c r="R58"/>
  <c r="S58" s="1"/>
  <c r="Q58"/>
  <c r="R57"/>
  <c r="M57"/>
  <c r="S57" s="1"/>
  <c r="R55"/>
  <c r="S55" s="1"/>
  <c r="Q55"/>
  <c r="R54"/>
  <c r="M54"/>
  <c r="Q54" s="1"/>
  <c r="R52"/>
  <c r="R51"/>
  <c r="M51"/>
  <c r="S49"/>
  <c r="R49"/>
  <c r="Q49"/>
  <c r="R48"/>
  <c r="S48" s="1"/>
  <c r="M48"/>
  <c r="R46"/>
  <c r="S46" s="1"/>
  <c r="Q46"/>
  <c r="S45"/>
  <c r="R45"/>
  <c r="Q45"/>
  <c r="R44"/>
  <c r="S44" s="1"/>
  <c r="M44"/>
  <c r="R42"/>
  <c r="R41"/>
  <c r="R40"/>
  <c r="R39"/>
  <c r="M39"/>
  <c r="T37"/>
  <c r="R37"/>
  <c r="S37" s="1"/>
  <c r="Q37"/>
  <c r="R36"/>
  <c r="S36" s="1"/>
  <c r="Q36"/>
  <c r="R35"/>
  <c r="S35" s="1"/>
  <c r="Q35"/>
  <c r="R34"/>
  <c r="M34"/>
  <c r="Q34" s="1"/>
  <c r="R32"/>
  <c r="S32" s="1"/>
  <c r="Q32"/>
  <c r="R31"/>
  <c r="M31"/>
  <c r="R29"/>
  <c r="S29" s="1"/>
  <c r="Q29"/>
  <c r="R28"/>
  <c r="S28" s="1"/>
  <c r="Q28"/>
  <c r="R27"/>
  <c r="S27" s="1"/>
  <c r="Q27"/>
  <c r="R26"/>
  <c r="S26" s="1"/>
  <c r="Q26"/>
  <c r="R25"/>
  <c r="S25" s="1"/>
  <c r="Q25"/>
  <c r="S24"/>
  <c r="R24"/>
  <c r="Q24"/>
  <c r="R23"/>
  <c r="R22"/>
  <c r="M22"/>
  <c r="M21" s="1"/>
  <c r="M14" s="1"/>
  <c r="R21"/>
  <c r="S21" s="1"/>
  <c r="R19"/>
  <c r="S19" s="1"/>
  <c r="Q19"/>
  <c r="P18"/>
  <c r="P17" s="1"/>
  <c r="M18"/>
  <c r="M17" s="1"/>
  <c r="M13" s="1"/>
  <c r="M12" s="1"/>
  <c r="Q12" i="5" l="1"/>
  <c r="R12"/>
  <c r="P75"/>
  <c r="P10"/>
  <c r="Q10" s="1"/>
  <c r="Q18" i="4"/>
  <c r="S31"/>
  <c r="Q69"/>
  <c r="R69"/>
  <c r="S69" s="1"/>
  <c r="P15"/>
  <c r="M75"/>
  <c r="O75" s="1"/>
  <c r="M10"/>
  <c r="Q17"/>
  <c r="P13"/>
  <c r="R17"/>
  <c r="S17" s="1"/>
  <c r="P14"/>
  <c r="S54"/>
  <c r="R18"/>
  <c r="S18" s="1"/>
  <c r="Q21"/>
  <c r="Q31"/>
  <c r="Q44"/>
  <c r="Q48"/>
  <c r="Q70"/>
  <c r="Q73"/>
  <c r="S34"/>
  <c r="Q22"/>
  <c r="Q57"/>
  <c r="R70"/>
  <c r="S70" s="1"/>
  <c r="S22"/>
  <c r="T63" i="3"/>
  <c r="T49"/>
  <c r="T46"/>
  <c r="T37"/>
  <c r="T36"/>
  <c r="T35"/>
  <c r="T32"/>
  <c r="T19"/>
  <c r="P73"/>
  <c r="P70"/>
  <c r="P69" s="1"/>
  <c r="P66"/>
  <c r="Q66" s="1"/>
  <c r="P62"/>
  <c r="P57"/>
  <c r="P54"/>
  <c r="P51"/>
  <c r="R51" s="1"/>
  <c r="P48"/>
  <c r="P44"/>
  <c r="P39"/>
  <c r="P34"/>
  <c r="Q34" s="1"/>
  <c r="P22"/>
  <c r="P21" s="1"/>
  <c r="P14" s="1"/>
  <c r="R64"/>
  <c r="S64" s="1"/>
  <c r="R54"/>
  <c r="R49"/>
  <c r="S49" s="1"/>
  <c r="R46"/>
  <c r="S46" s="1"/>
  <c r="R42"/>
  <c r="R34"/>
  <c r="S34" s="1"/>
  <c r="R31"/>
  <c r="S31" s="1"/>
  <c r="R28"/>
  <c r="S28" s="1"/>
  <c r="R24"/>
  <c r="S24" s="1"/>
  <c r="R18"/>
  <c r="V75"/>
  <c r="U75"/>
  <c r="N75"/>
  <c r="R74"/>
  <c r="S74" s="1"/>
  <c r="Q74"/>
  <c r="R73"/>
  <c r="S73" s="1"/>
  <c r="M73"/>
  <c r="R71"/>
  <c r="S71" s="1"/>
  <c r="Q71"/>
  <c r="M70"/>
  <c r="M69"/>
  <c r="R67"/>
  <c r="S67" s="1"/>
  <c r="Q67"/>
  <c r="M66"/>
  <c r="Q64"/>
  <c r="R63"/>
  <c r="S63" s="1"/>
  <c r="Q63"/>
  <c r="Q62"/>
  <c r="M62"/>
  <c r="R60"/>
  <c r="S60" s="1"/>
  <c r="Q60"/>
  <c r="R59"/>
  <c r="S59" s="1"/>
  <c r="Q59"/>
  <c r="R58"/>
  <c r="S58" s="1"/>
  <c r="Q58"/>
  <c r="R57"/>
  <c r="M57"/>
  <c r="R55"/>
  <c r="S55" s="1"/>
  <c r="Q55"/>
  <c r="M54"/>
  <c r="Q54" s="1"/>
  <c r="R52"/>
  <c r="M51"/>
  <c r="Q49"/>
  <c r="R48"/>
  <c r="S48" s="1"/>
  <c r="M48"/>
  <c r="Q46"/>
  <c r="R45"/>
  <c r="S45" s="1"/>
  <c r="Q45"/>
  <c r="R44"/>
  <c r="S44" s="1"/>
  <c r="M44"/>
  <c r="R41"/>
  <c r="R40"/>
  <c r="M39"/>
  <c r="R37"/>
  <c r="S37" s="1"/>
  <c r="Q37"/>
  <c r="R36"/>
  <c r="S36" s="1"/>
  <c r="Q36"/>
  <c r="R35"/>
  <c r="S35" s="1"/>
  <c r="Q35"/>
  <c r="M34"/>
  <c r="R32"/>
  <c r="S32" s="1"/>
  <c r="Q32"/>
  <c r="Q31"/>
  <c r="M31"/>
  <c r="Q29"/>
  <c r="R29"/>
  <c r="S29" s="1"/>
  <c r="Q28"/>
  <c r="R27"/>
  <c r="S27" s="1"/>
  <c r="Q27"/>
  <c r="R26"/>
  <c r="S26" s="1"/>
  <c r="Q26"/>
  <c r="R25"/>
  <c r="S25" s="1"/>
  <c r="Q25"/>
  <c r="Q24"/>
  <c r="R23"/>
  <c r="R22"/>
  <c r="S22" s="1"/>
  <c r="M22"/>
  <c r="M21" s="1"/>
  <c r="M14" s="1"/>
  <c r="R19"/>
  <c r="S19" s="1"/>
  <c r="Q19"/>
  <c r="Q18"/>
  <c r="P18"/>
  <c r="M18"/>
  <c r="P17"/>
  <c r="M15"/>
  <c r="P73" i="2"/>
  <c r="P70"/>
  <c r="P69" s="1"/>
  <c r="P66"/>
  <c r="R66" s="1"/>
  <c r="S66" s="1"/>
  <c r="P62"/>
  <c r="R62" s="1"/>
  <c r="S62" s="1"/>
  <c r="P57"/>
  <c r="R57" s="1"/>
  <c r="P54"/>
  <c r="P51"/>
  <c r="R51" s="1"/>
  <c r="P48"/>
  <c r="Q48" s="1"/>
  <c r="P44"/>
  <c r="P39"/>
  <c r="P34"/>
  <c r="R34" s="1"/>
  <c r="S34" s="1"/>
  <c r="P29"/>
  <c r="P22" s="1"/>
  <c r="R60"/>
  <c r="S60" s="1"/>
  <c r="R41"/>
  <c r="R40"/>
  <c r="N75"/>
  <c r="V75"/>
  <c r="U75"/>
  <c r="R74"/>
  <c r="S74" s="1"/>
  <c r="Q74"/>
  <c r="M73"/>
  <c r="R71"/>
  <c r="S71" s="1"/>
  <c r="Q71"/>
  <c r="M70"/>
  <c r="R67"/>
  <c r="S67" s="1"/>
  <c r="Q67"/>
  <c r="M66"/>
  <c r="R64"/>
  <c r="S64" s="1"/>
  <c r="Q64"/>
  <c r="T63"/>
  <c r="R63"/>
  <c r="S63" s="1"/>
  <c r="Q63"/>
  <c r="Q62"/>
  <c r="M62"/>
  <c r="Q60"/>
  <c r="R59"/>
  <c r="S59" s="1"/>
  <c r="Q59"/>
  <c r="R58"/>
  <c r="S58" s="1"/>
  <c r="Q58"/>
  <c r="M57"/>
  <c r="Q55"/>
  <c r="R54"/>
  <c r="M54"/>
  <c r="Q54" s="1"/>
  <c r="R52"/>
  <c r="M51"/>
  <c r="T49"/>
  <c r="R49"/>
  <c r="S49" s="1"/>
  <c r="Q49"/>
  <c r="M48"/>
  <c r="T46"/>
  <c r="R46"/>
  <c r="S46" s="1"/>
  <c r="Q46"/>
  <c r="Q45"/>
  <c r="R44"/>
  <c r="M44"/>
  <c r="Q44" s="1"/>
  <c r="R42"/>
  <c r="R39"/>
  <c r="M39"/>
  <c r="R37"/>
  <c r="S37" s="1"/>
  <c r="Q37"/>
  <c r="T36"/>
  <c r="R36"/>
  <c r="S36" s="1"/>
  <c r="Q36"/>
  <c r="T35"/>
  <c r="R35"/>
  <c r="S35" s="1"/>
  <c r="Q35"/>
  <c r="Q34"/>
  <c r="M34"/>
  <c r="T32"/>
  <c r="Q32"/>
  <c r="R31"/>
  <c r="M31"/>
  <c r="Q31" s="1"/>
  <c r="R28"/>
  <c r="S28" s="1"/>
  <c r="Q28"/>
  <c r="Q27"/>
  <c r="R26"/>
  <c r="S26" s="1"/>
  <c r="Q26"/>
  <c r="R25"/>
  <c r="S25" s="1"/>
  <c r="Q25"/>
  <c r="R24"/>
  <c r="S24" s="1"/>
  <c r="Q24"/>
  <c r="R23"/>
  <c r="M22"/>
  <c r="T19"/>
  <c r="R19"/>
  <c r="S19" s="1"/>
  <c r="Q19"/>
  <c r="P18"/>
  <c r="R18" s="1"/>
  <c r="M18"/>
  <c r="M17" s="1"/>
  <c r="Q75" i="5" l="1"/>
  <c r="R75"/>
  <c r="S75" s="1"/>
  <c r="R10"/>
  <c r="S10" s="1"/>
  <c r="S12"/>
  <c r="R15" i="4"/>
  <c r="S15" s="1"/>
  <c r="Q15"/>
  <c r="R14"/>
  <c r="S14" s="1"/>
  <c r="Q14"/>
  <c r="P12"/>
  <c r="Q13"/>
  <c r="R13"/>
  <c r="S13" s="1"/>
  <c r="R66" i="3"/>
  <c r="S66" s="1"/>
  <c r="R17"/>
  <c r="R21"/>
  <c r="S21" s="1"/>
  <c r="S57"/>
  <c r="R62"/>
  <c r="S62" s="1"/>
  <c r="R14"/>
  <c r="S14" s="1"/>
  <c r="S18"/>
  <c r="R39"/>
  <c r="R69"/>
  <c r="S69" s="1"/>
  <c r="P15"/>
  <c r="Q69"/>
  <c r="Q17"/>
  <c r="S54"/>
  <c r="Q14"/>
  <c r="M17"/>
  <c r="M13" s="1"/>
  <c r="M12" s="1"/>
  <c r="Q21"/>
  <c r="Q44"/>
  <c r="Q48"/>
  <c r="Q70"/>
  <c r="Q73"/>
  <c r="Q22"/>
  <c r="Q57"/>
  <c r="R70"/>
  <c r="S70" s="1"/>
  <c r="P13"/>
  <c r="R29" i="2"/>
  <c r="S29" s="1"/>
  <c r="S44"/>
  <c r="S54"/>
  <c r="S18"/>
  <c r="R70"/>
  <c r="S70" s="1"/>
  <c r="S57"/>
  <c r="Q73"/>
  <c r="R22"/>
  <c r="S22" s="1"/>
  <c r="P21"/>
  <c r="P14" s="1"/>
  <c r="P17"/>
  <c r="Q17" s="1"/>
  <c r="Q29"/>
  <c r="Q57"/>
  <c r="R17"/>
  <c r="R27"/>
  <c r="S27" s="1"/>
  <c r="R32"/>
  <c r="S32" s="1"/>
  <c r="R45"/>
  <c r="S45" s="1"/>
  <c r="R55"/>
  <c r="S55" s="1"/>
  <c r="M13"/>
  <c r="S17"/>
  <c r="Q22"/>
  <c r="S31"/>
  <c r="Q66"/>
  <c r="Q70"/>
  <c r="Q18"/>
  <c r="M21"/>
  <c r="R48"/>
  <c r="S48" s="1"/>
  <c r="M69"/>
  <c r="R69"/>
  <c r="R73"/>
  <c r="S73" s="1"/>
  <c r="P13"/>
  <c r="P15"/>
  <c r="Q12" i="4" l="1"/>
  <c r="P75"/>
  <c r="P10"/>
  <c r="Q10" s="1"/>
  <c r="R12"/>
  <c r="R21" i="2"/>
  <c r="S21" s="1"/>
  <c r="Q21"/>
  <c r="M75" i="3"/>
  <c r="O75" s="1"/>
  <c r="M10"/>
  <c r="S17"/>
  <c r="Q13"/>
  <c r="P12"/>
  <c r="R13"/>
  <c r="S13" s="1"/>
  <c r="R15"/>
  <c r="S15" s="1"/>
  <c r="Q15"/>
  <c r="Q13" i="2"/>
  <c r="R13"/>
  <c r="S13" s="1"/>
  <c r="P12"/>
  <c r="R14"/>
  <c r="Q14"/>
  <c r="R15"/>
  <c r="M15"/>
  <c r="M14"/>
  <c r="M12" s="1"/>
  <c r="S69"/>
  <c r="Q69"/>
  <c r="R10" i="4" l="1"/>
  <c r="S10" s="1"/>
  <c r="S12"/>
  <c r="Q75"/>
  <c r="R75"/>
  <c r="S75" s="1"/>
  <c r="Q12" i="3"/>
  <c r="P75"/>
  <c r="P10"/>
  <c r="Q10" s="1"/>
  <c r="R12"/>
  <c r="S15" i="2"/>
  <c r="S14"/>
  <c r="R12"/>
  <c r="P10"/>
  <c r="P75"/>
  <c r="Q12"/>
  <c r="M75"/>
  <c r="O75" s="1"/>
  <c r="M10"/>
  <c r="Q15"/>
  <c r="R10" i="3" l="1"/>
  <c r="S10" s="1"/>
  <c r="S12"/>
  <c r="Q75"/>
  <c r="R75"/>
  <c r="S75" s="1"/>
  <c r="Q10" i="2"/>
  <c r="R75"/>
  <c r="S75" s="1"/>
  <c r="Q75"/>
  <c r="S12"/>
  <c r="R10"/>
  <c r="S10" s="1"/>
  <c r="T63" i="1" l="1"/>
  <c r="T49"/>
  <c r="T46"/>
  <c r="T36"/>
  <c r="T35"/>
  <c r="T32"/>
  <c r="T19"/>
  <c r="R19"/>
  <c r="R23"/>
  <c r="R24"/>
  <c r="R25"/>
  <c r="R26"/>
  <c r="R27"/>
  <c r="R28"/>
  <c r="R29"/>
  <c r="R31"/>
  <c r="R32"/>
  <c r="R35"/>
  <c r="R36"/>
  <c r="R37"/>
  <c r="R39"/>
  <c r="R40"/>
  <c r="R41"/>
  <c r="R42"/>
  <c r="R44"/>
  <c r="R45"/>
  <c r="R46"/>
  <c r="R49"/>
  <c r="R51"/>
  <c r="R52"/>
  <c r="R55"/>
  <c r="R58"/>
  <c r="R59"/>
  <c r="R60"/>
  <c r="R63"/>
  <c r="R64"/>
  <c r="S64" s="1"/>
  <c r="R67"/>
  <c r="R71"/>
  <c r="R73"/>
  <c r="R74"/>
  <c r="P73"/>
  <c r="P70"/>
  <c r="R70" s="1"/>
  <c r="P66"/>
  <c r="R66" s="1"/>
  <c r="P62"/>
  <c r="R62" s="1"/>
  <c r="P57"/>
  <c r="R57" s="1"/>
  <c r="P54"/>
  <c r="R54" s="1"/>
  <c r="P51"/>
  <c r="P48"/>
  <c r="R48" s="1"/>
  <c r="P44"/>
  <c r="P39"/>
  <c r="P34"/>
  <c r="R34" s="1"/>
  <c r="P22"/>
  <c r="R22" s="1"/>
  <c r="O64"/>
  <c r="Q64"/>
  <c r="M39"/>
  <c r="M22"/>
  <c r="P21" l="1"/>
  <c r="P69"/>
  <c r="R69" s="1"/>
  <c r="R21" l="1"/>
  <c r="P14"/>
  <c r="R14" s="1"/>
  <c r="V75"/>
  <c r="U75"/>
  <c r="N75"/>
  <c r="S74"/>
  <c r="Q74"/>
  <c r="O74"/>
  <c r="M73"/>
  <c r="Q73" s="1"/>
  <c r="S71"/>
  <c r="Q71"/>
  <c r="O71"/>
  <c r="M70"/>
  <c r="S67"/>
  <c r="Q67"/>
  <c r="O67"/>
  <c r="M66"/>
  <c r="O66" s="1"/>
  <c r="S63"/>
  <c r="Q63"/>
  <c r="O63"/>
  <c r="M62"/>
  <c r="S60"/>
  <c r="Q60"/>
  <c r="O60"/>
  <c r="S59"/>
  <c r="Q59"/>
  <c r="O59"/>
  <c r="S58"/>
  <c r="Q58"/>
  <c r="O58"/>
  <c r="M57"/>
  <c r="Q57" s="1"/>
  <c r="S55"/>
  <c r="Q55"/>
  <c r="O55"/>
  <c r="M54"/>
  <c r="O54" s="1"/>
  <c r="M51"/>
  <c r="S49"/>
  <c r="Q49"/>
  <c r="O49"/>
  <c r="M48"/>
  <c r="Q48" s="1"/>
  <c r="S46"/>
  <c r="Q46"/>
  <c r="O46"/>
  <c r="S45"/>
  <c r="Q45"/>
  <c r="O45"/>
  <c r="M44"/>
  <c r="S37"/>
  <c r="Q37"/>
  <c r="O37"/>
  <c r="S36"/>
  <c r="Q36"/>
  <c r="O36"/>
  <c r="S35"/>
  <c r="Q35"/>
  <c r="O35"/>
  <c r="M34"/>
  <c r="O34" s="1"/>
  <c r="S32"/>
  <c r="Q32"/>
  <c r="O32"/>
  <c r="M31"/>
  <c r="S29"/>
  <c r="Q29"/>
  <c r="O29"/>
  <c r="S28"/>
  <c r="Q28"/>
  <c r="O28"/>
  <c r="S27"/>
  <c r="Q27"/>
  <c r="O27"/>
  <c r="S26"/>
  <c r="Q26"/>
  <c r="O26"/>
  <c r="S25"/>
  <c r="Q25"/>
  <c r="O25"/>
  <c r="S24"/>
  <c r="Q24"/>
  <c r="O24"/>
  <c r="Q22"/>
  <c r="S19"/>
  <c r="Q19"/>
  <c r="O19"/>
  <c r="P18"/>
  <c r="R18" s="1"/>
  <c r="M18"/>
  <c r="P15"/>
  <c r="R15" s="1"/>
  <c r="M21" l="1"/>
  <c r="Q70"/>
  <c r="M69"/>
  <c r="O44"/>
  <c r="M14"/>
  <c r="S14" s="1"/>
  <c r="Q44"/>
  <c r="S62"/>
  <c r="S69"/>
  <c r="P17"/>
  <c r="Q18"/>
  <c r="Q54"/>
  <c r="Q34"/>
  <c r="S57"/>
  <c r="S70"/>
  <c r="O73"/>
  <c r="Q66"/>
  <c r="S31"/>
  <c r="O57"/>
  <c r="O70"/>
  <c r="S73"/>
  <c r="O22"/>
  <c r="M17"/>
  <c r="O18"/>
  <c r="S18"/>
  <c r="S48"/>
  <c r="S22"/>
  <c r="O31"/>
  <c r="O48"/>
  <c r="O62"/>
  <c r="Q31"/>
  <c r="S34"/>
  <c r="S54"/>
  <c r="S44"/>
  <c r="Q62"/>
  <c r="S66"/>
  <c r="P13" l="1"/>
  <c r="R13" s="1"/>
  <c r="R17"/>
  <c r="Q69"/>
  <c r="M15"/>
  <c r="O15" s="1"/>
  <c r="O69"/>
  <c r="P12"/>
  <c r="S21"/>
  <c r="Q21"/>
  <c r="O21"/>
  <c r="O14"/>
  <c r="Q14"/>
  <c r="S17"/>
  <c r="Q17"/>
  <c r="M13"/>
  <c r="O17"/>
  <c r="Q15"/>
  <c r="S15" l="1"/>
  <c r="P75"/>
  <c r="R75" s="1"/>
  <c r="Q12"/>
  <c r="P10"/>
  <c r="R12"/>
  <c r="R10" s="1"/>
  <c r="O13"/>
  <c r="Q13"/>
  <c r="S13"/>
  <c r="M12"/>
  <c r="S10" l="1"/>
  <c r="S12"/>
  <c r="M75"/>
  <c r="M10"/>
  <c r="Q10" s="1"/>
  <c r="O12"/>
  <c r="S75" l="1"/>
  <c r="O75"/>
  <c r="Q75"/>
</calcChain>
</file>

<file path=xl/sharedStrings.xml><?xml version="1.0" encoding="utf-8"?>
<sst xmlns="http://schemas.openxmlformats.org/spreadsheetml/2006/main" count="2943" uniqueCount="108">
  <si>
    <t>REALISASI FISIK DAN KEUANGAN</t>
  </si>
  <si>
    <t>PROGRAM UPAYA KESEHATAN MASYARAKAT</t>
  </si>
  <si>
    <t>KEGIATAN PELAYANAN KESEHATAN DASAR JAMINAN KESEHATAN NASIONAL DI PUSKESMAS PASIRKALIKI (38.03)</t>
  </si>
  <si>
    <t>KODE REKENING</t>
  </si>
  <si>
    <t>KEGIATAN</t>
  </si>
  <si>
    <t>LOKASI</t>
  </si>
  <si>
    <t>PAGU ANGGARAN (Rp)</t>
  </si>
  <si>
    <t>REALISASI</t>
  </si>
  <si>
    <t>KENDALA/ PERMASALAHAN</t>
  </si>
  <si>
    <t>SOLUSI</t>
  </si>
  <si>
    <t>S/D BULAN LALU</t>
  </si>
  <si>
    <t>BULAN INI</t>
  </si>
  <si>
    <t>S/D BULAN INI</t>
  </si>
  <si>
    <t>KEUANGAN</t>
  </si>
  <si>
    <t>FISIK</t>
  </si>
  <si>
    <t>1</t>
  </si>
  <si>
    <t>02</t>
  </si>
  <si>
    <t>01</t>
  </si>
  <si>
    <t>38</t>
  </si>
  <si>
    <t xml:space="preserve">Puskesmas Pasirkaliki </t>
  </si>
  <si>
    <t>Rp</t>
  </si>
  <si>
    <t>%</t>
  </si>
  <si>
    <t>Rp.</t>
  </si>
  <si>
    <t>03</t>
  </si>
  <si>
    <t>KEGIATAN PELAYANAN KESEHATAN DASAR JAMINAN KESEHATAN NASIONAL DI PUSKESMAS PASIRKALIKI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</si>
  <si>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</si>
  <si>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</si>
  <si>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</si>
  <si>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</si>
  <si>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</si>
  <si>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</si>
  <si>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</si>
  <si>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BELANJA PEGAWAI PUSKESMAS PASIRKALIKI</t>
  </si>
  <si>
    <t>08</t>
  </si>
  <si>
    <t>Jasa Pelayanan</t>
  </si>
  <si>
    <t>Jasa Pelayanan Kesehatan</t>
  </si>
  <si>
    <t>BELANJA BARANG DAN JASA PUSKESMAS PASIRKALIKI</t>
  </si>
  <si>
    <t>Belanja Bahan  Pakai Habis</t>
  </si>
  <si>
    <t>04</t>
  </si>
  <si>
    <t>Belanja perangko, materai dan benda pos lainnya</t>
  </si>
  <si>
    <t>05</t>
  </si>
  <si>
    <t xml:space="preserve">Belanja Peralatan Kebersihan dan Bahan Pembersih </t>
  </si>
  <si>
    <t>06</t>
  </si>
  <si>
    <t>07</t>
  </si>
  <si>
    <t xml:space="preserve">Belanja Pengisian Tabung Pemadam Kebakaran </t>
  </si>
  <si>
    <t>Belanja Pengisian Tabung Gas</t>
  </si>
  <si>
    <t>Bahan Pakai Habis Peralatan Rumah Tangga</t>
  </si>
  <si>
    <t>Belanja bahan /material</t>
  </si>
  <si>
    <t>Belanja bahan pokok / natura</t>
  </si>
  <si>
    <t>Belanja Jasa Kantor</t>
  </si>
  <si>
    <t>Belanja kawat/faksimili/internet</t>
  </si>
  <si>
    <t>09</t>
  </si>
  <si>
    <t>Belanja Jasa Transaksi Keuangan</t>
  </si>
  <si>
    <t>Belanja cetak dan penggandaan</t>
  </si>
  <si>
    <t>Belanja cetak</t>
  </si>
  <si>
    <t>Belanja penggandaan</t>
  </si>
  <si>
    <t>11</t>
  </si>
  <si>
    <t xml:space="preserve">Belanja Makanan dan Minuman </t>
  </si>
  <si>
    <t>Kegiatan Pengelolaan Penyakit Kronis</t>
  </si>
  <si>
    <t>Belanja Perjalanan Dinas</t>
  </si>
  <si>
    <t>Belanja Kursus Pelatihan, Sosialisasi dan Bimbingan Teknis PNS</t>
  </si>
  <si>
    <t xml:space="preserve">Pengiriman Kursus Kursus Singkat/Pelatihan </t>
  </si>
  <si>
    <t xml:space="preserve">Belanja Pemeliharaan </t>
  </si>
  <si>
    <t xml:space="preserve">Belanja Pemeliharaan Alat Kesehatan </t>
  </si>
  <si>
    <t>Belanja Pemeliharaan Gedung Puskesmas</t>
  </si>
  <si>
    <t>10</t>
  </si>
  <si>
    <t>Belanja Pemeliharaan Jaringan WAN/LAN</t>
  </si>
  <si>
    <t>31</t>
  </si>
  <si>
    <t>Belanja Jasa Tenaga Ahli/Instruktur/Narasumber/Penceramah</t>
  </si>
  <si>
    <t>Jasa Instruktur</t>
  </si>
  <si>
    <t>Jasa Narasumber / Widyaiswara</t>
  </si>
  <si>
    <t xml:space="preserve">Belanja Modal Puskesmas Pasirkaliki </t>
  </si>
  <si>
    <t>Belanja Modal Peralatan dan Mesin - Alat Kedokteran</t>
  </si>
  <si>
    <t>JUMLAH</t>
  </si>
  <si>
    <t>PEJABAT PELAKSANA TEKNIS KEGIATAN</t>
  </si>
  <si>
    <t>Enny Erawati, SE</t>
  </si>
  <si>
    <t>NIP. 19680111 198903 2 007</t>
  </si>
  <si>
    <t>Bulan Januari Tahun 2020</t>
  </si>
  <si>
    <t>Belanja Alat Listrik dan Elektronik</t>
  </si>
  <si>
    <t xml:space="preserve">Belanja Bahan Kebutuhan Medis </t>
  </si>
  <si>
    <t>Belanja Jasa Pemeliharaan Peralatan dan Perlengkapan Kantor</t>
  </si>
  <si>
    <t>Belanja Perawatan Kendaraan Bermotor</t>
  </si>
  <si>
    <t>Belanja Jasa Service</t>
  </si>
  <si>
    <t>Belanja Pengadaan Suku Cadang</t>
  </si>
  <si>
    <t>Belanja Surat Tanda Motor Kendaraan</t>
  </si>
  <si>
    <t>Belanja Perjalanan Dinas Luar Daerah</t>
  </si>
  <si>
    <t>35</t>
  </si>
  <si>
    <t>Belanja Peralatan/Perlengkapan untuk kantor/Rumah Tangga/Lapangan</t>
  </si>
  <si>
    <t>Belanja Peralatan/Perlengkapan untuk kantor</t>
  </si>
  <si>
    <t>Belanja Modal Peralatan dan Mesin - Alat Kantor</t>
  </si>
  <si>
    <t>Belanja Modal Peralatan  Alat Kantor Lainyya</t>
  </si>
  <si>
    <t>Belanja Modal Pengadaan Alat Kedokteran Umum</t>
  </si>
  <si>
    <t>Cimahi, 31 Januari 2020</t>
  </si>
  <si>
    <t>Bulan Februari Tahun 2020</t>
  </si>
  <si>
    <t>Cimahi, 29 Februari 2020</t>
  </si>
  <si>
    <t>Cimahi, 30 April 2020</t>
  </si>
  <si>
    <t>Bulan Maret Tahun 2020</t>
  </si>
  <si>
    <t>Bulan April Tahun 2020</t>
  </si>
  <si>
    <t>Bulan Mei Tahun 2020</t>
  </si>
  <si>
    <t>Cimahi, 30 Mei 2020</t>
  </si>
  <si>
    <t>Bulan Juni Tahun 2020</t>
  </si>
  <si>
    <t>Cimahi, 30 Juni 2020</t>
  </si>
  <si>
    <t>Bulan Juli Tahun 2020</t>
  </si>
  <si>
    <t>Cimahi, 30 Juli 2020</t>
  </si>
  <si>
    <t>Bulan Agustus Tahun 2020</t>
  </si>
  <si>
    <t>Cimahi, 31 Agustus 2020</t>
  </si>
  <si>
    <t>Cimahi, 30 September 2020</t>
  </si>
  <si>
    <t>Bulan September Tahun 2020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</si>
</sst>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(* #,##0.0_);_(* \(#,##0.0\);_(* &quot;-&quot;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8" fillId="0" borderId="0"/>
    <xf numFmtId="0" fontId="1" fillId="0" borderId="0"/>
    <xf numFmtId="0" fontId="3" fillId="0" borderId="0"/>
  </cellStyleXfs>
  <cellXfs count="172">
    <xf numFmtId="0" fontId="0" fillId="0" borderId="0" xfId="0"/>
    <xf numFmtId="41" fontId="0" fillId="2" borderId="0" xfId="0" applyNumberFormat="1" applyFill="1"/>
    <xf numFmtId="0" fontId="7" fillId="3" borderId="1" xfId="2" applyFont="1" applyFill="1" applyBorder="1" applyAlignment="1">
      <alignment horizontal="center" vertical="center" wrapText="1"/>
    </xf>
    <xf numFmtId="49" fontId="5" fillId="0" borderId="4" xfId="2" applyNumberFormat="1" applyFont="1" applyFill="1" applyBorder="1" applyAlignment="1">
      <alignment horizontal="center" vertical="center" wrapText="1"/>
    </xf>
    <xf numFmtId="49" fontId="5" fillId="0" borderId="5" xfId="2" quotePrefix="1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41" fontId="1" fillId="2" borderId="5" xfId="0" applyNumberFormat="1" applyFont="1" applyFill="1" applyBorder="1"/>
    <xf numFmtId="41" fontId="5" fillId="2" borderId="6" xfId="0" applyNumberFormat="1" applyFont="1" applyFill="1" applyBorder="1" applyAlignment="1">
      <alignment horizontal="left"/>
    </xf>
    <xf numFmtId="41" fontId="5" fillId="2" borderId="1" xfId="0" applyNumberFormat="1" applyFont="1" applyFill="1" applyBorder="1" applyAlignment="1">
      <alignment horizontal="left" vertical="center" wrapText="1"/>
    </xf>
    <xf numFmtId="41" fontId="5" fillId="2" borderId="1" xfId="0" applyNumberFormat="1" applyFont="1" applyFill="1" applyBorder="1" applyAlignment="1">
      <alignment horizontal="center" vertical="center" wrapText="1"/>
    </xf>
    <xf numFmtId="41" fontId="5" fillId="2" borderId="1" xfId="3" applyNumberFormat="1" applyFont="1" applyFill="1" applyBorder="1" applyAlignment="1">
      <alignment vertical="center"/>
    </xf>
    <xf numFmtId="41" fontId="1" fillId="2" borderId="1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4" quotePrefix="1" applyFont="1" applyFill="1" applyBorder="1" applyAlignment="1">
      <alignment horizontal="center" vertical="center" wrapText="1"/>
    </xf>
    <xf numFmtId="41" fontId="5" fillId="2" borderId="1" xfId="0" applyNumberFormat="1" applyFont="1" applyFill="1" applyBorder="1" applyAlignment="1">
      <alignment vertical="top" wrapText="1"/>
    </xf>
    <xf numFmtId="164" fontId="5" fillId="2" borderId="1" xfId="0" applyNumberFormat="1" applyFont="1" applyFill="1" applyBorder="1" applyAlignment="1">
      <alignment horizontal="left" vertical="center" wrapText="1"/>
    </xf>
    <xf numFmtId="41" fontId="1" fillId="2" borderId="4" xfId="0" applyNumberFormat="1" applyFont="1" applyFill="1" applyBorder="1"/>
    <xf numFmtId="0" fontId="5" fillId="0" borderId="4" xfId="4" applyFont="1" applyFill="1" applyBorder="1" applyAlignment="1">
      <alignment horizontal="center" vertical="center" wrapText="1"/>
    </xf>
    <xf numFmtId="0" fontId="5" fillId="0" borderId="5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left" vertical="top" wrapText="1"/>
    </xf>
    <xf numFmtId="41" fontId="9" fillId="2" borderId="1" xfId="0" applyNumberFormat="1" applyFont="1" applyFill="1" applyBorder="1" applyAlignment="1">
      <alignment horizontal="left" vertical="top" wrapText="1"/>
    </xf>
    <xf numFmtId="41" fontId="9" fillId="2" borderId="1" xfId="1" applyFont="1" applyFill="1" applyBorder="1" applyAlignment="1">
      <alignment horizontal="right" vertical="top" wrapText="1"/>
    </xf>
    <xf numFmtId="0" fontId="9" fillId="2" borderId="1" xfId="0" applyFont="1" applyFill="1" applyBorder="1" applyAlignment="1">
      <alignment horizontal="left" vertical="top" wrapText="1"/>
    </xf>
    <xf numFmtId="49" fontId="5" fillId="0" borderId="4" xfId="5" applyNumberFormat="1" applyFont="1" applyFill="1" applyBorder="1" applyAlignment="1">
      <alignment horizontal="center" vertical="center" wrapText="1"/>
    </xf>
    <xf numFmtId="49" fontId="5" fillId="0" borderId="5" xfId="5" quotePrefix="1" applyNumberFormat="1" applyFont="1" applyFill="1" applyBorder="1" applyAlignment="1">
      <alignment horizontal="center" vertical="center" wrapText="1"/>
    </xf>
    <xf numFmtId="49" fontId="5" fillId="0" borderId="5" xfId="5" applyNumberFormat="1" applyFont="1" applyFill="1" applyBorder="1" applyAlignment="1">
      <alignment horizontal="center" vertical="center" wrapText="1"/>
    </xf>
    <xf numFmtId="49" fontId="10" fillId="0" borderId="5" xfId="5" applyNumberFormat="1" applyFont="1" applyFill="1" applyBorder="1" applyAlignment="1">
      <alignment horizontal="center" vertical="center" wrapText="1"/>
    </xf>
    <xf numFmtId="49" fontId="11" fillId="0" borderId="6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left" vertical="top" wrapText="1"/>
    </xf>
    <xf numFmtId="49" fontId="9" fillId="2" borderId="1" xfId="2" applyNumberFormat="1" applyFont="1" applyFill="1" applyBorder="1" applyAlignment="1">
      <alignment horizontal="left" vertical="top" wrapText="1"/>
    </xf>
    <xf numFmtId="41" fontId="12" fillId="2" borderId="1" xfId="1" applyFont="1" applyFill="1" applyBorder="1" applyAlignment="1">
      <alignment horizontal="right" vertical="top" wrapText="1"/>
    </xf>
    <xf numFmtId="49" fontId="5" fillId="0" borderId="6" xfId="5" applyNumberFormat="1" applyFont="1" applyFill="1" applyBorder="1" applyAlignment="1">
      <alignment horizontal="center" vertical="center" wrapText="1"/>
    </xf>
    <xf numFmtId="49" fontId="5" fillId="3" borderId="1" xfId="5" applyNumberFormat="1" applyFont="1" applyFill="1" applyBorder="1" applyAlignment="1">
      <alignment horizontal="left" vertical="top" wrapText="1"/>
    </xf>
    <xf numFmtId="49" fontId="9" fillId="4" borderId="1" xfId="2" applyNumberFormat="1" applyFont="1" applyFill="1" applyBorder="1" applyAlignment="1">
      <alignment horizontal="left" vertical="top" wrapText="1"/>
    </xf>
    <xf numFmtId="41" fontId="9" fillId="4" borderId="1" xfId="1" applyFont="1" applyFill="1" applyBorder="1" applyAlignment="1">
      <alignment horizontal="right" vertical="top"/>
    </xf>
    <xf numFmtId="41" fontId="9" fillId="4" borderId="1" xfId="1" applyFont="1" applyFill="1" applyBorder="1" applyAlignment="1">
      <alignment horizontal="right" vertical="top" wrapText="1"/>
    </xf>
    <xf numFmtId="0" fontId="0" fillId="0" borderId="6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41" fontId="9" fillId="2" borderId="1" xfId="1" applyFont="1" applyFill="1" applyBorder="1" applyAlignment="1">
      <alignment horizontal="right" vertical="top"/>
    </xf>
    <xf numFmtId="0" fontId="0" fillId="0" borderId="4" xfId="0" applyFont="1" applyBorder="1" applyAlignment="1">
      <alignment horizontal="center" vertical="center"/>
    </xf>
    <xf numFmtId="0" fontId="0" fillId="0" borderId="5" xfId="0" quotePrefix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41" fontId="13" fillId="2" borderId="1" xfId="0" applyNumberFormat="1" applyFont="1" applyFill="1" applyBorder="1" applyAlignment="1">
      <alignment horizontal="left" vertical="center" wrapText="1"/>
    </xf>
    <xf numFmtId="41" fontId="0" fillId="0" borderId="1" xfId="0" applyNumberFormat="1" applyBorder="1"/>
    <xf numFmtId="0" fontId="12" fillId="2" borderId="1" xfId="0" applyFont="1" applyFill="1" applyBorder="1" applyAlignment="1">
      <alignment horizontal="left" vertical="center" wrapText="1"/>
    </xf>
    <xf numFmtId="41" fontId="12" fillId="2" borderId="1" xfId="1" applyFont="1" applyFill="1" applyBorder="1" applyAlignment="1">
      <alignment horizontal="center" vertical="center" wrapText="1"/>
    </xf>
    <xf numFmtId="41" fontId="13" fillId="2" borderId="1" xfId="3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41" fontId="9" fillId="4" borderId="1" xfId="1" applyFont="1" applyFill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 wrapText="1"/>
    </xf>
    <xf numFmtId="41" fontId="0" fillId="2" borderId="1" xfId="0" applyNumberFormat="1" applyFill="1" applyBorder="1"/>
    <xf numFmtId="0" fontId="13" fillId="2" borderId="1" xfId="0" applyFont="1" applyFill="1" applyBorder="1" applyAlignment="1">
      <alignment vertical="top" wrapText="1"/>
    </xf>
    <xf numFmtId="41" fontId="12" fillId="2" borderId="1" xfId="1" applyFont="1" applyFill="1" applyBorder="1" applyAlignment="1">
      <alignment horizontal="center" vertical="center"/>
    </xf>
    <xf numFmtId="41" fontId="0" fillId="2" borderId="1" xfId="0" applyNumberFormat="1" applyFont="1" applyFill="1" applyBorder="1" applyAlignment="1">
      <alignment horizontal="center"/>
    </xf>
    <xf numFmtId="0" fontId="0" fillId="0" borderId="6" xfId="0" quotePrefix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horizontal="center" vertical="top" wrapText="1"/>
    </xf>
    <xf numFmtId="41" fontId="5" fillId="2" borderId="1" xfId="3" applyNumberFormat="1" applyFont="1" applyFill="1" applyBorder="1" applyAlignment="1">
      <alignment horizontal="center" vertical="center"/>
    </xf>
    <xf numFmtId="41" fontId="0" fillId="2" borderId="1" xfId="0" applyNumberFormat="1" applyFont="1" applyFill="1" applyBorder="1"/>
    <xf numFmtId="0" fontId="0" fillId="0" borderId="5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2" fillId="2" borderId="1" xfId="0" quotePrefix="1" applyFont="1" applyFill="1" applyBorder="1" applyAlignment="1">
      <alignment horizontal="left" vertical="center" wrapText="1"/>
    </xf>
    <xf numFmtId="41" fontId="1" fillId="2" borderId="9" xfId="0" applyNumberFormat="1" applyFont="1" applyFill="1" applyBorder="1"/>
    <xf numFmtId="0" fontId="12" fillId="2" borderId="1" xfId="0" applyFont="1" applyFill="1" applyBorder="1" applyAlignment="1">
      <alignment vertical="top" wrapText="1"/>
    </xf>
    <xf numFmtId="41" fontId="13" fillId="2" borderId="9" xfId="0" applyNumberFormat="1" applyFont="1" applyFill="1" applyBorder="1" applyAlignment="1">
      <alignment vertical="center"/>
    </xf>
    <xf numFmtId="41" fontId="9" fillId="2" borderId="1" xfId="1" applyFont="1" applyFill="1" applyBorder="1" applyAlignment="1">
      <alignment vertical="center" wrapText="1"/>
    </xf>
    <xf numFmtId="49" fontId="14" fillId="2" borderId="6" xfId="5" quotePrefix="1" applyNumberFormat="1" applyFont="1" applyFill="1" applyBorder="1" applyAlignment="1">
      <alignment horizontal="center" vertical="center" wrapText="1"/>
    </xf>
    <xf numFmtId="0" fontId="12" fillId="2" borderId="1" xfId="6" applyFont="1" applyFill="1" applyBorder="1" applyAlignment="1">
      <alignment vertical="top" wrapText="1"/>
    </xf>
    <xf numFmtId="41" fontId="12" fillId="2" borderId="1" xfId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top" wrapText="1"/>
    </xf>
    <xf numFmtId="41" fontId="12" fillId="2" borderId="1" xfId="1" applyFont="1" applyFill="1" applyBorder="1" applyAlignment="1">
      <alignment vertical="center"/>
    </xf>
    <xf numFmtId="41" fontId="9" fillId="2" borderId="1" xfId="1" applyFont="1" applyFill="1" applyBorder="1" applyAlignment="1">
      <alignment vertical="center"/>
    </xf>
    <xf numFmtId="0" fontId="12" fillId="2" borderId="1" xfId="2" applyFont="1" applyFill="1" applyBorder="1" applyAlignment="1">
      <alignment vertical="top" wrapText="1"/>
    </xf>
    <xf numFmtId="49" fontId="12" fillId="2" borderId="1" xfId="2" applyNumberFormat="1" applyFont="1" applyFill="1" applyBorder="1" applyAlignment="1">
      <alignment vertical="top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vertical="top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1" xfId="5" applyNumberFormat="1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41" fontId="2" fillId="2" borderId="1" xfId="0" applyNumberFormat="1" applyFont="1" applyFill="1" applyBorder="1"/>
    <xf numFmtId="0" fontId="12" fillId="2" borderId="1" xfId="6" quotePrefix="1" applyFont="1" applyFill="1" applyBorder="1" applyAlignment="1">
      <alignment vertical="top" wrapText="1"/>
    </xf>
    <xf numFmtId="0" fontId="9" fillId="2" borderId="1" xfId="6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0" fontId="5" fillId="2" borderId="5" xfId="5" quotePrefix="1" applyFont="1" applyFill="1" applyBorder="1" applyAlignment="1">
      <alignment horizontal="center" vertical="center"/>
    </xf>
    <xf numFmtId="49" fontId="13" fillId="2" borderId="6" xfId="5" quotePrefix="1" applyNumberFormat="1" applyFont="1" applyFill="1" applyBorder="1" applyAlignment="1">
      <alignment horizontal="center" vertical="center" wrapText="1"/>
    </xf>
    <xf numFmtId="0" fontId="5" fillId="2" borderId="1" xfId="6" quotePrefix="1" applyFont="1" applyFill="1" applyBorder="1" applyAlignment="1">
      <alignment vertical="top" wrapText="1"/>
    </xf>
    <xf numFmtId="0" fontId="13" fillId="2" borderId="5" xfId="5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vertical="top" wrapText="1"/>
    </xf>
    <xf numFmtId="49" fontId="9" fillId="2" borderId="1" xfId="2" applyNumberFormat="1" applyFont="1" applyFill="1" applyBorder="1" applyAlignment="1">
      <alignment vertical="top" wrapText="1"/>
    </xf>
    <xf numFmtId="41" fontId="0" fillId="2" borderId="4" xfId="0" applyNumberFormat="1" applyFill="1" applyBorder="1" applyAlignment="1">
      <alignment wrapText="1"/>
    </xf>
    <xf numFmtId="41" fontId="0" fillId="2" borderId="1" xfId="0" applyNumberFormat="1" applyFill="1" applyBorder="1" applyAlignment="1">
      <alignment wrapText="1"/>
    </xf>
    <xf numFmtId="49" fontId="12" fillId="2" borderId="1" xfId="5" applyNumberFormat="1" applyFont="1" applyFill="1" applyBorder="1" applyAlignment="1">
      <alignment vertical="top" wrapText="1"/>
    </xf>
    <xf numFmtId="0" fontId="13" fillId="2" borderId="6" xfId="6" quotePrefix="1" applyFont="1" applyFill="1" applyBorder="1" applyAlignment="1">
      <alignment vertical="top" wrapText="1"/>
    </xf>
    <xf numFmtId="0" fontId="5" fillId="2" borderId="1" xfId="6" applyFont="1" applyFill="1" applyBorder="1" applyAlignment="1">
      <alignment vertical="top" wrapText="1"/>
    </xf>
    <xf numFmtId="0" fontId="13" fillId="2" borderId="1" xfId="6" applyFont="1" applyFill="1" applyBorder="1" applyAlignment="1">
      <alignment vertical="top" wrapText="1"/>
    </xf>
    <xf numFmtId="49" fontId="9" fillId="2" borderId="2" xfId="2" applyNumberFormat="1" applyFont="1" applyFill="1" applyBorder="1" applyAlignment="1">
      <alignment horizontal="left" vertical="top" wrapText="1"/>
    </xf>
    <xf numFmtId="41" fontId="9" fillId="2" borderId="2" xfId="1" applyFont="1" applyFill="1" applyBorder="1" applyAlignment="1">
      <alignment vertical="center"/>
    </xf>
    <xf numFmtId="41" fontId="0" fillId="2" borderId="2" xfId="0" applyNumberFormat="1" applyFill="1" applyBorder="1"/>
    <xf numFmtId="41" fontId="2" fillId="2" borderId="1" xfId="0" applyNumberFormat="1" applyFont="1" applyFill="1" applyBorder="1" applyAlignment="1">
      <alignment horizontal="center" vertical="center"/>
    </xf>
    <xf numFmtId="41" fontId="0" fillId="0" borderId="1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horizontal="left" vertical="center" wrapText="1"/>
    </xf>
    <xf numFmtId="41" fontId="0" fillId="4" borderId="1" xfId="0" applyNumberFormat="1" applyFill="1" applyBorder="1"/>
    <xf numFmtId="41" fontId="2" fillId="4" borderId="1" xfId="0" applyNumberFormat="1" applyFont="1" applyFill="1" applyBorder="1"/>
    <xf numFmtId="41" fontId="13" fillId="2" borderId="1" xfId="2" applyNumberFormat="1" applyFont="1" applyFill="1" applyBorder="1" applyAlignment="1"/>
    <xf numFmtId="0" fontId="13" fillId="2" borderId="1" xfId="0" applyFont="1" applyFill="1" applyBorder="1" applyAlignment="1">
      <alignment horizontal="left" vertical="top" wrapText="1"/>
    </xf>
    <xf numFmtId="41" fontId="13" fillId="2" borderId="1" xfId="2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41" fontId="2" fillId="2" borderId="13" xfId="0" applyNumberFormat="1" applyFont="1" applyFill="1" applyBorder="1" applyAlignment="1">
      <alignment horizontal="center" vertical="center"/>
    </xf>
    <xf numFmtId="41" fontId="2" fillId="2" borderId="14" xfId="0" applyNumberFormat="1" applyFont="1" applyFill="1" applyBorder="1"/>
    <xf numFmtId="41" fontId="2" fillId="2" borderId="15" xfId="0" applyNumberFormat="1" applyFont="1" applyFill="1" applyBorder="1"/>
    <xf numFmtId="41" fontId="9" fillId="2" borderId="15" xfId="1" applyFont="1" applyFill="1" applyBorder="1" applyAlignment="1">
      <alignment horizontal="right" vertical="top" wrapText="1"/>
    </xf>
    <xf numFmtId="41" fontId="9" fillId="2" borderId="15" xfId="1" applyFont="1" applyFill="1" applyBorder="1" applyAlignment="1">
      <alignment horizontal="center" vertical="center" wrapText="1"/>
    </xf>
    <xf numFmtId="41" fontId="2" fillId="2" borderId="12" xfId="0" applyNumberFormat="1" applyFont="1" applyFill="1" applyBorder="1"/>
    <xf numFmtId="41" fontId="13" fillId="2" borderId="0" xfId="2" applyNumberFormat="1" applyFont="1" applyFill="1" applyAlignment="1">
      <alignment horizontal="left"/>
    </xf>
    <xf numFmtId="41" fontId="1" fillId="2" borderId="0" xfId="0" applyNumberFormat="1" applyFont="1" applyFill="1"/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9" fillId="3" borderId="1" xfId="1" applyFont="1" applyFill="1" applyBorder="1" applyAlignment="1">
      <alignment horizontal="center" vertical="center" wrapText="1"/>
    </xf>
    <xf numFmtId="41" fontId="13" fillId="2" borderId="1" xfId="0" applyNumberFormat="1" applyFont="1" applyFill="1" applyBorder="1" applyAlignment="1">
      <alignment horizontal="center" vertical="center" wrapText="1"/>
    </xf>
    <xf numFmtId="41" fontId="2" fillId="3" borderId="1" xfId="0" applyNumberFormat="1" applyFont="1" applyFill="1" applyBorder="1"/>
    <xf numFmtId="164" fontId="9" fillId="2" borderId="15" xfId="1" applyNumberFormat="1" applyFont="1" applyFill="1" applyBorder="1" applyAlignment="1">
      <alignment horizontal="right" vertical="top" wrapText="1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0" fontId="15" fillId="0" borderId="0" xfId="0" applyFont="1" applyBorder="1" applyAlignment="1">
      <alignment horizontal="left"/>
    </xf>
    <xf numFmtId="0" fontId="7" fillId="3" borderId="4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41" fontId="2" fillId="2" borderId="11" xfId="0" applyNumberFormat="1" applyFont="1" applyFill="1" applyBorder="1" applyAlignment="1">
      <alignment horizontal="center" vertical="center"/>
    </xf>
    <xf numFmtId="41" fontId="2" fillId="2" borderId="12" xfId="0" applyNumberFormat="1" applyFont="1" applyFill="1" applyBorder="1" applyAlignment="1">
      <alignment horizontal="center" vertical="center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0" fontId="16" fillId="0" borderId="0" xfId="0" applyFont="1" applyBorder="1" applyAlignment="1">
      <alignment horizontal="left" vertical="center"/>
    </xf>
    <xf numFmtId="41" fontId="4" fillId="2" borderId="0" xfId="2" applyNumberFormat="1" applyFont="1" applyFill="1" applyAlignment="1">
      <alignment horizontal="center"/>
    </xf>
    <xf numFmtId="41" fontId="0" fillId="2" borderId="1" xfId="0" applyNumberFormat="1" applyFill="1" applyBorder="1" applyAlignment="1">
      <alignment horizontal="center" vertical="center"/>
    </xf>
    <xf numFmtId="41" fontId="5" fillId="2" borderId="2" xfId="2" applyNumberFormat="1" applyFont="1" applyFill="1" applyBorder="1" applyAlignment="1">
      <alignment horizontal="center" vertical="center" wrapText="1"/>
    </xf>
    <xf numFmtId="41" fontId="5" fillId="2" borderId="7" xfId="2" applyNumberFormat="1" applyFont="1" applyFill="1" applyBorder="1" applyAlignment="1">
      <alignment horizontal="center" vertical="center" wrapText="1"/>
    </xf>
    <xf numFmtId="41" fontId="5" fillId="2" borderId="9" xfId="2" applyNumberFormat="1" applyFont="1" applyFill="1" applyBorder="1" applyAlignment="1">
      <alignment horizontal="center" vertical="center" wrapText="1"/>
    </xf>
    <xf numFmtId="41" fontId="5" fillId="2" borderId="3" xfId="2" applyNumberFormat="1" applyFont="1" applyFill="1" applyBorder="1" applyAlignment="1">
      <alignment horizontal="center" vertical="center" wrapText="1"/>
    </xf>
    <xf numFmtId="41" fontId="5" fillId="2" borderId="8" xfId="2" applyNumberFormat="1" applyFont="1" applyFill="1" applyBorder="1" applyAlignment="1">
      <alignment horizontal="center" vertical="center" wrapText="1"/>
    </xf>
    <xf numFmtId="41" fontId="5" fillId="2" borderId="10" xfId="2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41" fontId="5" fillId="2" borderId="1" xfId="2" applyNumberFormat="1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41" fontId="0" fillId="0" borderId="0" xfId="0" applyNumberFormat="1" applyBorder="1"/>
    <xf numFmtId="41" fontId="2" fillId="2" borderId="16" xfId="0" applyNumberFormat="1" applyFont="1" applyFill="1" applyBorder="1"/>
  </cellXfs>
  <cellStyles count="7">
    <cellStyle name="Comma [0]" xfId="1" builtinId="6"/>
    <cellStyle name="Comma 2" xfId="3"/>
    <cellStyle name="Normal" xfId="0" builtinId="0"/>
    <cellStyle name="Normal 2" xfId="2"/>
    <cellStyle name="Normal 2 3" xfId="5"/>
    <cellStyle name="Normal 3 2" xfId="6"/>
    <cellStyle name="Normal 5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K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gustus"/>
      <sheetName val="sept"/>
    </sheetNames>
    <sheetDataSet>
      <sheetData sheetId="0"/>
      <sheetData sheetId="1">
        <row r="13">
          <cell r="F13">
            <v>401000</v>
          </cell>
        </row>
        <row r="14">
          <cell r="F14">
            <v>197000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4"/>
  <sheetViews>
    <sheetView topLeftCell="L1" workbookViewId="0">
      <selection activeCell="R10" sqref="R10:S74"/>
    </sheetView>
  </sheetViews>
  <sheetFormatPr defaultRowHeight="1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2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2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spans="1:22">
      <c r="A4" s="156" t="s">
        <v>77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57" t="s">
        <v>3</v>
      </c>
      <c r="B6" s="157"/>
      <c r="C6" s="157"/>
      <c r="D6" s="157"/>
      <c r="E6" s="157"/>
      <c r="F6" s="157"/>
      <c r="G6" s="157"/>
      <c r="H6" s="157"/>
      <c r="I6" s="157"/>
      <c r="J6" s="157"/>
      <c r="K6" s="157" t="s">
        <v>4</v>
      </c>
      <c r="L6" s="158" t="s">
        <v>5</v>
      </c>
      <c r="M6" s="161" t="s">
        <v>6</v>
      </c>
      <c r="N6" s="164" t="s">
        <v>7</v>
      </c>
      <c r="O6" s="165"/>
      <c r="P6" s="165"/>
      <c r="Q6" s="165"/>
      <c r="R6" s="165"/>
      <c r="S6" s="165"/>
      <c r="T6" s="166"/>
      <c r="U6" s="167" t="s">
        <v>8</v>
      </c>
      <c r="V6" s="167" t="s">
        <v>9</v>
      </c>
    </row>
    <row r="7" spans="1:22" ht="15.7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9"/>
      <c r="M7" s="162"/>
      <c r="N7" s="168" t="s">
        <v>10</v>
      </c>
      <c r="O7" s="169"/>
      <c r="P7" s="168" t="s">
        <v>11</v>
      </c>
      <c r="Q7" s="169"/>
      <c r="R7" s="164" t="s">
        <v>12</v>
      </c>
      <c r="S7" s="165"/>
      <c r="T7" s="166"/>
      <c r="U7" s="167"/>
      <c r="V7" s="167"/>
    </row>
    <row r="8" spans="1:22" ht="15.7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0"/>
      <c r="M8" s="163"/>
      <c r="N8" s="168" t="s">
        <v>13</v>
      </c>
      <c r="O8" s="169"/>
      <c r="P8" s="168" t="s">
        <v>13</v>
      </c>
      <c r="Q8" s="169"/>
      <c r="R8" s="149" t="s">
        <v>13</v>
      </c>
      <c r="S8" s="150"/>
      <c r="T8" s="2" t="s">
        <v>14</v>
      </c>
      <c r="U8" s="167"/>
      <c r="V8" s="167"/>
    </row>
    <row r="9" spans="1:22" ht="30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/>
      <c r="O10" s="17"/>
      <c r="P10" s="8">
        <f>P12</f>
        <v>41708480</v>
      </c>
      <c r="Q10" s="17">
        <f>P10/M10*100</f>
        <v>6.5036987138704889</v>
      </c>
      <c r="R10" s="8">
        <f>R12</f>
        <v>41708480</v>
      </c>
      <c r="S10" s="17">
        <f>R10/M10*100</f>
        <v>6.5036987138704889</v>
      </c>
      <c r="T10" s="8"/>
      <c r="U10" s="11"/>
      <c r="V10" s="11"/>
    </row>
    <row r="11" spans="1:22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/>
      <c r="O12" s="24">
        <f>N12/M12*100</f>
        <v>0</v>
      </c>
      <c r="P12" s="24">
        <f t="shared" ref="P12" si="0">P13+P14+P15</f>
        <v>41708480</v>
      </c>
      <c r="Q12" s="24">
        <f>P12/M12*100</f>
        <v>6.5036987138704889</v>
      </c>
      <c r="R12" s="24">
        <f>P12+N12</f>
        <v>41708480</v>
      </c>
      <c r="S12" s="24">
        <f>R12/M12*100</f>
        <v>6.5036987138704889</v>
      </c>
      <c r="T12" s="24"/>
      <c r="U12" s="11"/>
      <c r="V12" s="11"/>
    </row>
    <row r="13" spans="1:22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/>
      <c r="O13" s="24">
        <f t="shared" ref="O13:O69" si="1">N13/M13*100</f>
        <v>0</v>
      </c>
      <c r="P13" s="24">
        <f t="shared" ref="P13" si="2">P17</f>
        <v>26279280</v>
      </c>
      <c r="Q13" s="24">
        <f t="shared" ref="Q13:Q69" si="3">P13/M13*100</f>
        <v>6.8296470940458818</v>
      </c>
      <c r="R13" s="24">
        <f t="shared" ref="R13:R74" si="4">P13+N13</f>
        <v>26279280</v>
      </c>
      <c r="S13" s="24">
        <f t="shared" ref="S13:S69" si="5">R13/M13*100</f>
        <v>6.8296470940458818</v>
      </c>
      <c r="T13" s="24"/>
      <c r="U13" s="11"/>
      <c r="V13" s="11"/>
    </row>
    <row r="14" spans="1:22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/>
      <c r="O14" s="24">
        <f t="shared" si="1"/>
        <v>0</v>
      </c>
      <c r="P14" s="24">
        <f>P21</f>
        <v>15429200</v>
      </c>
      <c r="Q14" s="24">
        <f t="shared" si="3"/>
        <v>6.3619900248060386</v>
      </c>
      <c r="R14" s="24">
        <f t="shared" si="4"/>
        <v>15429200</v>
      </c>
      <c r="S14" s="24">
        <f t="shared" si="5"/>
        <v>6.3619900248060386</v>
      </c>
      <c r="T14" s="24"/>
      <c r="U14" s="11"/>
      <c r="V14" s="11"/>
    </row>
    <row r="15" spans="1:22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/>
      <c r="O15" s="24">
        <f t="shared" si="1"/>
        <v>0</v>
      </c>
      <c r="P15" s="24">
        <f t="shared" ref="P15" si="6">P69</f>
        <v>0</v>
      </c>
      <c r="Q15" s="24">
        <f t="shared" si="3"/>
        <v>0</v>
      </c>
      <c r="R15" s="24">
        <f t="shared" si="4"/>
        <v>0</v>
      </c>
      <c r="S15" s="24">
        <f t="shared" si="5"/>
        <v>0</v>
      </c>
      <c r="T15" s="24"/>
      <c r="U15" s="11"/>
      <c r="V15" s="11"/>
    </row>
    <row r="16" spans="1:22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8"/>
      <c r="O16" s="24"/>
      <c r="P16" s="11"/>
      <c r="Q16" s="24"/>
      <c r="R16" s="24"/>
      <c r="S16" s="24"/>
      <c r="T16" s="11"/>
      <c r="U16" s="11"/>
      <c r="V16" s="11"/>
    </row>
    <row r="17" spans="1:22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7"/>
      <c r="O17" s="38">
        <f t="shared" si="1"/>
        <v>0</v>
      </c>
      <c r="P17" s="37">
        <f t="shared" ref="P17:P18" si="7">P18</f>
        <v>26279280</v>
      </c>
      <c r="Q17" s="38">
        <f t="shared" si="3"/>
        <v>6.8296470940458818</v>
      </c>
      <c r="R17" s="38">
        <f t="shared" si="4"/>
        <v>26279280</v>
      </c>
      <c r="S17" s="38">
        <f t="shared" si="5"/>
        <v>6.8296470940458818</v>
      </c>
      <c r="T17" s="37"/>
      <c r="U17" s="11"/>
      <c r="V17" s="11"/>
    </row>
    <row r="18" spans="1:22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41"/>
      <c r="O18" s="24">
        <f t="shared" si="1"/>
        <v>0</v>
      </c>
      <c r="P18" s="41">
        <f t="shared" si="7"/>
        <v>26279280</v>
      </c>
      <c r="Q18" s="24">
        <f t="shared" si="3"/>
        <v>6.8296470940458818</v>
      </c>
      <c r="R18" s="24">
        <f t="shared" si="4"/>
        <v>26279280</v>
      </c>
      <c r="S18" s="24">
        <f t="shared" si="5"/>
        <v>6.8296470940458818</v>
      </c>
      <c r="T18" s="41"/>
      <c r="U18" s="11"/>
      <c r="V18" s="11"/>
    </row>
    <row r="19" spans="1:22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46"/>
      <c r="O19" s="24">
        <f t="shared" si="1"/>
        <v>0</v>
      </c>
      <c r="P19" s="47">
        <v>26279280</v>
      </c>
      <c r="Q19" s="24">
        <f t="shared" si="3"/>
        <v>6.8296470940458818</v>
      </c>
      <c r="R19" s="24">
        <f t="shared" si="4"/>
        <v>26279280</v>
      </c>
      <c r="S19" s="24">
        <f t="shared" si="5"/>
        <v>6.8296470940458818</v>
      </c>
      <c r="T19" s="41">
        <f>1/12*100</f>
        <v>8.3333333333333321</v>
      </c>
      <c r="U19" s="11"/>
      <c r="V19" s="11"/>
    </row>
    <row r="20" spans="1:22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8"/>
      <c r="O20" s="24"/>
      <c r="P20" s="50"/>
      <c r="Q20" s="24"/>
      <c r="R20" s="24"/>
      <c r="S20" s="24"/>
      <c r="T20" s="11"/>
      <c r="U20" s="11"/>
      <c r="V20" s="11"/>
    </row>
    <row r="21" spans="1:22" ht="30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54"/>
      <c r="O21" s="38">
        <f t="shared" si="1"/>
        <v>0</v>
      </c>
      <c r="P21" s="54">
        <f>P22+P31+P34+P39+P44+P48+P51+P54+P57+P62+P66</f>
        <v>15429200</v>
      </c>
      <c r="Q21" s="38">
        <f t="shared" si="3"/>
        <v>6.3619900248060386</v>
      </c>
      <c r="R21" s="38">
        <f t="shared" si="4"/>
        <v>15429200</v>
      </c>
      <c r="S21" s="38">
        <f t="shared" si="5"/>
        <v>6.3619900248060386</v>
      </c>
      <c r="T21" s="54"/>
      <c r="U21" s="11"/>
      <c r="V21" s="11"/>
    </row>
    <row r="22" spans="1:22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56"/>
      <c r="O22" s="24">
        <f t="shared" si="1"/>
        <v>0</v>
      </c>
      <c r="P22" s="56">
        <f>SUM(P23:P29)</f>
        <v>0</v>
      </c>
      <c r="Q22" s="24">
        <f t="shared" si="3"/>
        <v>0</v>
      </c>
      <c r="R22" s="24">
        <f t="shared" si="4"/>
        <v>0</v>
      </c>
      <c r="S22" s="24">
        <f t="shared" si="5"/>
        <v>0</v>
      </c>
      <c r="T22" s="56"/>
      <c r="U22" s="11"/>
      <c r="V22" s="11"/>
    </row>
    <row r="23" spans="1:22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56"/>
      <c r="O23" s="24"/>
      <c r="P23" s="56"/>
      <c r="Q23" s="24"/>
      <c r="R23" s="24">
        <f t="shared" si="4"/>
        <v>0</v>
      </c>
      <c r="S23" s="24"/>
      <c r="T23" s="56"/>
      <c r="U23" s="11"/>
      <c r="V23" s="11"/>
    </row>
    <row r="24" spans="1:22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46"/>
      <c r="O24" s="24">
        <f t="shared" si="1"/>
        <v>0</v>
      </c>
      <c r="P24" s="50"/>
      <c r="Q24" s="24">
        <f t="shared" si="3"/>
        <v>0</v>
      </c>
      <c r="R24" s="24">
        <f t="shared" si="4"/>
        <v>0</v>
      </c>
      <c r="S24" s="24">
        <f t="shared" si="5"/>
        <v>0</v>
      </c>
      <c r="T24" s="11"/>
      <c r="U24" s="57"/>
      <c r="V24" s="11"/>
    </row>
    <row r="25" spans="1:22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46"/>
      <c r="O25" s="24">
        <f t="shared" si="1"/>
        <v>0</v>
      </c>
      <c r="P25" s="50"/>
      <c r="Q25" s="24">
        <f t="shared" si="3"/>
        <v>0</v>
      </c>
      <c r="R25" s="24">
        <f t="shared" si="4"/>
        <v>0</v>
      </c>
      <c r="S25" s="24">
        <f t="shared" si="5"/>
        <v>0</v>
      </c>
      <c r="T25" s="11"/>
      <c r="U25" s="60"/>
      <c r="V25" s="11"/>
    </row>
    <row r="26" spans="1:22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46"/>
      <c r="O26" s="24">
        <f t="shared" si="1"/>
        <v>0</v>
      </c>
      <c r="P26" s="50"/>
      <c r="Q26" s="24">
        <f t="shared" si="3"/>
        <v>0</v>
      </c>
      <c r="R26" s="24">
        <f t="shared" si="4"/>
        <v>0</v>
      </c>
      <c r="S26" s="24">
        <f t="shared" si="5"/>
        <v>0</v>
      </c>
      <c r="T26" s="11"/>
      <c r="U26" s="11"/>
      <c r="V26" s="11"/>
    </row>
    <row r="27" spans="1:22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46"/>
      <c r="O27" s="24">
        <f t="shared" si="1"/>
        <v>0</v>
      </c>
      <c r="P27" s="50"/>
      <c r="Q27" s="24">
        <f t="shared" si="3"/>
        <v>0</v>
      </c>
      <c r="R27" s="24">
        <f t="shared" si="4"/>
        <v>0</v>
      </c>
      <c r="S27" s="24">
        <f t="shared" si="5"/>
        <v>0</v>
      </c>
      <c r="T27" s="11"/>
      <c r="U27" s="11"/>
      <c r="V27" s="11"/>
    </row>
    <row r="28" spans="1:22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46"/>
      <c r="O28" s="24">
        <f t="shared" si="1"/>
        <v>0</v>
      </c>
      <c r="P28" s="50"/>
      <c r="Q28" s="24">
        <f t="shared" si="3"/>
        <v>0</v>
      </c>
      <c r="R28" s="24">
        <f t="shared" si="4"/>
        <v>0</v>
      </c>
      <c r="S28" s="24">
        <f t="shared" si="5"/>
        <v>0</v>
      </c>
      <c r="T28" s="11"/>
      <c r="U28" s="11"/>
      <c r="V28" s="11"/>
    </row>
    <row r="29" spans="1:22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46"/>
      <c r="O29" s="24">
        <f t="shared" si="1"/>
        <v>0</v>
      </c>
      <c r="P29" s="50"/>
      <c r="Q29" s="24">
        <f t="shared" si="3"/>
        <v>0</v>
      </c>
      <c r="R29" s="24">
        <f t="shared" si="4"/>
        <v>0</v>
      </c>
      <c r="S29" s="24">
        <f t="shared" si="5"/>
        <v>0</v>
      </c>
      <c r="T29" s="11"/>
      <c r="U29" s="11"/>
      <c r="V29" s="11"/>
    </row>
    <row r="30" spans="1:22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46"/>
      <c r="O30" s="24"/>
      <c r="P30" s="50"/>
      <c r="Q30" s="24"/>
      <c r="R30" s="24"/>
      <c r="S30" s="24"/>
      <c r="T30" s="11"/>
      <c r="U30" s="57"/>
      <c r="V30" s="11"/>
    </row>
    <row r="31" spans="1:22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62"/>
      <c r="O31" s="24">
        <f t="shared" si="1"/>
        <v>0</v>
      </c>
      <c r="P31" s="62">
        <v>108000</v>
      </c>
      <c r="Q31" s="24">
        <f t="shared" si="3"/>
        <v>3.7177280550774525</v>
      </c>
      <c r="R31" s="24">
        <f t="shared" si="4"/>
        <v>108000</v>
      </c>
      <c r="S31" s="24">
        <f t="shared" si="5"/>
        <v>3.7177280550774525</v>
      </c>
      <c r="T31" s="62"/>
      <c r="U31" s="11"/>
      <c r="V31" s="11"/>
    </row>
    <row r="32" spans="1:22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8"/>
      <c r="O32" s="24">
        <f t="shared" si="1"/>
        <v>0</v>
      </c>
      <c r="P32" s="50">
        <v>108000</v>
      </c>
      <c r="Q32" s="24">
        <f t="shared" si="3"/>
        <v>3.7177280550774525</v>
      </c>
      <c r="R32" s="24">
        <f t="shared" si="4"/>
        <v>108000</v>
      </c>
      <c r="S32" s="24">
        <f t="shared" si="5"/>
        <v>3.7177280550774525</v>
      </c>
      <c r="T32" s="62">
        <f>8/104*100</f>
        <v>7.6923076923076925</v>
      </c>
      <c r="U32" s="70"/>
      <c r="V32" s="11"/>
    </row>
    <row r="33" spans="1:22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46"/>
      <c r="O33" s="24"/>
      <c r="P33" s="50"/>
      <c r="Q33" s="24"/>
      <c r="R33" s="24"/>
      <c r="S33" s="24"/>
      <c r="T33" s="11"/>
      <c r="U33" s="72"/>
      <c r="V33" s="11"/>
    </row>
    <row r="34" spans="1:22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73"/>
      <c r="O34" s="24">
        <f t="shared" si="1"/>
        <v>0</v>
      </c>
      <c r="P34" s="73">
        <f>SUM(P35:P37)</f>
        <v>871200</v>
      </c>
      <c r="Q34" s="24">
        <f t="shared" si="3"/>
        <v>4.5768321513002359</v>
      </c>
      <c r="R34" s="24">
        <f t="shared" si="4"/>
        <v>871200</v>
      </c>
      <c r="S34" s="24">
        <f t="shared" si="5"/>
        <v>4.5768321513002359</v>
      </c>
      <c r="T34" s="73"/>
      <c r="U34" s="11"/>
      <c r="V34" s="11"/>
    </row>
    <row r="35" spans="1:22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46"/>
      <c r="O35" s="24">
        <f t="shared" si="1"/>
        <v>0</v>
      </c>
      <c r="P35" s="50">
        <v>867700</v>
      </c>
      <c r="Q35" s="24">
        <f t="shared" si="3"/>
        <v>7.2308333333333339</v>
      </c>
      <c r="R35" s="24">
        <f t="shared" si="4"/>
        <v>867700</v>
      </c>
      <c r="S35" s="24">
        <f t="shared" si="5"/>
        <v>7.2308333333333339</v>
      </c>
      <c r="T35" s="11">
        <f>1/12*100</f>
        <v>8.3333333333333321</v>
      </c>
      <c r="U35" s="11"/>
      <c r="V35" s="11"/>
    </row>
    <row r="36" spans="1:22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46"/>
      <c r="O36" s="24">
        <f t="shared" si="1"/>
        <v>0</v>
      </c>
      <c r="P36" s="50">
        <v>3500</v>
      </c>
      <c r="Q36" s="24">
        <f t="shared" si="3"/>
        <v>0.65420560747663559</v>
      </c>
      <c r="R36" s="24">
        <f t="shared" si="4"/>
        <v>3500</v>
      </c>
      <c r="S36" s="24">
        <f t="shared" si="5"/>
        <v>0.65420560747663559</v>
      </c>
      <c r="T36" s="73">
        <f>1/12*100</f>
        <v>8.3333333333333321</v>
      </c>
      <c r="U36" s="11"/>
      <c r="V36" s="11"/>
    </row>
    <row r="37" spans="1:22" ht="30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46"/>
      <c r="O37" s="24">
        <f t="shared" si="1"/>
        <v>0</v>
      </c>
      <c r="P37" s="50"/>
      <c r="Q37" s="24">
        <f t="shared" si="3"/>
        <v>0</v>
      </c>
      <c r="R37" s="24">
        <f t="shared" si="4"/>
        <v>0</v>
      </c>
      <c r="S37" s="24">
        <f t="shared" si="5"/>
        <v>0</v>
      </c>
      <c r="T37" s="11"/>
      <c r="U37" s="11"/>
      <c r="V37" s="11"/>
    </row>
    <row r="38" spans="1:22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8"/>
      <c r="O38" s="24"/>
      <c r="P38" s="50"/>
      <c r="Q38" s="24"/>
      <c r="R38" s="24"/>
      <c r="S38" s="24"/>
      <c r="T38" s="79"/>
      <c r="U38" s="11"/>
      <c r="V38" s="11"/>
    </row>
    <row r="39" spans="1:22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8"/>
      <c r="O39" s="24"/>
      <c r="P39" s="50">
        <f>SUM(P40:P42)</f>
        <v>0</v>
      </c>
      <c r="Q39" s="24"/>
      <c r="R39" s="24">
        <f t="shared" si="4"/>
        <v>0</v>
      </c>
      <c r="S39" s="24"/>
      <c r="T39" s="79"/>
      <c r="U39" s="11"/>
      <c r="V39" s="11"/>
    </row>
    <row r="40" spans="1:22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8"/>
      <c r="O40" s="24"/>
      <c r="P40" s="50"/>
      <c r="Q40" s="24"/>
      <c r="R40" s="24">
        <f t="shared" si="4"/>
        <v>0</v>
      </c>
      <c r="S40" s="24"/>
      <c r="T40" s="79"/>
      <c r="U40" s="11"/>
      <c r="V40" s="11"/>
    </row>
    <row r="41" spans="1:22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8"/>
      <c r="O41" s="24"/>
      <c r="P41" s="50"/>
      <c r="Q41" s="24"/>
      <c r="R41" s="24">
        <f t="shared" si="4"/>
        <v>0</v>
      </c>
      <c r="S41" s="24"/>
      <c r="T41" s="79"/>
      <c r="U41" s="11"/>
      <c r="V41" s="11"/>
    </row>
    <row r="42" spans="1:22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8"/>
      <c r="O42" s="24"/>
      <c r="P42" s="50"/>
      <c r="Q42" s="24"/>
      <c r="R42" s="24">
        <f t="shared" si="4"/>
        <v>0</v>
      </c>
      <c r="S42" s="24"/>
      <c r="T42" s="79"/>
      <c r="U42" s="11"/>
      <c r="V42" s="11"/>
    </row>
    <row r="43" spans="1:22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8"/>
      <c r="O43" s="24"/>
      <c r="P43" s="50"/>
      <c r="Q43" s="24"/>
      <c r="R43" s="24"/>
      <c r="S43" s="24"/>
      <c r="T43" s="79"/>
      <c r="U43" s="11"/>
      <c r="V43" s="11"/>
    </row>
    <row r="44" spans="1:22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73"/>
      <c r="O44" s="24">
        <f t="shared" si="1"/>
        <v>0</v>
      </c>
      <c r="P44" s="73">
        <f>SUM(P45:P46)</f>
        <v>120000</v>
      </c>
      <c r="Q44" s="24">
        <f t="shared" si="3"/>
        <v>0.24226884775926552</v>
      </c>
      <c r="R44" s="24">
        <f t="shared" si="4"/>
        <v>120000</v>
      </c>
      <c r="S44" s="24">
        <f t="shared" si="5"/>
        <v>0.24226884775926552</v>
      </c>
      <c r="T44" s="73"/>
      <c r="U44" s="11"/>
      <c r="V44" s="11"/>
    </row>
    <row r="45" spans="1:22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46"/>
      <c r="O45" s="24">
        <f t="shared" si="1"/>
        <v>0</v>
      </c>
      <c r="P45" s="65"/>
      <c r="Q45" s="24">
        <f t="shared" si="3"/>
        <v>0</v>
      </c>
      <c r="R45" s="24">
        <f t="shared" si="4"/>
        <v>0</v>
      </c>
      <c r="S45" s="24">
        <f t="shared" si="5"/>
        <v>0</v>
      </c>
      <c r="T45" s="11"/>
      <c r="U45" s="11"/>
      <c r="V45" s="11"/>
    </row>
    <row r="46" spans="1:22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46"/>
      <c r="O46" s="24">
        <f t="shared" si="1"/>
        <v>0</v>
      </c>
      <c r="P46" s="50">
        <v>120000</v>
      </c>
      <c r="Q46" s="24">
        <f t="shared" si="3"/>
        <v>8.323218311080284</v>
      </c>
      <c r="R46" s="24">
        <f t="shared" si="4"/>
        <v>120000</v>
      </c>
      <c r="S46" s="24">
        <f t="shared" si="5"/>
        <v>8.323218311080284</v>
      </c>
      <c r="T46" s="11">
        <f>480/5757*100</f>
        <v>8.3376758728504434</v>
      </c>
      <c r="U46" s="57"/>
      <c r="V46" s="57"/>
    </row>
    <row r="47" spans="1:22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46"/>
      <c r="O47" s="24"/>
      <c r="P47" s="50"/>
      <c r="Q47" s="24"/>
      <c r="R47" s="24"/>
      <c r="S47" s="24"/>
      <c r="T47" s="57"/>
      <c r="U47" s="57"/>
      <c r="V47" s="57"/>
    </row>
    <row r="48" spans="1:22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73"/>
      <c r="O48" s="24">
        <f t="shared" si="1"/>
        <v>0</v>
      </c>
      <c r="P48" s="73">
        <f>P49</f>
        <v>825000</v>
      </c>
      <c r="Q48" s="24">
        <f t="shared" si="3"/>
        <v>9.0909090909090917</v>
      </c>
      <c r="R48" s="24">
        <f t="shared" si="4"/>
        <v>825000</v>
      </c>
      <c r="S48" s="24">
        <f t="shared" si="5"/>
        <v>9.0909090909090917</v>
      </c>
      <c r="T48" s="73"/>
      <c r="U48" s="57"/>
      <c r="V48" s="57"/>
    </row>
    <row r="49" spans="1:22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46"/>
      <c r="O49" s="24">
        <f t="shared" si="1"/>
        <v>0</v>
      </c>
      <c r="P49" s="50">
        <v>825000</v>
      </c>
      <c r="Q49" s="24">
        <f t="shared" si="3"/>
        <v>9.0909090909090917</v>
      </c>
      <c r="R49" s="24">
        <f t="shared" si="4"/>
        <v>825000</v>
      </c>
      <c r="S49" s="24">
        <f t="shared" si="5"/>
        <v>9.0909090909090917</v>
      </c>
      <c r="T49" s="57">
        <f>1/11*100</f>
        <v>9.0909090909090917</v>
      </c>
      <c r="U49" s="57"/>
      <c r="V49" s="57"/>
    </row>
    <row r="50" spans="1:22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46"/>
      <c r="O50" s="24"/>
      <c r="P50" s="50"/>
      <c r="Q50" s="24"/>
      <c r="R50" s="24"/>
      <c r="S50" s="24"/>
      <c r="T50" s="57"/>
      <c r="U50" s="57"/>
      <c r="V50" s="57"/>
    </row>
    <row r="51" spans="1:22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8"/>
      <c r="O51" s="24"/>
      <c r="P51" s="65">
        <f>P52</f>
        <v>0</v>
      </c>
      <c r="Q51" s="24"/>
      <c r="R51" s="24">
        <f t="shared" si="4"/>
        <v>0</v>
      </c>
      <c r="S51" s="24"/>
      <c r="T51" s="73"/>
      <c r="U51" s="57"/>
      <c r="V51" s="57"/>
    </row>
    <row r="52" spans="1:22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8"/>
      <c r="O52" s="24"/>
      <c r="P52" s="65"/>
      <c r="Q52" s="24"/>
      <c r="R52" s="24">
        <f t="shared" si="4"/>
        <v>0</v>
      </c>
      <c r="S52" s="24"/>
      <c r="T52" s="57"/>
      <c r="U52" s="57"/>
      <c r="V52" s="57"/>
    </row>
    <row r="53" spans="1:22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8"/>
      <c r="O53" s="24"/>
      <c r="P53" s="50"/>
      <c r="Q53" s="24"/>
      <c r="R53" s="24"/>
      <c r="S53" s="24"/>
      <c r="T53" s="57"/>
      <c r="U53" s="57"/>
      <c r="V53" s="57"/>
    </row>
    <row r="54" spans="1:22" ht="30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73"/>
      <c r="O54" s="24">
        <f t="shared" si="1"/>
        <v>0</v>
      </c>
      <c r="P54" s="73">
        <f>P55</f>
        <v>0</v>
      </c>
      <c r="Q54" s="24">
        <f t="shared" si="3"/>
        <v>0</v>
      </c>
      <c r="R54" s="24">
        <f t="shared" si="4"/>
        <v>0</v>
      </c>
      <c r="S54" s="24">
        <f t="shared" si="5"/>
        <v>0</v>
      </c>
      <c r="T54" s="73"/>
      <c r="U54" s="57"/>
      <c r="V54" s="57"/>
    </row>
    <row r="55" spans="1:22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46"/>
      <c r="O55" s="24">
        <f t="shared" si="1"/>
        <v>0</v>
      </c>
      <c r="P55" s="50"/>
      <c r="Q55" s="24">
        <f t="shared" si="3"/>
        <v>0</v>
      </c>
      <c r="R55" s="24">
        <f t="shared" si="4"/>
        <v>0</v>
      </c>
      <c r="S55" s="24">
        <f t="shared" si="5"/>
        <v>0</v>
      </c>
      <c r="T55" s="57"/>
      <c r="U55" s="57"/>
      <c r="V55" s="57"/>
    </row>
    <row r="56" spans="1:22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8"/>
      <c r="O56" s="24"/>
      <c r="P56" s="65"/>
      <c r="Q56" s="24"/>
      <c r="R56" s="24"/>
      <c r="S56" s="24"/>
      <c r="T56" s="89"/>
      <c r="U56" s="57"/>
      <c r="V56" s="57"/>
    </row>
    <row r="57" spans="1:22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73"/>
      <c r="O57" s="24">
        <f t="shared" si="1"/>
        <v>0</v>
      </c>
      <c r="P57" s="73">
        <f>SUM(P58:P60)</f>
        <v>13255000</v>
      </c>
      <c r="Q57" s="24">
        <f t="shared" si="3"/>
        <v>56.645299145299141</v>
      </c>
      <c r="R57" s="24">
        <f t="shared" si="4"/>
        <v>13255000</v>
      </c>
      <c r="S57" s="24">
        <f t="shared" si="5"/>
        <v>56.645299145299141</v>
      </c>
      <c r="T57" s="73"/>
      <c r="U57" s="99"/>
      <c r="V57" s="100"/>
    </row>
    <row r="58" spans="1:22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8"/>
      <c r="O58" s="24">
        <f t="shared" si="1"/>
        <v>0</v>
      </c>
      <c r="P58" s="50"/>
      <c r="Q58" s="24">
        <f t="shared" si="3"/>
        <v>0</v>
      </c>
      <c r="R58" s="24">
        <f t="shared" si="4"/>
        <v>0</v>
      </c>
      <c r="S58" s="24">
        <f t="shared" si="5"/>
        <v>0</v>
      </c>
      <c r="T58" s="57"/>
      <c r="U58" s="57"/>
      <c r="V58" s="57"/>
    </row>
    <row r="59" spans="1:22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46"/>
      <c r="O59" s="24">
        <f t="shared" si="1"/>
        <v>0</v>
      </c>
      <c r="P59" s="50">
        <v>13255000</v>
      </c>
      <c r="Q59" s="24">
        <f t="shared" si="3"/>
        <v>86.071428571428584</v>
      </c>
      <c r="R59" s="24">
        <f t="shared" si="4"/>
        <v>13255000</v>
      </c>
      <c r="S59" s="24">
        <f t="shared" si="5"/>
        <v>86.071428571428584</v>
      </c>
      <c r="T59" s="57">
        <v>100</v>
      </c>
      <c r="U59" s="57"/>
      <c r="V59" s="57"/>
    </row>
    <row r="60" spans="1:22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8"/>
      <c r="O60" s="24">
        <f t="shared" si="1"/>
        <v>0</v>
      </c>
      <c r="P60" s="50"/>
      <c r="Q60" s="24">
        <f t="shared" si="3"/>
        <v>0</v>
      </c>
      <c r="R60" s="24">
        <f t="shared" si="4"/>
        <v>0</v>
      </c>
      <c r="S60" s="24">
        <f t="shared" si="5"/>
        <v>0</v>
      </c>
      <c r="T60" s="89"/>
      <c r="U60" s="100"/>
      <c r="V60" s="100"/>
    </row>
    <row r="61" spans="1:22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46"/>
      <c r="O61" s="24"/>
      <c r="P61" s="50"/>
      <c r="Q61" s="24"/>
      <c r="R61" s="24"/>
      <c r="S61" s="24"/>
      <c r="T61" s="57"/>
      <c r="U61" s="57"/>
      <c r="V61" s="57"/>
    </row>
    <row r="62" spans="1:22" ht="30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73"/>
      <c r="O62" s="24">
        <f t="shared" si="1"/>
        <v>0</v>
      </c>
      <c r="P62" s="73">
        <f>SUM(P63:P64)</f>
        <v>250000</v>
      </c>
      <c r="Q62" s="24">
        <f t="shared" si="3"/>
        <v>1.9230769230769231</v>
      </c>
      <c r="R62" s="24">
        <f t="shared" si="4"/>
        <v>250000</v>
      </c>
      <c r="S62" s="24">
        <f t="shared" si="5"/>
        <v>1.9230769230769231</v>
      </c>
      <c r="T62" s="73"/>
      <c r="U62" s="57"/>
      <c r="V62" s="57"/>
    </row>
    <row r="63" spans="1:22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46"/>
      <c r="O63" s="24">
        <f t="shared" si="1"/>
        <v>0</v>
      </c>
      <c r="P63" s="50">
        <v>250000</v>
      </c>
      <c r="Q63" s="24">
        <f t="shared" si="3"/>
        <v>8.3333333333333321</v>
      </c>
      <c r="R63" s="24">
        <f t="shared" si="4"/>
        <v>250000</v>
      </c>
      <c r="S63" s="24">
        <f t="shared" si="5"/>
        <v>8.3333333333333321</v>
      </c>
      <c r="T63" s="57">
        <f>1/12*100</f>
        <v>8.3333333333333321</v>
      </c>
      <c r="U63" s="57"/>
      <c r="V63" s="57"/>
    </row>
    <row r="64" spans="1:22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8"/>
      <c r="O64" s="24">
        <f t="shared" si="1"/>
        <v>0</v>
      </c>
      <c r="P64" s="65"/>
      <c r="Q64" s="24">
        <f t="shared" si="3"/>
        <v>0</v>
      </c>
      <c r="R64" s="24">
        <f t="shared" si="4"/>
        <v>0</v>
      </c>
      <c r="S64" s="24">
        <f t="shared" si="5"/>
        <v>0</v>
      </c>
      <c r="T64" s="57"/>
      <c r="U64" s="57"/>
      <c r="V64" s="57"/>
    </row>
    <row r="65" spans="1:22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46"/>
      <c r="O65" s="24"/>
      <c r="P65" s="50"/>
      <c r="Q65" s="24"/>
      <c r="R65" s="24"/>
      <c r="S65" s="24"/>
      <c r="T65" s="66"/>
      <c r="U65" s="57"/>
      <c r="V65" s="57"/>
    </row>
    <row r="66" spans="1:22" ht="30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106"/>
      <c r="O66" s="24">
        <f t="shared" si="1"/>
        <v>0</v>
      </c>
      <c r="P66" s="106">
        <f>P67</f>
        <v>0</v>
      </c>
      <c r="Q66" s="24">
        <f t="shared" si="3"/>
        <v>0</v>
      </c>
      <c r="R66" s="24">
        <f t="shared" si="4"/>
        <v>0</v>
      </c>
      <c r="S66" s="24">
        <f t="shared" si="5"/>
        <v>0</v>
      </c>
      <c r="T66" s="106"/>
      <c r="U66" s="107"/>
      <c r="V66" s="107"/>
    </row>
    <row r="67" spans="1:22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8"/>
      <c r="O67" s="24">
        <f t="shared" si="1"/>
        <v>0</v>
      </c>
      <c r="P67" s="109"/>
      <c r="Q67" s="24">
        <f t="shared" si="3"/>
        <v>0</v>
      </c>
      <c r="R67" s="24">
        <f t="shared" si="4"/>
        <v>0</v>
      </c>
      <c r="S67" s="24">
        <f t="shared" si="5"/>
        <v>0</v>
      </c>
      <c r="T67" s="8"/>
      <c r="U67" s="8"/>
      <c r="V67" s="8"/>
    </row>
    <row r="68" spans="1:22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57"/>
      <c r="O68" s="24"/>
      <c r="P68" s="57"/>
      <c r="Q68" s="24"/>
      <c r="R68" s="24"/>
      <c r="S68" s="24"/>
      <c r="T68" s="57"/>
      <c r="U68" s="57"/>
      <c r="V68" s="57"/>
    </row>
    <row r="69" spans="1:22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112"/>
      <c r="O69" s="38">
        <f t="shared" si="1"/>
        <v>0</v>
      </c>
      <c r="P69" s="112">
        <f>P70+P73</f>
        <v>0</v>
      </c>
      <c r="Q69" s="38">
        <f t="shared" si="3"/>
        <v>0</v>
      </c>
      <c r="R69" s="38">
        <f t="shared" si="4"/>
        <v>0</v>
      </c>
      <c r="S69" s="38">
        <f t="shared" si="5"/>
        <v>0</v>
      </c>
      <c r="T69" s="112"/>
      <c r="U69" s="89"/>
      <c r="V69" s="89"/>
    </row>
    <row r="70" spans="1:22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89"/>
      <c r="O70" s="24">
        <f t="shared" ref="O70:O75" si="8">N70/M70*100</f>
        <v>0</v>
      </c>
      <c r="P70" s="89">
        <f>P71</f>
        <v>0</v>
      </c>
      <c r="Q70" s="24">
        <f t="shared" ref="Q70:Q75" si="9">P70/M70*100</f>
        <v>0</v>
      </c>
      <c r="R70" s="24">
        <f t="shared" si="4"/>
        <v>0</v>
      </c>
      <c r="S70" s="24">
        <f t="shared" ref="S70:S75" si="10">R70/M70*100</f>
        <v>0</v>
      </c>
      <c r="T70" s="89"/>
      <c r="U70" s="89"/>
      <c r="V70" s="89"/>
    </row>
    <row r="71" spans="1:22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57"/>
      <c r="O71" s="24">
        <f t="shared" si="8"/>
        <v>0</v>
      </c>
      <c r="P71" s="57"/>
      <c r="Q71" s="24">
        <f t="shared" si="9"/>
        <v>0</v>
      </c>
      <c r="R71" s="24">
        <f t="shared" si="4"/>
        <v>0</v>
      </c>
      <c r="S71" s="24">
        <f t="shared" si="10"/>
        <v>0</v>
      </c>
      <c r="T71" s="113"/>
      <c r="U71" s="113"/>
      <c r="V71" s="57"/>
    </row>
    <row r="72" spans="1:22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57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89"/>
      <c r="O73" s="24">
        <f t="shared" si="8"/>
        <v>0</v>
      </c>
      <c r="P73" s="89">
        <f>P74</f>
        <v>0</v>
      </c>
      <c r="Q73" s="24">
        <f t="shared" si="9"/>
        <v>0</v>
      </c>
      <c r="R73" s="24">
        <f t="shared" si="4"/>
        <v>0</v>
      </c>
      <c r="S73" s="24">
        <f t="shared" si="10"/>
        <v>0</v>
      </c>
      <c r="T73" s="89"/>
      <c r="U73" s="89"/>
      <c r="V73" s="89"/>
    </row>
    <row r="74" spans="1:22" ht="15.75" thickBot="1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57"/>
      <c r="O74" s="24">
        <f t="shared" si="8"/>
        <v>0</v>
      </c>
      <c r="P74" s="57"/>
      <c r="Q74" s="24">
        <f t="shared" si="9"/>
        <v>0</v>
      </c>
      <c r="R74" s="24">
        <f t="shared" si="4"/>
        <v>0</v>
      </c>
      <c r="S74" s="24">
        <f t="shared" si="10"/>
        <v>0</v>
      </c>
      <c r="T74" s="118"/>
      <c r="U74" s="119"/>
      <c r="V74" s="57"/>
    </row>
    <row r="75" spans="1:22" ht="15.75" thickBot="1">
      <c r="A75" s="151" t="s">
        <v>73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3"/>
      <c r="L75" s="120"/>
      <c r="M75" s="121">
        <f>M12</f>
        <v>641304000</v>
      </c>
      <c r="N75" s="122">
        <f t="shared" ref="N75:V75" si="11">N12</f>
        <v>0</v>
      </c>
      <c r="O75" s="123">
        <f t="shared" si="8"/>
        <v>0</v>
      </c>
      <c r="P75" s="122">
        <f t="shared" si="11"/>
        <v>41708480</v>
      </c>
      <c r="Q75" s="123">
        <f t="shared" si="9"/>
        <v>6.5036987138704889</v>
      </c>
      <c r="R75" s="124">
        <f t="shared" ref="R75" si="12">P75+N75</f>
        <v>41708480</v>
      </c>
      <c r="S75" s="123">
        <f t="shared" si="10"/>
        <v>6.5036987138704889</v>
      </c>
      <c r="T75" s="122"/>
      <c r="U75" s="125">
        <f t="shared" si="11"/>
        <v>0</v>
      </c>
      <c r="V75" s="121">
        <f t="shared" si="11"/>
        <v>0</v>
      </c>
    </row>
    <row r="78" spans="1:22">
      <c r="R78" s="154" t="s">
        <v>92</v>
      </c>
      <c r="S78" s="154"/>
      <c r="T78" s="154"/>
      <c r="U78" s="154"/>
    </row>
    <row r="79" spans="1:22">
      <c r="R79" s="154" t="s">
        <v>74</v>
      </c>
      <c r="S79" s="154"/>
      <c r="T79" s="154"/>
      <c r="U79" s="154"/>
    </row>
    <row r="80" spans="1:22">
      <c r="R80" s="126"/>
      <c r="S80" s="126"/>
      <c r="T80" s="126"/>
      <c r="U80" s="126"/>
    </row>
    <row r="81" spans="18:21">
      <c r="R81" s="126"/>
      <c r="S81" s="126"/>
      <c r="T81" s="126"/>
      <c r="U81" s="126"/>
    </row>
    <row r="82" spans="18:21">
      <c r="R82" s="127"/>
      <c r="S82" s="127"/>
      <c r="T82" s="127"/>
      <c r="U82" s="127"/>
    </row>
    <row r="83" spans="18:21">
      <c r="R83" s="155" t="s">
        <v>75</v>
      </c>
      <c r="S83" s="155"/>
      <c r="T83" s="155"/>
      <c r="U83" s="155"/>
    </row>
    <row r="84" spans="18:21">
      <c r="R84" s="148" t="s">
        <v>76</v>
      </c>
      <c r="S84" s="148"/>
      <c r="T84" s="148"/>
      <c r="U84" s="14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4"/>
  <sheetViews>
    <sheetView topLeftCell="G1" workbookViewId="0">
      <selection activeCell="R10" sqref="R10:S74"/>
    </sheetView>
  </sheetViews>
  <sheetFormatPr defaultRowHeight="1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2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2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spans="1:22">
      <c r="A4" s="156" t="s">
        <v>93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57" t="s">
        <v>3</v>
      </c>
      <c r="B6" s="157"/>
      <c r="C6" s="157"/>
      <c r="D6" s="157"/>
      <c r="E6" s="157"/>
      <c r="F6" s="157"/>
      <c r="G6" s="157"/>
      <c r="H6" s="157"/>
      <c r="I6" s="157"/>
      <c r="J6" s="157"/>
      <c r="K6" s="157" t="s">
        <v>4</v>
      </c>
      <c r="L6" s="158" t="s">
        <v>5</v>
      </c>
      <c r="M6" s="161" t="s">
        <v>6</v>
      </c>
      <c r="N6" s="164" t="s">
        <v>7</v>
      </c>
      <c r="O6" s="165"/>
      <c r="P6" s="165"/>
      <c r="Q6" s="165"/>
      <c r="R6" s="165"/>
      <c r="S6" s="165"/>
      <c r="T6" s="166"/>
      <c r="U6" s="167" t="s">
        <v>8</v>
      </c>
      <c r="V6" s="167" t="s">
        <v>9</v>
      </c>
    </row>
    <row r="7" spans="1:22" ht="15.7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9"/>
      <c r="M7" s="162"/>
      <c r="N7" s="168" t="s">
        <v>10</v>
      </c>
      <c r="O7" s="169"/>
      <c r="P7" s="168" t="s">
        <v>11</v>
      </c>
      <c r="Q7" s="169"/>
      <c r="R7" s="164" t="s">
        <v>12</v>
      </c>
      <c r="S7" s="165"/>
      <c r="T7" s="166"/>
      <c r="U7" s="167"/>
      <c r="V7" s="167"/>
    </row>
    <row r="8" spans="1:22" ht="15.7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0"/>
      <c r="M8" s="163"/>
      <c r="N8" s="168" t="s">
        <v>13</v>
      </c>
      <c r="O8" s="169"/>
      <c r="P8" s="168" t="s">
        <v>13</v>
      </c>
      <c r="Q8" s="169"/>
      <c r="R8" s="149" t="s">
        <v>13</v>
      </c>
      <c r="S8" s="150"/>
      <c r="T8" s="2" t="s">
        <v>14</v>
      </c>
      <c r="U8" s="167"/>
      <c r="V8" s="167"/>
    </row>
    <row r="9" spans="1:22" ht="30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41708480</v>
      </c>
      <c r="O10" s="17">
        <v>6.5036987138704889</v>
      </c>
      <c r="P10" s="8">
        <f>P12</f>
        <v>4301700</v>
      </c>
      <c r="Q10" s="17">
        <f>P10/M10*100</f>
        <v>0.67077392313161932</v>
      </c>
      <c r="R10" s="8">
        <f>R12</f>
        <v>46010180</v>
      </c>
      <c r="S10" s="17">
        <f>R10/M10*100</f>
        <v>7.1744726370021077</v>
      </c>
      <c r="T10" s="8"/>
      <c r="U10" s="11"/>
      <c r="V10" s="11"/>
    </row>
    <row r="11" spans="1:22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41708480</v>
      </c>
      <c r="O12" s="24">
        <v>6.5036987138704889</v>
      </c>
      <c r="P12" s="24">
        <f t="shared" ref="P12" si="0">P13+P14+P15</f>
        <v>4301700</v>
      </c>
      <c r="Q12" s="24">
        <f>P12/M12*100</f>
        <v>0.67077392313161932</v>
      </c>
      <c r="R12" s="24">
        <f>P12+N12</f>
        <v>46010180</v>
      </c>
      <c r="S12" s="24">
        <f>R12/M12*100</f>
        <v>7.1744726370021077</v>
      </c>
      <c r="T12" s="24"/>
      <c r="U12" s="11"/>
      <c r="V12" s="11"/>
    </row>
    <row r="13" spans="1:22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26279280</v>
      </c>
      <c r="O13" s="24">
        <v>6.8296470940458818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26279280</v>
      </c>
      <c r="S13" s="24">
        <f t="shared" ref="S13:S75" si="4">R13/M13*100</f>
        <v>6.8296470940458818</v>
      </c>
      <c r="T13" s="24"/>
      <c r="U13" s="11"/>
      <c r="V13" s="11"/>
    </row>
    <row r="14" spans="1:22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15429200</v>
      </c>
      <c r="O14" s="24">
        <v>6.3619900248060386</v>
      </c>
      <c r="P14" s="24">
        <f>P21</f>
        <v>4301700</v>
      </c>
      <c r="Q14" s="24">
        <f t="shared" si="2"/>
        <v>1.7737389164511532</v>
      </c>
      <c r="R14" s="24">
        <f t="shared" si="3"/>
        <v>19730900</v>
      </c>
      <c r="S14" s="24">
        <f t="shared" si="4"/>
        <v>8.1357289412571898</v>
      </c>
      <c r="T14" s="24"/>
      <c r="U14" s="11"/>
      <c r="V14" s="11"/>
    </row>
    <row r="15" spans="1:22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0</v>
      </c>
      <c r="O15" s="24">
        <v>0</v>
      </c>
      <c r="P15" s="24">
        <f t="shared" ref="P15" si="5">P69</f>
        <v>0</v>
      </c>
      <c r="Q15" s="24">
        <f t="shared" si="2"/>
        <v>0</v>
      </c>
      <c r="R15" s="24">
        <f t="shared" si="3"/>
        <v>0</v>
      </c>
      <c r="S15" s="24">
        <f t="shared" si="4"/>
        <v>0</v>
      </c>
      <c r="T15" s="24"/>
      <c r="U15" s="11"/>
      <c r="V15" s="11"/>
    </row>
    <row r="16" spans="1:22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26279280</v>
      </c>
      <c r="O17" s="38">
        <v>6.8296470940458818</v>
      </c>
      <c r="P17" s="37">
        <f t="shared" ref="P17:P18" si="6">P18</f>
        <v>0</v>
      </c>
      <c r="Q17" s="38">
        <f t="shared" si="2"/>
        <v>0</v>
      </c>
      <c r="R17" s="38">
        <f t="shared" si="3"/>
        <v>26279280</v>
      </c>
      <c r="S17" s="38">
        <f t="shared" si="4"/>
        <v>6.8296470940458818</v>
      </c>
      <c r="T17" s="37"/>
      <c r="U17" s="11"/>
      <c r="V17" s="11"/>
    </row>
    <row r="18" spans="1:22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26279280</v>
      </c>
      <c r="O18" s="24">
        <v>6.8296470940458818</v>
      </c>
      <c r="P18" s="41">
        <f t="shared" si="6"/>
        <v>0</v>
      </c>
      <c r="Q18" s="24">
        <f t="shared" si="2"/>
        <v>0</v>
      </c>
      <c r="R18" s="24">
        <f t="shared" si="3"/>
        <v>26279280</v>
      </c>
      <c r="S18" s="24">
        <f t="shared" si="4"/>
        <v>6.8296470940458818</v>
      </c>
      <c r="T18" s="41"/>
      <c r="U18" s="11"/>
      <c r="V18" s="11"/>
    </row>
    <row r="19" spans="1:22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26279280</v>
      </c>
      <c r="O19" s="24">
        <v>6.8296470940458818</v>
      </c>
      <c r="P19" s="47"/>
      <c r="Q19" s="24">
        <f t="shared" si="2"/>
        <v>0</v>
      </c>
      <c r="R19" s="24">
        <f t="shared" si="3"/>
        <v>26279280</v>
      </c>
      <c r="S19" s="24">
        <f t="shared" si="4"/>
        <v>6.8296470940458818</v>
      </c>
      <c r="T19" s="41">
        <f>1/12*100</f>
        <v>8.3333333333333321</v>
      </c>
      <c r="U19" s="11"/>
      <c r="V19" s="11"/>
    </row>
    <row r="20" spans="1:22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15429200</v>
      </c>
      <c r="O21" s="38">
        <v>6.3619900248060386</v>
      </c>
      <c r="P21" s="132">
        <f>P22+P31+P34+P39+P44+P48+P51+P54+P57+P62+P66</f>
        <v>4301700</v>
      </c>
      <c r="Q21" s="38">
        <f t="shared" si="2"/>
        <v>1.7737389164511532</v>
      </c>
      <c r="R21" s="38">
        <f t="shared" si="3"/>
        <v>19730900</v>
      </c>
      <c r="S21" s="38">
        <f t="shared" si="4"/>
        <v>8.1357289412571898</v>
      </c>
      <c r="T21" s="54"/>
      <c r="U21" s="11"/>
      <c r="V21" s="11"/>
    </row>
    <row r="22" spans="1:22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0</v>
      </c>
      <c r="O22" s="24">
        <v>0</v>
      </c>
      <c r="P22" s="56">
        <f>SUM(P23:P29)</f>
        <v>1587500</v>
      </c>
      <c r="Q22" s="24">
        <f t="shared" si="2"/>
        <v>1.6398988685989064</v>
      </c>
      <c r="R22" s="24">
        <f t="shared" si="3"/>
        <v>1587500</v>
      </c>
      <c r="S22" s="24">
        <f t="shared" si="4"/>
        <v>1.6398988685989064</v>
      </c>
      <c r="T22" s="56"/>
      <c r="U22" s="11"/>
      <c r="V22" s="11"/>
    </row>
    <row r="23" spans="1:22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0</v>
      </c>
      <c r="O23" s="24"/>
      <c r="P23" s="133">
        <v>989500</v>
      </c>
      <c r="Q23" s="24"/>
      <c r="R23" s="24">
        <f t="shared" si="3"/>
        <v>989500</v>
      </c>
      <c r="S23" s="24"/>
      <c r="T23" s="56"/>
      <c r="U23" s="11"/>
      <c r="V23" s="11"/>
    </row>
    <row r="24" spans="1:22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0</v>
      </c>
      <c r="O24" s="24">
        <v>0</v>
      </c>
      <c r="P24" s="50"/>
      <c r="Q24" s="24">
        <f t="shared" si="2"/>
        <v>0</v>
      </c>
      <c r="R24" s="24">
        <f t="shared" si="3"/>
        <v>0</v>
      </c>
      <c r="S24" s="24">
        <f t="shared" si="4"/>
        <v>0</v>
      </c>
      <c r="T24" s="11"/>
      <c r="U24" s="57"/>
      <c r="V24" s="11"/>
    </row>
    <row r="25" spans="1:22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0</v>
      </c>
      <c r="O29" s="24">
        <v>0</v>
      </c>
      <c r="P29" s="50">
        <f>[1]feb!$F$13+[1]feb!$F$14</f>
        <v>598000</v>
      </c>
      <c r="Q29" s="24">
        <f t="shared" si="2"/>
        <v>68.264840182648399</v>
      </c>
      <c r="R29" s="24">
        <f t="shared" si="3"/>
        <v>598000</v>
      </c>
      <c r="S29" s="24">
        <f t="shared" si="4"/>
        <v>68.264840182648399</v>
      </c>
      <c r="T29" s="11"/>
      <c r="U29" s="11"/>
      <c r="V29" s="11"/>
    </row>
    <row r="30" spans="1:22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108000</v>
      </c>
      <c r="O31" s="24">
        <v>3.7177280550774525</v>
      </c>
      <c r="P31" s="62">
        <v>108000</v>
      </c>
      <c r="Q31" s="24">
        <f t="shared" si="2"/>
        <v>3.7177280550774525</v>
      </c>
      <c r="R31" s="24">
        <f t="shared" si="3"/>
        <v>216000</v>
      </c>
      <c r="S31" s="24">
        <f t="shared" si="4"/>
        <v>7.435456110154905</v>
      </c>
      <c r="T31" s="62"/>
      <c r="U31" s="11"/>
      <c r="V31" s="11"/>
    </row>
    <row r="32" spans="1:22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108000</v>
      </c>
      <c r="O32" s="24">
        <v>3.7177280550774525</v>
      </c>
      <c r="P32" s="50">
        <v>108000</v>
      </c>
      <c r="Q32" s="24">
        <f t="shared" si="2"/>
        <v>3.7177280550774525</v>
      </c>
      <c r="R32" s="24">
        <f t="shared" si="3"/>
        <v>216000</v>
      </c>
      <c r="S32" s="24">
        <f t="shared" si="4"/>
        <v>7.435456110154905</v>
      </c>
      <c r="T32" s="62">
        <f>8/104*100</f>
        <v>7.6923076923076925</v>
      </c>
      <c r="U32" s="70"/>
      <c r="V32" s="11"/>
    </row>
    <row r="33" spans="1:22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871200</v>
      </c>
      <c r="O34" s="24">
        <v>4.5768321513002359</v>
      </c>
      <c r="P34" s="73">
        <f>SUM(P35:P37)</f>
        <v>871200</v>
      </c>
      <c r="Q34" s="24">
        <f t="shared" si="2"/>
        <v>4.5768321513002359</v>
      </c>
      <c r="R34" s="24">
        <f t="shared" si="3"/>
        <v>1742400</v>
      </c>
      <c r="S34" s="24">
        <f t="shared" si="4"/>
        <v>9.1536643026004718</v>
      </c>
      <c r="T34" s="73"/>
      <c r="U34" s="11"/>
      <c r="V34" s="11"/>
    </row>
    <row r="35" spans="1:22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867700</v>
      </c>
      <c r="O35" s="24">
        <v>7.2308333333333339</v>
      </c>
      <c r="P35" s="50">
        <v>867700</v>
      </c>
      <c r="Q35" s="24">
        <f t="shared" si="2"/>
        <v>7.2308333333333339</v>
      </c>
      <c r="R35" s="24">
        <f t="shared" si="3"/>
        <v>1735400</v>
      </c>
      <c r="S35" s="24">
        <f t="shared" si="4"/>
        <v>14.461666666666668</v>
      </c>
      <c r="T35" s="11">
        <f>1/12*100</f>
        <v>8.3333333333333321</v>
      </c>
      <c r="U35" s="11"/>
      <c r="V35" s="11"/>
    </row>
    <row r="36" spans="1:22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3500</v>
      </c>
      <c r="O36" s="24">
        <v>0.65420560747663559</v>
      </c>
      <c r="P36" s="50">
        <v>3500</v>
      </c>
      <c r="Q36" s="24">
        <f t="shared" si="2"/>
        <v>0.65420560747663559</v>
      </c>
      <c r="R36" s="24">
        <f t="shared" si="3"/>
        <v>7000</v>
      </c>
      <c r="S36" s="24">
        <f t="shared" si="4"/>
        <v>1.3084112149532712</v>
      </c>
      <c r="T36" s="73">
        <f>1/12*100</f>
        <v>8.3333333333333321</v>
      </c>
      <c r="U36" s="11"/>
      <c r="V36" s="11"/>
    </row>
    <row r="37" spans="1:22" ht="30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0</v>
      </c>
      <c r="O37" s="24">
        <v>0</v>
      </c>
      <c r="P37" s="50"/>
      <c r="Q37" s="24">
        <f t="shared" si="2"/>
        <v>0</v>
      </c>
      <c r="R37" s="24">
        <f t="shared" si="3"/>
        <v>0</v>
      </c>
      <c r="S37" s="24">
        <f t="shared" si="4"/>
        <v>0</v>
      </c>
      <c r="T37" s="11"/>
      <c r="U37" s="11"/>
      <c r="V37" s="11"/>
    </row>
    <row r="38" spans="1:22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120000</v>
      </c>
      <c r="O44" s="24">
        <v>0.24226884775926552</v>
      </c>
      <c r="P44" s="73">
        <f>SUM(P45:P46)</f>
        <v>90000</v>
      </c>
      <c r="Q44" s="24">
        <f t="shared" si="2"/>
        <v>0.18170163581944915</v>
      </c>
      <c r="R44" s="24">
        <f t="shared" si="3"/>
        <v>210000</v>
      </c>
      <c r="S44" s="24">
        <f t="shared" si="4"/>
        <v>0.42397048357871464</v>
      </c>
      <c r="T44" s="73"/>
      <c r="U44" s="11"/>
      <c r="V44" s="11"/>
    </row>
    <row r="45" spans="1:22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120000</v>
      </c>
      <c r="O46" s="24">
        <v>8.323218311080284</v>
      </c>
      <c r="P46" s="50">
        <v>90000</v>
      </c>
      <c r="Q46" s="24">
        <f t="shared" si="2"/>
        <v>6.2424137333102134</v>
      </c>
      <c r="R46" s="24">
        <f t="shared" si="3"/>
        <v>210000</v>
      </c>
      <c r="S46" s="24">
        <f t="shared" si="4"/>
        <v>14.565632044390497</v>
      </c>
      <c r="T46" s="11">
        <f>480/5757*100</f>
        <v>8.3376758728504434</v>
      </c>
      <c r="U46" s="57"/>
      <c r="V46" s="57"/>
    </row>
    <row r="47" spans="1:22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825000</v>
      </c>
      <c r="O48" s="24">
        <v>9.0909090909090917</v>
      </c>
      <c r="P48" s="73">
        <f>P49</f>
        <v>825000</v>
      </c>
      <c r="Q48" s="24">
        <f t="shared" si="2"/>
        <v>9.0909090909090917</v>
      </c>
      <c r="R48" s="24">
        <f t="shared" si="3"/>
        <v>1650000</v>
      </c>
      <c r="S48" s="24">
        <f t="shared" si="4"/>
        <v>18.181818181818183</v>
      </c>
      <c r="T48" s="73"/>
      <c r="U48" s="57"/>
      <c r="V48" s="57"/>
    </row>
    <row r="49" spans="1:22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825000</v>
      </c>
      <c r="O49" s="24">
        <v>9.0909090909090917</v>
      </c>
      <c r="P49" s="50">
        <v>825000</v>
      </c>
      <c r="Q49" s="24">
        <f t="shared" si="2"/>
        <v>9.0909090909090917</v>
      </c>
      <c r="R49" s="24">
        <f t="shared" si="3"/>
        <v>1650000</v>
      </c>
      <c r="S49" s="24">
        <f t="shared" si="4"/>
        <v>18.181818181818183</v>
      </c>
      <c r="T49" s="57">
        <f>1/11*100</f>
        <v>9.0909090909090917</v>
      </c>
      <c r="U49" s="57"/>
      <c r="V49" s="57"/>
    </row>
    <row r="50" spans="1:22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0</v>
      </c>
      <c r="O51" s="24"/>
      <c r="P51" s="65">
        <f>P52</f>
        <v>0</v>
      </c>
      <c r="Q51" s="24"/>
      <c r="R51" s="24">
        <f t="shared" si="3"/>
        <v>0</v>
      </c>
      <c r="S51" s="24"/>
      <c r="T51" s="73"/>
      <c r="U51" s="57"/>
      <c r="V51" s="57"/>
    </row>
    <row r="52" spans="1:22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0</v>
      </c>
      <c r="O52" s="24"/>
      <c r="P52" s="65"/>
      <c r="Q52" s="24"/>
      <c r="R52" s="24">
        <f t="shared" si="3"/>
        <v>0</v>
      </c>
      <c r="S52" s="24"/>
      <c r="T52" s="57"/>
      <c r="U52" s="57"/>
      <c r="V52" s="57"/>
    </row>
    <row r="53" spans="1:22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0</v>
      </c>
      <c r="O54" s="24">
        <v>0</v>
      </c>
      <c r="P54" s="73">
        <f>P55</f>
        <v>0</v>
      </c>
      <c r="Q54" s="24">
        <f t="shared" si="2"/>
        <v>0</v>
      </c>
      <c r="R54" s="24">
        <f t="shared" si="3"/>
        <v>0</v>
      </c>
      <c r="S54" s="24">
        <f t="shared" si="4"/>
        <v>0</v>
      </c>
      <c r="T54" s="73"/>
      <c r="U54" s="57"/>
      <c r="V54" s="57"/>
    </row>
    <row r="55" spans="1:22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0</v>
      </c>
      <c r="O55" s="24">
        <v>0</v>
      </c>
      <c r="P55" s="50"/>
      <c r="Q55" s="24">
        <f t="shared" si="2"/>
        <v>0</v>
      </c>
      <c r="R55" s="24">
        <f t="shared" si="3"/>
        <v>0</v>
      </c>
      <c r="S55" s="24">
        <f t="shared" si="4"/>
        <v>0</v>
      </c>
      <c r="T55" s="57"/>
      <c r="U55" s="57"/>
      <c r="V55" s="57"/>
    </row>
    <row r="56" spans="1:22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250000</v>
      </c>
      <c r="O62" s="24">
        <v>1.9230769230769231</v>
      </c>
      <c r="P62" s="73">
        <f>SUM(P63:P64)</f>
        <v>250000</v>
      </c>
      <c r="Q62" s="24">
        <f t="shared" si="2"/>
        <v>1.9230769230769231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250000</v>
      </c>
      <c r="O63" s="24">
        <v>8.3333333333333321</v>
      </c>
      <c r="P63" s="50">
        <v>250000</v>
      </c>
      <c r="Q63" s="24">
        <f t="shared" si="2"/>
        <v>8.3333333333333321</v>
      </c>
      <c r="R63" s="24">
        <f t="shared" si="3"/>
        <v>500000</v>
      </c>
      <c r="S63" s="24">
        <f t="shared" si="4"/>
        <v>16.666666666666664</v>
      </c>
      <c r="T63" s="57">
        <f>1/12*100</f>
        <v>8.3333333333333321</v>
      </c>
      <c r="U63" s="57"/>
      <c r="V63" s="57"/>
    </row>
    <row r="64" spans="1:22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0</v>
      </c>
      <c r="O66" s="24">
        <v>0</v>
      </c>
      <c r="P66" s="106">
        <f>P67</f>
        <v>570000</v>
      </c>
      <c r="Q66" s="24">
        <f t="shared" si="2"/>
        <v>99.982459217681111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0</v>
      </c>
      <c r="O67" s="24">
        <v>0</v>
      </c>
      <c r="P67" s="109">
        <v>570000</v>
      </c>
      <c r="Q67" s="24">
        <f t="shared" si="2"/>
        <v>99.982459217681111</v>
      </c>
      <c r="R67" s="24">
        <f t="shared" si="3"/>
        <v>570000</v>
      </c>
      <c r="S67" s="24">
        <f t="shared" si="4"/>
        <v>99.982459217681111</v>
      </c>
      <c r="T67" s="8"/>
      <c r="U67" s="8"/>
      <c r="V67" s="8"/>
    </row>
    <row r="68" spans="1:22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0</v>
      </c>
      <c r="O69" s="38">
        <v>0</v>
      </c>
      <c r="P69" s="134">
        <f>P70+P73</f>
        <v>0</v>
      </c>
      <c r="Q69" s="38">
        <f t="shared" si="2"/>
        <v>0</v>
      </c>
      <c r="R69" s="38">
        <f t="shared" si="3"/>
        <v>0</v>
      </c>
      <c r="S69" s="38">
        <f t="shared" si="4"/>
        <v>0</v>
      </c>
      <c r="T69" s="112"/>
      <c r="U69" s="89"/>
      <c r="V69" s="89"/>
    </row>
    <row r="70" spans="1:22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0</v>
      </c>
      <c r="O70" s="24">
        <v>0</v>
      </c>
      <c r="P70" s="89">
        <f>P71</f>
        <v>0</v>
      </c>
      <c r="Q70" s="24">
        <f t="shared" si="2"/>
        <v>0</v>
      </c>
      <c r="R70" s="24">
        <f t="shared" si="3"/>
        <v>0</v>
      </c>
      <c r="S70" s="24">
        <f t="shared" si="4"/>
        <v>0</v>
      </c>
      <c r="T70" s="89"/>
      <c r="U70" s="89"/>
      <c r="V70" s="89"/>
    </row>
    <row r="71" spans="1:22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0</v>
      </c>
      <c r="O71" s="24">
        <v>0</v>
      </c>
      <c r="P71" s="57"/>
      <c r="Q71" s="24">
        <f t="shared" si="2"/>
        <v>0</v>
      </c>
      <c r="R71" s="24">
        <f t="shared" si="3"/>
        <v>0</v>
      </c>
      <c r="S71" s="24">
        <f t="shared" si="4"/>
        <v>0</v>
      </c>
      <c r="T71" s="113"/>
      <c r="U71" s="113"/>
      <c r="V71" s="57"/>
    </row>
    <row r="72" spans="1:22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>
      <c r="A75" s="151" t="s">
        <v>73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3"/>
      <c r="L75" s="128"/>
      <c r="M75" s="121">
        <f>M12</f>
        <v>641304000</v>
      </c>
      <c r="N75" s="122">
        <f t="shared" ref="N75:V75" si="7">N12</f>
        <v>41708480</v>
      </c>
      <c r="O75" s="135">
        <f t="shared" ref="O75" si="8">N75/M75*100</f>
        <v>6.5036987138704889</v>
      </c>
      <c r="P75" s="122">
        <f t="shared" si="7"/>
        <v>4301700</v>
      </c>
      <c r="Q75" s="123">
        <f t="shared" si="2"/>
        <v>0.67077392313161932</v>
      </c>
      <c r="R75" s="124">
        <f t="shared" si="3"/>
        <v>46010180</v>
      </c>
      <c r="S75" s="135">
        <f t="shared" si="4"/>
        <v>7.1744726370021077</v>
      </c>
      <c r="T75" s="122"/>
      <c r="U75" s="125">
        <f t="shared" si="7"/>
        <v>0</v>
      </c>
      <c r="V75" s="121">
        <f t="shared" si="7"/>
        <v>0</v>
      </c>
    </row>
    <row r="78" spans="1:22">
      <c r="R78" s="154" t="s">
        <v>94</v>
      </c>
      <c r="S78" s="154"/>
      <c r="T78" s="154"/>
      <c r="U78" s="154"/>
    </row>
    <row r="79" spans="1:22">
      <c r="R79" s="154" t="s">
        <v>74</v>
      </c>
      <c r="S79" s="154"/>
      <c r="T79" s="154"/>
      <c r="U79" s="154"/>
    </row>
    <row r="80" spans="1:22">
      <c r="R80" s="129"/>
      <c r="S80" s="129"/>
      <c r="T80" s="129"/>
      <c r="U80" s="129"/>
    </row>
    <row r="81" spans="18:21">
      <c r="R81" s="129"/>
      <c r="S81" s="129"/>
      <c r="T81" s="129"/>
      <c r="U81" s="129"/>
    </row>
    <row r="82" spans="18:21">
      <c r="R82" s="127"/>
      <c r="S82" s="127"/>
      <c r="T82" s="127"/>
      <c r="U82" s="127"/>
    </row>
    <row r="83" spans="18:21">
      <c r="R83" s="155" t="s">
        <v>75</v>
      </c>
      <c r="S83" s="155"/>
      <c r="T83" s="155"/>
      <c r="U83" s="155"/>
    </row>
    <row r="84" spans="18:21">
      <c r="R84" s="148" t="s">
        <v>76</v>
      </c>
      <c r="S84" s="148"/>
      <c r="T84" s="148"/>
      <c r="U84" s="148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4"/>
  <sheetViews>
    <sheetView workbookViewId="0">
      <selection activeCell="A4" sqref="A4:V4"/>
    </sheetView>
  </sheetViews>
  <sheetFormatPr defaultRowHeight="1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2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2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spans="1:22">
      <c r="A4" s="156" t="s">
        <v>96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57" t="s">
        <v>3</v>
      </c>
      <c r="B6" s="157"/>
      <c r="C6" s="157"/>
      <c r="D6" s="157"/>
      <c r="E6" s="157"/>
      <c r="F6" s="157"/>
      <c r="G6" s="157"/>
      <c r="H6" s="157"/>
      <c r="I6" s="157"/>
      <c r="J6" s="157"/>
      <c r="K6" s="157" t="s">
        <v>4</v>
      </c>
      <c r="L6" s="158" t="s">
        <v>5</v>
      </c>
      <c r="M6" s="161" t="s">
        <v>6</v>
      </c>
      <c r="N6" s="164" t="s">
        <v>7</v>
      </c>
      <c r="O6" s="165"/>
      <c r="P6" s="165"/>
      <c r="Q6" s="165"/>
      <c r="R6" s="165"/>
      <c r="S6" s="165"/>
      <c r="T6" s="166"/>
      <c r="U6" s="167" t="s">
        <v>8</v>
      </c>
      <c r="V6" s="167" t="s">
        <v>9</v>
      </c>
    </row>
    <row r="7" spans="1:22" ht="15.7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9"/>
      <c r="M7" s="162"/>
      <c r="N7" s="168" t="s">
        <v>10</v>
      </c>
      <c r="O7" s="169"/>
      <c r="P7" s="168" t="s">
        <v>11</v>
      </c>
      <c r="Q7" s="169"/>
      <c r="R7" s="164" t="s">
        <v>12</v>
      </c>
      <c r="S7" s="165"/>
      <c r="T7" s="166"/>
      <c r="U7" s="167"/>
      <c r="V7" s="167"/>
    </row>
    <row r="8" spans="1:22" ht="15.7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0"/>
      <c r="M8" s="163"/>
      <c r="N8" s="168" t="s">
        <v>13</v>
      </c>
      <c r="O8" s="169"/>
      <c r="P8" s="168" t="s">
        <v>13</v>
      </c>
      <c r="Q8" s="169"/>
      <c r="R8" s="149" t="s">
        <v>13</v>
      </c>
      <c r="S8" s="150"/>
      <c r="T8" s="2" t="s">
        <v>14</v>
      </c>
      <c r="U8" s="167"/>
      <c r="V8" s="167"/>
    </row>
    <row r="9" spans="1:22" ht="30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46010180</v>
      </c>
      <c r="O10" s="17">
        <v>7.1744726370021077</v>
      </c>
      <c r="P10" s="8">
        <f>P12</f>
        <v>87267720</v>
      </c>
      <c r="Q10" s="17">
        <f>P10/M10*100</f>
        <v>13.607855244938438</v>
      </c>
      <c r="R10" s="8">
        <f>R12</f>
        <v>133277900</v>
      </c>
      <c r="S10" s="17">
        <f>R10/M10*100</f>
        <v>20.782327881940546</v>
      </c>
      <c r="T10" s="8"/>
      <c r="U10" s="11"/>
      <c r="V10" s="11"/>
    </row>
    <row r="11" spans="1:22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46010180</v>
      </c>
      <c r="O12" s="24">
        <v>7.1744726370021077</v>
      </c>
      <c r="P12" s="24">
        <f t="shared" ref="P12" si="0">P13+P14+P15</f>
        <v>87267720</v>
      </c>
      <c r="Q12" s="24">
        <f>P12/M12*100</f>
        <v>13.607855244938438</v>
      </c>
      <c r="R12" s="24">
        <f>P12+N12</f>
        <v>133277900</v>
      </c>
      <c r="S12" s="24">
        <f>R12/M12*100</f>
        <v>20.782327881940546</v>
      </c>
      <c r="T12" s="24"/>
      <c r="U12" s="11"/>
      <c r="V12" s="11"/>
    </row>
    <row r="13" spans="1:22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26279280</v>
      </c>
      <c r="O13" s="24">
        <v>6.8296470940458818</v>
      </c>
      <c r="P13" s="24">
        <f t="shared" ref="P13" si="1">P17</f>
        <v>60068520</v>
      </c>
      <c r="Q13" s="24">
        <f t="shared" ref="Q13:Q75" si="2">P13/M13*100</f>
        <v>15.611036263612888</v>
      </c>
      <c r="R13" s="24">
        <f t="shared" ref="R13:R75" si="3">P13+N13</f>
        <v>86347800</v>
      </c>
      <c r="S13" s="24">
        <f t="shared" ref="S13:S75" si="4">R13/M13*100</f>
        <v>22.44068335765877</v>
      </c>
      <c r="T13" s="24"/>
      <c r="U13" s="11"/>
      <c r="V13" s="11"/>
    </row>
    <row r="14" spans="1:22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19730900</v>
      </c>
      <c r="O14" s="24">
        <v>8.1357289412571898</v>
      </c>
      <c r="P14" s="24">
        <f>P21</f>
        <v>22599200</v>
      </c>
      <c r="Q14" s="24">
        <f t="shared" si="2"/>
        <v>9.3184277194278788</v>
      </c>
      <c r="R14" s="24">
        <f t="shared" si="3"/>
        <v>42330100</v>
      </c>
      <c r="S14" s="24">
        <f t="shared" si="4"/>
        <v>17.454156660685069</v>
      </c>
      <c r="T14" s="24"/>
      <c r="U14" s="11"/>
      <c r="V14" s="11"/>
    </row>
    <row r="15" spans="1:22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0</v>
      </c>
      <c r="O15" s="24">
        <v>0</v>
      </c>
      <c r="P15" s="24">
        <f t="shared" ref="P15" si="5">P69</f>
        <v>4600000</v>
      </c>
      <c r="Q15" s="24">
        <f t="shared" si="2"/>
        <v>32.857142857142854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26279280</v>
      </c>
      <c r="O17" s="38">
        <v>6.8296470940458818</v>
      </c>
      <c r="P17" s="37">
        <f t="shared" ref="P17:P18" si="6">P18</f>
        <v>60068520</v>
      </c>
      <c r="Q17" s="38">
        <f t="shared" si="2"/>
        <v>15.611036263612888</v>
      </c>
      <c r="R17" s="38">
        <f t="shared" si="3"/>
        <v>86347800</v>
      </c>
      <c r="S17" s="38">
        <f t="shared" si="4"/>
        <v>22.44068335765877</v>
      </c>
      <c r="T17" s="37"/>
      <c r="U17" s="11"/>
      <c r="V17" s="11"/>
    </row>
    <row r="18" spans="1:22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26279280</v>
      </c>
      <c r="O18" s="24">
        <v>6.8296470940458818</v>
      </c>
      <c r="P18" s="41">
        <f t="shared" si="6"/>
        <v>60068520</v>
      </c>
      <c r="Q18" s="24">
        <f t="shared" si="2"/>
        <v>15.611036263612888</v>
      </c>
      <c r="R18" s="24">
        <f t="shared" si="3"/>
        <v>86347800</v>
      </c>
      <c r="S18" s="24">
        <f t="shared" si="4"/>
        <v>22.44068335765877</v>
      </c>
      <c r="T18" s="41"/>
      <c r="U18" s="11"/>
      <c r="V18" s="11"/>
    </row>
    <row r="19" spans="1:22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26279280</v>
      </c>
      <c r="O19" s="24">
        <v>6.8296470940458818</v>
      </c>
      <c r="P19" s="47">
        <v>60068520</v>
      </c>
      <c r="Q19" s="24">
        <f t="shared" si="2"/>
        <v>15.611036263612888</v>
      </c>
      <c r="R19" s="24">
        <f t="shared" si="3"/>
        <v>86347800</v>
      </c>
      <c r="S19" s="24">
        <f t="shared" si="4"/>
        <v>22.44068335765877</v>
      </c>
      <c r="T19" s="41">
        <f>3/12*100</f>
        <v>25</v>
      </c>
      <c r="U19" s="11"/>
      <c r="V19" s="11"/>
    </row>
    <row r="20" spans="1:22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19730900</v>
      </c>
      <c r="O21" s="38">
        <v>8.1357289412571898</v>
      </c>
      <c r="P21" s="132">
        <f>P22+P31+P34+P39+P44+P48+P51+P54+P57+P62+P66</f>
        <v>22599200</v>
      </c>
      <c r="Q21" s="38">
        <f t="shared" si="2"/>
        <v>9.3184277194278788</v>
      </c>
      <c r="R21" s="38">
        <f t="shared" si="3"/>
        <v>42330100</v>
      </c>
      <c r="S21" s="38">
        <f t="shared" si="4"/>
        <v>17.454156660685069</v>
      </c>
      <c r="T21" s="54"/>
      <c r="U21" s="11"/>
      <c r="V21" s="11"/>
    </row>
    <row r="22" spans="1:22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1587500</v>
      </c>
      <c r="O22" s="24">
        <v>1.6398988685989064</v>
      </c>
      <c r="P22" s="56">
        <f>SUM(P23:P29)</f>
        <v>600000</v>
      </c>
      <c r="Q22" s="24">
        <f t="shared" si="2"/>
        <v>0.61980429679328752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0</v>
      </c>
      <c r="O24" s="24">
        <v>0</v>
      </c>
      <c r="P24" s="50">
        <v>600000</v>
      </c>
      <c r="Q24" s="24">
        <f t="shared" si="2"/>
        <v>100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216000</v>
      </c>
      <c r="O31" s="24">
        <v>7.435456110154905</v>
      </c>
      <c r="P31" s="62">
        <v>108000</v>
      </c>
      <c r="Q31" s="24">
        <f t="shared" si="2"/>
        <v>3.7177280550774525</v>
      </c>
      <c r="R31" s="24">
        <f t="shared" si="3"/>
        <v>324000</v>
      </c>
      <c r="S31" s="24">
        <f t="shared" si="4"/>
        <v>11.153184165232357</v>
      </c>
      <c r="T31" s="62"/>
      <c r="U31" s="11"/>
      <c r="V31" s="11"/>
    </row>
    <row r="32" spans="1:22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216000</v>
      </c>
      <c r="O32" s="24">
        <v>7.435456110154905</v>
      </c>
      <c r="P32" s="50">
        <v>108000</v>
      </c>
      <c r="Q32" s="24">
        <f t="shared" si="2"/>
        <v>3.7177280550774525</v>
      </c>
      <c r="R32" s="24">
        <f t="shared" si="3"/>
        <v>324000</v>
      </c>
      <c r="S32" s="24">
        <f t="shared" si="4"/>
        <v>11.153184165232357</v>
      </c>
      <c r="T32" s="62">
        <f>24/104*100</f>
        <v>23.076923076923077</v>
      </c>
      <c r="U32" s="70"/>
      <c r="V32" s="11"/>
    </row>
    <row r="33" spans="1:22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1742400</v>
      </c>
      <c r="O34" s="24">
        <v>9.1536643026004718</v>
      </c>
      <c r="P34" s="73">
        <f>SUM(P35:P37)</f>
        <v>3521200</v>
      </c>
      <c r="Q34" s="24">
        <f t="shared" si="2"/>
        <v>18.498555292881534</v>
      </c>
      <c r="R34" s="24">
        <f t="shared" si="3"/>
        <v>5263600</v>
      </c>
      <c r="S34" s="24">
        <f t="shared" si="4"/>
        <v>27.652219595482009</v>
      </c>
      <c r="T34" s="73"/>
      <c r="U34" s="11"/>
      <c r="V34" s="11"/>
    </row>
    <row r="35" spans="1:22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1735400</v>
      </c>
      <c r="O35" s="24">
        <v>14.461666666666668</v>
      </c>
      <c r="P35" s="50">
        <v>867700</v>
      </c>
      <c r="Q35" s="24">
        <f t="shared" si="2"/>
        <v>7.2308333333333339</v>
      </c>
      <c r="R35" s="24">
        <f t="shared" si="3"/>
        <v>2603100</v>
      </c>
      <c r="S35" s="24">
        <f t="shared" si="4"/>
        <v>21.692499999999999</v>
      </c>
      <c r="T35" s="11">
        <f>3/12*100</f>
        <v>25</v>
      </c>
      <c r="U35" s="11"/>
      <c r="V35" s="11"/>
    </row>
    <row r="36" spans="1:22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7000</v>
      </c>
      <c r="O36" s="24">
        <v>1.3084112149532712</v>
      </c>
      <c r="P36" s="50">
        <v>3500</v>
      </c>
      <c r="Q36" s="24">
        <f t="shared" si="2"/>
        <v>0.65420560747663559</v>
      </c>
      <c r="R36" s="24">
        <f t="shared" si="3"/>
        <v>10500</v>
      </c>
      <c r="S36" s="24">
        <f t="shared" si="4"/>
        <v>1.9626168224299065</v>
      </c>
      <c r="T36" s="73">
        <f>3/12*100</f>
        <v>25</v>
      </c>
      <c r="U36" s="11"/>
      <c r="V36" s="11"/>
    </row>
    <row r="37" spans="1:22" ht="30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0</v>
      </c>
      <c r="O37" s="24">
        <v>0</v>
      </c>
      <c r="P37" s="50">
        <v>2650000</v>
      </c>
      <c r="Q37" s="24">
        <f t="shared" si="2"/>
        <v>40.769230769230766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210000</v>
      </c>
      <c r="O44" s="24">
        <v>0.42397048357871464</v>
      </c>
      <c r="P44" s="73">
        <f>SUM(P45:P46)</f>
        <v>120000</v>
      </c>
      <c r="Q44" s="24">
        <f t="shared" si="2"/>
        <v>0.24226884775926552</v>
      </c>
      <c r="R44" s="24">
        <f t="shared" si="3"/>
        <v>330000</v>
      </c>
      <c r="S44" s="24">
        <f t="shared" si="4"/>
        <v>0.66623933133798019</v>
      </c>
      <c r="T44" s="73"/>
      <c r="U44" s="11"/>
      <c r="V44" s="11"/>
    </row>
    <row r="45" spans="1:22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210000</v>
      </c>
      <c r="O46" s="24">
        <v>14.565632044390497</v>
      </c>
      <c r="P46" s="50">
        <v>120000</v>
      </c>
      <c r="Q46" s="24">
        <f t="shared" si="2"/>
        <v>8.323218311080284</v>
      </c>
      <c r="R46" s="24">
        <f t="shared" si="3"/>
        <v>330000</v>
      </c>
      <c r="S46" s="24">
        <f t="shared" si="4"/>
        <v>22.888850355470783</v>
      </c>
      <c r="T46" s="11">
        <f>1320/5757*100</f>
        <v>22.92860865033872</v>
      </c>
      <c r="U46" s="57"/>
      <c r="V46" s="57"/>
    </row>
    <row r="47" spans="1:22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1650000</v>
      </c>
      <c r="O48" s="24">
        <v>18.181818181818183</v>
      </c>
      <c r="P48" s="73">
        <f>P49</f>
        <v>750000</v>
      </c>
      <c r="Q48" s="24">
        <f t="shared" si="2"/>
        <v>8.2644628099173563</v>
      </c>
      <c r="R48" s="24">
        <f t="shared" si="3"/>
        <v>2400000</v>
      </c>
      <c r="S48" s="24">
        <f t="shared" si="4"/>
        <v>26.446280991735538</v>
      </c>
      <c r="T48" s="73"/>
      <c r="U48" s="57"/>
      <c r="V48" s="57"/>
    </row>
    <row r="49" spans="1:22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1650000</v>
      </c>
      <c r="O49" s="24">
        <v>18.181818181818183</v>
      </c>
      <c r="P49" s="50">
        <v>750000</v>
      </c>
      <c r="Q49" s="24">
        <f t="shared" si="2"/>
        <v>8.2644628099173563</v>
      </c>
      <c r="R49" s="24">
        <f t="shared" si="3"/>
        <v>2400000</v>
      </c>
      <c r="S49" s="24">
        <f t="shared" si="4"/>
        <v>26.446280991735538</v>
      </c>
      <c r="T49" s="57">
        <f>3/11*100</f>
        <v>27.27272727272727</v>
      </c>
      <c r="U49" s="57"/>
      <c r="V49" s="57"/>
    </row>
    <row r="50" spans="1:22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0</v>
      </c>
      <c r="O51" s="24"/>
      <c r="P51" s="65">
        <f>P52</f>
        <v>4500000</v>
      </c>
      <c r="Q51" s="24"/>
      <c r="R51" s="24">
        <f t="shared" si="3"/>
        <v>4500000</v>
      </c>
      <c r="S51" s="24"/>
      <c r="T51" s="73"/>
      <c r="U51" s="57"/>
      <c r="V51" s="57"/>
    </row>
    <row r="52" spans="1:22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0</v>
      </c>
      <c r="O52" s="24"/>
      <c r="P52" s="50">
        <v>4500000</v>
      </c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0</v>
      </c>
      <c r="O54" s="24">
        <v>0</v>
      </c>
      <c r="P54" s="73">
        <f>P55</f>
        <v>13000000</v>
      </c>
      <c r="Q54" s="24">
        <f t="shared" si="2"/>
        <v>86.666666666666671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0</v>
      </c>
      <c r="O55" s="24">
        <v>0</v>
      </c>
      <c r="P55" s="50">
        <v>13000000</v>
      </c>
      <c r="Q55" s="24">
        <f t="shared" si="2"/>
        <v>86.666666666666671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f>SUM(P63:P64)</f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0</v>
      </c>
      <c r="O69" s="38">
        <v>0</v>
      </c>
      <c r="P69" s="134">
        <f>P70+P73</f>
        <v>4600000</v>
      </c>
      <c r="Q69" s="38">
        <f t="shared" si="2"/>
        <v>32.857142857142854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0</v>
      </c>
      <c r="O70" s="24">
        <v>0</v>
      </c>
      <c r="P70" s="89">
        <f>P71</f>
        <v>4600000</v>
      </c>
      <c r="Q70" s="24">
        <f t="shared" si="2"/>
        <v>100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0</v>
      </c>
      <c r="O71" s="24">
        <v>0</v>
      </c>
      <c r="P71" s="57">
        <v>4600000</v>
      </c>
      <c r="Q71" s="24">
        <f t="shared" si="2"/>
        <v>100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>
      <c r="A75" s="151" t="s">
        <v>73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3"/>
      <c r="L75" s="130"/>
      <c r="M75" s="121">
        <f>M12</f>
        <v>641304000</v>
      </c>
      <c r="N75" s="122">
        <f t="shared" ref="N75:V75" si="7">N12</f>
        <v>46010180</v>
      </c>
      <c r="O75" s="135">
        <f t="shared" ref="O75" si="8">N75/M75*100</f>
        <v>7.1744726370021077</v>
      </c>
      <c r="P75" s="122">
        <f t="shared" si="7"/>
        <v>87267720</v>
      </c>
      <c r="Q75" s="123">
        <f t="shared" si="2"/>
        <v>13.607855244938438</v>
      </c>
      <c r="R75" s="124">
        <f t="shared" si="3"/>
        <v>133277900</v>
      </c>
      <c r="S75" s="135">
        <f t="shared" si="4"/>
        <v>20.782327881940546</v>
      </c>
      <c r="T75" s="122"/>
      <c r="U75" s="125">
        <f t="shared" si="7"/>
        <v>0</v>
      </c>
      <c r="V75" s="121">
        <f t="shared" si="7"/>
        <v>0</v>
      </c>
    </row>
    <row r="78" spans="1:22">
      <c r="R78" s="154" t="s">
        <v>94</v>
      </c>
      <c r="S78" s="154"/>
      <c r="T78" s="154"/>
      <c r="U78" s="154"/>
    </row>
    <row r="79" spans="1:22">
      <c r="R79" s="154" t="s">
        <v>74</v>
      </c>
      <c r="S79" s="154"/>
      <c r="T79" s="154"/>
      <c r="U79" s="154"/>
    </row>
    <row r="80" spans="1:22">
      <c r="R80" s="131"/>
      <c r="S80" s="131"/>
      <c r="T80" s="131"/>
      <c r="U80" s="131"/>
    </row>
    <row r="81" spans="18:21">
      <c r="R81" s="131"/>
      <c r="S81" s="131"/>
      <c r="T81" s="131"/>
      <c r="U81" s="131"/>
    </row>
    <row r="82" spans="18:21">
      <c r="R82" s="127"/>
      <c r="S82" s="127"/>
      <c r="T82" s="127"/>
      <c r="U82" s="127"/>
    </row>
    <row r="83" spans="18:21">
      <c r="R83" s="155" t="s">
        <v>75</v>
      </c>
      <c r="S83" s="155"/>
      <c r="T83" s="155"/>
      <c r="U83" s="155"/>
    </row>
    <row r="84" spans="18:21">
      <c r="R84" s="148" t="s">
        <v>76</v>
      </c>
      <c r="S84" s="148"/>
      <c r="T84" s="148"/>
      <c r="U84" s="14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84"/>
  <sheetViews>
    <sheetView topLeftCell="I1" workbookViewId="0">
      <selection activeCell="R10" sqref="R10:S74"/>
    </sheetView>
  </sheetViews>
  <sheetFormatPr defaultRowHeight="1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2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2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spans="1:22">
      <c r="A4" s="156" t="s">
        <v>97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57" t="s">
        <v>3</v>
      </c>
      <c r="B6" s="157"/>
      <c r="C6" s="157"/>
      <c r="D6" s="157"/>
      <c r="E6" s="157"/>
      <c r="F6" s="157"/>
      <c r="G6" s="157"/>
      <c r="H6" s="157"/>
      <c r="I6" s="157"/>
      <c r="J6" s="157"/>
      <c r="K6" s="157" t="s">
        <v>4</v>
      </c>
      <c r="L6" s="158" t="s">
        <v>5</v>
      </c>
      <c r="M6" s="161" t="s">
        <v>6</v>
      </c>
      <c r="N6" s="164" t="s">
        <v>7</v>
      </c>
      <c r="O6" s="165"/>
      <c r="P6" s="165"/>
      <c r="Q6" s="165"/>
      <c r="R6" s="165"/>
      <c r="S6" s="165"/>
      <c r="T6" s="166"/>
      <c r="U6" s="167" t="s">
        <v>8</v>
      </c>
      <c r="V6" s="167" t="s">
        <v>9</v>
      </c>
    </row>
    <row r="7" spans="1:22" ht="15.7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9"/>
      <c r="M7" s="162"/>
      <c r="N7" s="168" t="s">
        <v>10</v>
      </c>
      <c r="O7" s="169"/>
      <c r="P7" s="168" t="s">
        <v>11</v>
      </c>
      <c r="Q7" s="169"/>
      <c r="R7" s="164" t="s">
        <v>12</v>
      </c>
      <c r="S7" s="165"/>
      <c r="T7" s="166"/>
      <c r="U7" s="167"/>
      <c r="V7" s="167"/>
    </row>
    <row r="8" spans="1:22" ht="15.7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0"/>
      <c r="M8" s="163"/>
      <c r="N8" s="168" t="s">
        <v>13</v>
      </c>
      <c r="O8" s="169"/>
      <c r="P8" s="168" t="s">
        <v>13</v>
      </c>
      <c r="Q8" s="169"/>
      <c r="R8" s="149" t="s">
        <v>13</v>
      </c>
      <c r="S8" s="150"/>
      <c r="T8" s="2" t="s">
        <v>14</v>
      </c>
      <c r="U8" s="167"/>
      <c r="V8" s="167"/>
    </row>
    <row r="9" spans="1:22" ht="30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133277900</v>
      </c>
      <c r="O10" s="17">
        <v>20.782327881940546</v>
      </c>
      <c r="P10" s="8">
        <f>P12</f>
        <v>32374600</v>
      </c>
      <c r="Q10" s="17">
        <f>P10/M10*100</f>
        <v>5.0482454498958367</v>
      </c>
      <c r="R10" s="8">
        <f>R12</f>
        <v>165652500</v>
      </c>
      <c r="S10" s="17">
        <f>R10/M10*100</f>
        <v>25.830573331836383</v>
      </c>
      <c r="T10" s="8"/>
      <c r="U10" s="11"/>
      <c r="V10" s="11"/>
    </row>
    <row r="11" spans="1:22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133277900</v>
      </c>
      <c r="O12" s="24">
        <v>20.782327881940546</v>
      </c>
      <c r="P12" s="24">
        <f t="shared" ref="P12" si="0">P13+P14+P15</f>
        <v>32374600</v>
      </c>
      <c r="Q12" s="24">
        <f>P12/M12*100</f>
        <v>5.0482454498958367</v>
      </c>
      <c r="R12" s="24">
        <f>P12+N12</f>
        <v>165652500</v>
      </c>
      <c r="S12" s="24">
        <f>R12/M12*100</f>
        <v>25.830573331836383</v>
      </c>
      <c r="T12" s="24"/>
      <c r="U12" s="11"/>
      <c r="V12" s="11"/>
    </row>
    <row r="13" spans="1:22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86347800</v>
      </c>
      <c r="O13" s="24">
        <v>22.44068335765877</v>
      </c>
      <c r="P13" s="24">
        <f t="shared" ref="P13" si="1">P17</f>
        <v>30546000</v>
      </c>
      <c r="Q13" s="24">
        <f t="shared" ref="Q13:Q75" si="2">P13/M13*100</f>
        <v>7.9385127802103215</v>
      </c>
      <c r="R13" s="24">
        <f t="shared" ref="R13:R75" si="3">P13+N13</f>
        <v>116893800</v>
      </c>
      <c r="S13" s="24">
        <f t="shared" ref="S13:S75" si="4">R13/M13*100</f>
        <v>30.379196137869091</v>
      </c>
      <c r="T13" s="24"/>
      <c r="U13" s="11"/>
      <c r="V13" s="11"/>
    </row>
    <row r="14" spans="1:22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42330100</v>
      </c>
      <c r="O14" s="24">
        <v>17.454156660685069</v>
      </c>
      <c r="P14" s="24">
        <f>P21</f>
        <v>1828600</v>
      </c>
      <c r="Q14" s="24">
        <f t="shared" si="2"/>
        <v>0.75399469573019473</v>
      </c>
      <c r="R14" s="24">
        <f t="shared" si="3"/>
        <v>44158700</v>
      </c>
      <c r="S14" s="24">
        <f t="shared" si="4"/>
        <v>18.208151356415264</v>
      </c>
      <c r="T14" s="24"/>
      <c r="U14" s="11"/>
      <c r="V14" s="11"/>
    </row>
    <row r="15" spans="1:22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86347800</v>
      </c>
      <c r="O17" s="38">
        <v>22.44068335765877</v>
      </c>
      <c r="P17" s="37">
        <f t="shared" ref="P17:P18" si="6">P18</f>
        <v>30546000</v>
      </c>
      <c r="Q17" s="38">
        <f t="shared" si="2"/>
        <v>7.9385127802103215</v>
      </c>
      <c r="R17" s="38">
        <f t="shared" si="3"/>
        <v>116893800</v>
      </c>
      <c r="S17" s="38">
        <f t="shared" si="4"/>
        <v>30.379196137869091</v>
      </c>
      <c r="T17" s="37"/>
      <c r="U17" s="11"/>
      <c r="V17" s="11"/>
    </row>
    <row r="18" spans="1:22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86347800</v>
      </c>
      <c r="O18" s="24">
        <v>22.44068335765877</v>
      </c>
      <c r="P18" s="41">
        <f t="shared" si="6"/>
        <v>30546000</v>
      </c>
      <c r="Q18" s="24">
        <f t="shared" si="2"/>
        <v>7.9385127802103215</v>
      </c>
      <c r="R18" s="24">
        <f t="shared" si="3"/>
        <v>116893800</v>
      </c>
      <c r="S18" s="24">
        <f t="shared" si="4"/>
        <v>30.379196137869091</v>
      </c>
      <c r="T18" s="41"/>
      <c r="U18" s="11"/>
      <c r="V18" s="11"/>
    </row>
    <row r="19" spans="1:22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86347800</v>
      </c>
      <c r="O19" s="24">
        <v>22.44068335765877</v>
      </c>
      <c r="P19" s="47">
        <v>30546000</v>
      </c>
      <c r="Q19" s="24">
        <f t="shared" si="2"/>
        <v>7.9385127802103215</v>
      </c>
      <c r="R19" s="24">
        <f t="shared" si="3"/>
        <v>116893800</v>
      </c>
      <c r="S19" s="24">
        <f t="shared" si="4"/>
        <v>30.379196137869091</v>
      </c>
      <c r="T19" s="41">
        <f>4/12*100</f>
        <v>33.333333333333329</v>
      </c>
      <c r="U19" s="11"/>
      <c r="V19" s="11"/>
    </row>
    <row r="20" spans="1:22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42330100</v>
      </c>
      <c r="O21" s="38">
        <v>17.454156660685069</v>
      </c>
      <c r="P21" s="132">
        <f>P22+P31+P34+P39+P44+P48+P51+P54+P57+P62+P66</f>
        <v>1828600</v>
      </c>
      <c r="Q21" s="38">
        <f t="shared" si="2"/>
        <v>0.75399469573019473</v>
      </c>
      <c r="R21" s="38">
        <f t="shared" si="3"/>
        <v>44158700</v>
      </c>
      <c r="S21" s="38">
        <f t="shared" si="4"/>
        <v>18.208151356415264</v>
      </c>
      <c r="T21" s="54"/>
      <c r="U21" s="11"/>
      <c r="V21" s="11"/>
    </row>
    <row r="22" spans="1:22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f>SUM(P23:P29)</f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324000</v>
      </c>
      <c r="O31" s="24">
        <v>11.153184165232357</v>
      </c>
      <c r="P31" s="62">
        <v>108000</v>
      </c>
      <c r="Q31" s="24">
        <f t="shared" si="2"/>
        <v>3.7177280550774525</v>
      </c>
      <c r="R31" s="24">
        <f t="shared" si="3"/>
        <v>432000</v>
      </c>
      <c r="S31" s="24">
        <f t="shared" si="4"/>
        <v>14.87091222030981</v>
      </c>
      <c r="T31" s="62"/>
      <c r="U31" s="11"/>
      <c r="V31" s="11"/>
    </row>
    <row r="32" spans="1:22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324000</v>
      </c>
      <c r="O32" s="24">
        <v>11.153184165232357</v>
      </c>
      <c r="P32" s="50">
        <v>108000</v>
      </c>
      <c r="Q32" s="24">
        <f t="shared" si="2"/>
        <v>3.7177280550774525</v>
      </c>
      <c r="R32" s="24">
        <f t="shared" si="3"/>
        <v>432000</v>
      </c>
      <c r="S32" s="24">
        <f t="shared" si="4"/>
        <v>14.87091222030981</v>
      </c>
      <c r="T32" s="62">
        <f>24+8/104*100</f>
        <v>31.692307692307693</v>
      </c>
      <c r="U32" s="70"/>
      <c r="V32" s="11"/>
    </row>
    <row r="33" spans="1:22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5263600</v>
      </c>
      <c r="O34" s="24">
        <v>27.652219595482009</v>
      </c>
      <c r="P34" s="73">
        <f>SUM(P35:P37)</f>
        <v>870600</v>
      </c>
      <c r="Q34" s="24">
        <f t="shared" si="2"/>
        <v>4.5736800630417651</v>
      </c>
      <c r="R34" s="24">
        <f t="shared" si="3"/>
        <v>6134200</v>
      </c>
      <c r="S34" s="24">
        <f t="shared" si="4"/>
        <v>32.225899658523772</v>
      </c>
      <c r="T34" s="73"/>
      <c r="U34" s="11"/>
      <c r="V34" s="11"/>
    </row>
    <row r="35" spans="1:22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2603100</v>
      </c>
      <c r="O35" s="24">
        <v>21.692499999999999</v>
      </c>
      <c r="P35" s="50">
        <v>867700</v>
      </c>
      <c r="Q35" s="24">
        <f t="shared" si="2"/>
        <v>7.2308333333333339</v>
      </c>
      <c r="R35" s="24">
        <f t="shared" si="3"/>
        <v>3470800</v>
      </c>
      <c r="S35" s="24">
        <f t="shared" si="4"/>
        <v>28.923333333333336</v>
      </c>
      <c r="T35" s="11">
        <f>4/12*100</f>
        <v>33.333333333333329</v>
      </c>
      <c r="U35" s="11"/>
      <c r="V35" s="11"/>
    </row>
    <row r="36" spans="1:22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10500</v>
      </c>
      <c r="O36" s="24">
        <v>1.9626168224299065</v>
      </c>
      <c r="P36" s="50">
        <v>2900</v>
      </c>
      <c r="Q36" s="24">
        <f t="shared" si="2"/>
        <v>0.54205607476635509</v>
      </c>
      <c r="R36" s="24">
        <f t="shared" si="3"/>
        <v>13400</v>
      </c>
      <c r="S36" s="24">
        <f t="shared" si="4"/>
        <v>2.5046728971962615</v>
      </c>
      <c r="T36" s="73">
        <f>4/12*100</f>
        <v>33.333333333333329</v>
      </c>
      <c r="U36" s="11"/>
      <c r="V36" s="11"/>
    </row>
    <row r="37" spans="1:22" ht="30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330000</v>
      </c>
      <c r="O44" s="24">
        <v>0.66623933133798019</v>
      </c>
      <c r="P44" s="73">
        <f>SUM(P45:P46)</f>
        <v>100000</v>
      </c>
      <c r="Q44" s="24">
        <f t="shared" si="2"/>
        <v>0.20189070646605459</v>
      </c>
      <c r="R44" s="24">
        <f t="shared" si="3"/>
        <v>430000</v>
      </c>
      <c r="S44" s="24">
        <f t="shared" si="4"/>
        <v>0.86813003780403486</v>
      </c>
      <c r="T44" s="73"/>
      <c r="U44" s="11"/>
      <c r="V44" s="11"/>
    </row>
    <row r="45" spans="1:22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330000</v>
      </c>
      <c r="O46" s="24">
        <v>22.888850355470783</v>
      </c>
      <c r="P46" s="50">
        <v>100000</v>
      </c>
      <c r="Q46" s="24">
        <f t="shared" si="2"/>
        <v>6.93601525923357</v>
      </c>
      <c r="R46" s="24">
        <f t="shared" si="3"/>
        <v>430000</v>
      </c>
      <c r="S46" s="24">
        <f t="shared" si="4"/>
        <v>29.824865614704354</v>
      </c>
      <c r="T46" s="11">
        <f>(1320+400)/5757*100</f>
        <v>29.876671877714088</v>
      </c>
      <c r="U46" s="57"/>
      <c r="V46" s="57"/>
    </row>
    <row r="47" spans="1:22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2400000</v>
      </c>
      <c r="O48" s="24">
        <v>26.446280991735538</v>
      </c>
      <c r="P48" s="73">
        <f>P49</f>
        <v>750000</v>
      </c>
      <c r="Q48" s="24">
        <f t="shared" si="2"/>
        <v>8.2644628099173563</v>
      </c>
      <c r="R48" s="24">
        <f t="shared" si="3"/>
        <v>3150000</v>
      </c>
      <c r="S48" s="24">
        <f t="shared" si="4"/>
        <v>34.710743801652896</v>
      </c>
      <c r="T48" s="73"/>
      <c r="U48" s="57"/>
      <c r="V48" s="57"/>
    </row>
    <row r="49" spans="1:22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2400000</v>
      </c>
      <c r="O49" s="24">
        <v>26.446280991735538</v>
      </c>
      <c r="P49" s="50">
        <v>750000</v>
      </c>
      <c r="Q49" s="24">
        <f t="shared" si="2"/>
        <v>8.2644628099173563</v>
      </c>
      <c r="R49" s="24">
        <f t="shared" si="3"/>
        <v>3150000</v>
      </c>
      <c r="S49" s="24">
        <f t="shared" si="4"/>
        <v>34.710743801652896</v>
      </c>
      <c r="T49" s="57">
        <f>4/11*100</f>
        <v>36.363636363636367</v>
      </c>
      <c r="U49" s="57"/>
      <c r="V49" s="57"/>
    </row>
    <row r="50" spans="1:22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f>SUM(P63:P64)</f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24">
        <v>100</v>
      </c>
      <c r="P71" s="57"/>
      <c r="Q71" s="24">
        <f t="shared" si="2"/>
        <v>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>
      <c r="A75" s="151" t="s">
        <v>73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3"/>
      <c r="L75" s="136"/>
      <c r="M75" s="121">
        <f>M12</f>
        <v>641304000</v>
      </c>
      <c r="N75" s="122">
        <f t="shared" ref="N75:V75" si="7">N12</f>
        <v>133277900</v>
      </c>
      <c r="O75" s="135">
        <f t="shared" ref="O75" si="8">N75/M75*100</f>
        <v>20.782327881940546</v>
      </c>
      <c r="P75" s="122">
        <f t="shared" si="7"/>
        <v>32374600</v>
      </c>
      <c r="Q75" s="123">
        <f t="shared" si="2"/>
        <v>5.0482454498958367</v>
      </c>
      <c r="R75" s="124">
        <f t="shared" si="3"/>
        <v>165652500</v>
      </c>
      <c r="S75" s="135">
        <f t="shared" si="4"/>
        <v>25.830573331836383</v>
      </c>
      <c r="T75" s="122"/>
      <c r="U75" s="125">
        <f t="shared" si="7"/>
        <v>0</v>
      </c>
      <c r="V75" s="121">
        <f t="shared" si="7"/>
        <v>0</v>
      </c>
    </row>
    <row r="78" spans="1:22">
      <c r="R78" s="154" t="s">
        <v>95</v>
      </c>
      <c r="S78" s="154"/>
      <c r="T78" s="154"/>
      <c r="U78" s="154"/>
    </row>
    <row r="79" spans="1:22">
      <c r="R79" s="154" t="s">
        <v>74</v>
      </c>
      <c r="S79" s="154"/>
      <c r="T79" s="154"/>
      <c r="U79" s="154"/>
    </row>
    <row r="80" spans="1:22">
      <c r="R80" s="137"/>
      <c r="S80" s="137"/>
      <c r="T80" s="137"/>
      <c r="U80" s="137"/>
    </row>
    <row r="81" spans="18:21">
      <c r="R81" s="137"/>
      <c r="S81" s="137"/>
      <c r="T81" s="137"/>
      <c r="U81" s="137"/>
    </row>
    <row r="82" spans="18:21">
      <c r="R82" s="127"/>
      <c r="S82" s="127"/>
      <c r="T82" s="127"/>
      <c r="U82" s="127"/>
    </row>
    <row r="83" spans="18:21">
      <c r="R83" s="155" t="s">
        <v>75</v>
      </c>
      <c r="S83" s="155"/>
      <c r="T83" s="155"/>
      <c r="U83" s="155"/>
    </row>
    <row r="84" spans="18:21">
      <c r="R84" s="148" t="s">
        <v>76</v>
      </c>
      <c r="S84" s="148"/>
      <c r="T84" s="148"/>
      <c r="U84" s="148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84"/>
  <sheetViews>
    <sheetView topLeftCell="K1" workbookViewId="0">
      <selection activeCell="R10" sqref="R10:S74"/>
    </sheetView>
  </sheetViews>
  <sheetFormatPr defaultRowHeight="1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2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2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spans="1:22">
      <c r="A4" s="156" t="s">
        <v>98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57" t="s">
        <v>3</v>
      </c>
      <c r="B6" s="157"/>
      <c r="C6" s="157"/>
      <c r="D6" s="157"/>
      <c r="E6" s="157"/>
      <c r="F6" s="157"/>
      <c r="G6" s="157"/>
      <c r="H6" s="157"/>
      <c r="I6" s="157"/>
      <c r="J6" s="157"/>
      <c r="K6" s="157" t="s">
        <v>4</v>
      </c>
      <c r="L6" s="158" t="s">
        <v>5</v>
      </c>
      <c r="M6" s="161" t="s">
        <v>6</v>
      </c>
      <c r="N6" s="164" t="s">
        <v>7</v>
      </c>
      <c r="O6" s="165"/>
      <c r="P6" s="165"/>
      <c r="Q6" s="165"/>
      <c r="R6" s="165"/>
      <c r="S6" s="165"/>
      <c r="T6" s="166"/>
      <c r="U6" s="167" t="s">
        <v>8</v>
      </c>
      <c r="V6" s="167" t="s">
        <v>9</v>
      </c>
    </row>
    <row r="7" spans="1:22" ht="15.7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9"/>
      <c r="M7" s="162"/>
      <c r="N7" s="168" t="s">
        <v>10</v>
      </c>
      <c r="O7" s="169"/>
      <c r="P7" s="168" t="s">
        <v>11</v>
      </c>
      <c r="Q7" s="169"/>
      <c r="R7" s="164" t="s">
        <v>12</v>
      </c>
      <c r="S7" s="165"/>
      <c r="T7" s="166"/>
      <c r="U7" s="167"/>
      <c r="V7" s="167"/>
    </row>
    <row r="8" spans="1:22" ht="15.7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0"/>
      <c r="M8" s="163"/>
      <c r="N8" s="168" t="s">
        <v>13</v>
      </c>
      <c r="O8" s="169"/>
      <c r="P8" s="168" t="s">
        <v>13</v>
      </c>
      <c r="Q8" s="169"/>
      <c r="R8" s="149" t="s">
        <v>13</v>
      </c>
      <c r="S8" s="150"/>
      <c r="T8" s="2" t="s">
        <v>14</v>
      </c>
      <c r="U8" s="167"/>
      <c r="V8" s="167"/>
    </row>
    <row r="9" spans="1:22" ht="30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165652500</v>
      </c>
      <c r="O10" s="17">
        <v>25.830573331836383</v>
      </c>
      <c r="P10" s="8">
        <f>P12</f>
        <v>982600</v>
      </c>
      <c r="Q10" s="17">
        <f>P10/M10*100</f>
        <v>0.15321906615271386</v>
      </c>
      <c r="R10" s="8">
        <f>R12</f>
        <v>166635100</v>
      </c>
      <c r="S10" s="17">
        <f>R10/M10*100</f>
        <v>25.983792397989099</v>
      </c>
      <c r="T10" s="8"/>
      <c r="U10" s="11"/>
      <c r="V10" s="11"/>
    </row>
    <row r="11" spans="1:22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165652500</v>
      </c>
      <c r="O12" s="24">
        <v>25.830573331836383</v>
      </c>
      <c r="P12" s="24">
        <f t="shared" ref="P12" si="0">P13+P14+P15</f>
        <v>982600</v>
      </c>
      <c r="Q12" s="24">
        <f>P12/M12*100</f>
        <v>0.15321906615271386</v>
      </c>
      <c r="R12" s="24">
        <f>P12+N12</f>
        <v>166635100</v>
      </c>
      <c r="S12" s="24">
        <f>R12/M12*100</f>
        <v>25.983792397989099</v>
      </c>
      <c r="T12" s="24"/>
      <c r="U12" s="11"/>
      <c r="V12" s="11"/>
    </row>
    <row r="13" spans="1:22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116893800</v>
      </c>
      <c r="O13" s="24">
        <v>30.379196137869091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116893800</v>
      </c>
      <c r="S13" s="24">
        <f t="shared" ref="S13:S75" si="4">R13/M13*100</f>
        <v>30.379196137869091</v>
      </c>
      <c r="T13" s="24"/>
      <c r="U13" s="11"/>
      <c r="V13" s="11"/>
    </row>
    <row r="14" spans="1:22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44158700</v>
      </c>
      <c r="O14" s="24">
        <v>18.208151356415264</v>
      </c>
      <c r="P14" s="24">
        <f>P21</f>
        <v>982600</v>
      </c>
      <c r="Q14" s="24">
        <f t="shared" si="2"/>
        <v>0.40515978782920775</v>
      </c>
      <c r="R14" s="24">
        <f t="shared" si="3"/>
        <v>45141300</v>
      </c>
      <c r="S14" s="24">
        <f t="shared" si="4"/>
        <v>18.61331114424447</v>
      </c>
      <c r="T14" s="24"/>
      <c r="U14" s="11"/>
      <c r="V14" s="11"/>
    </row>
    <row r="15" spans="1:22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116893800</v>
      </c>
      <c r="O17" s="38">
        <v>30.379196137869091</v>
      </c>
      <c r="P17" s="37">
        <f t="shared" ref="P17:P18" si="6">P18</f>
        <v>0</v>
      </c>
      <c r="Q17" s="38">
        <f t="shared" si="2"/>
        <v>0</v>
      </c>
      <c r="R17" s="38">
        <f t="shared" si="3"/>
        <v>116893800</v>
      </c>
      <c r="S17" s="38">
        <f t="shared" si="4"/>
        <v>30.379196137869091</v>
      </c>
      <c r="T17" s="37"/>
      <c r="U17" s="11"/>
      <c r="V17" s="11"/>
    </row>
    <row r="18" spans="1:22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116893800</v>
      </c>
      <c r="O18" s="24">
        <v>30.379196137869091</v>
      </c>
      <c r="P18" s="41">
        <f t="shared" si="6"/>
        <v>0</v>
      </c>
      <c r="Q18" s="24">
        <f t="shared" si="2"/>
        <v>0</v>
      </c>
      <c r="R18" s="24">
        <f t="shared" si="3"/>
        <v>116893800</v>
      </c>
      <c r="S18" s="24">
        <f t="shared" si="4"/>
        <v>30.379196137869091</v>
      </c>
      <c r="T18" s="41"/>
      <c r="U18" s="11"/>
      <c r="V18" s="11"/>
    </row>
    <row r="19" spans="1:22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116893800</v>
      </c>
      <c r="O19" s="24">
        <v>30.379196137869091</v>
      </c>
      <c r="P19" s="47"/>
      <c r="Q19" s="24">
        <f t="shared" si="2"/>
        <v>0</v>
      </c>
      <c r="R19" s="24">
        <f t="shared" si="3"/>
        <v>116893800</v>
      </c>
      <c r="S19" s="24">
        <f t="shared" si="4"/>
        <v>30.379196137869091</v>
      </c>
      <c r="T19" s="41">
        <f>4/12*100</f>
        <v>33.333333333333329</v>
      </c>
      <c r="U19" s="11"/>
      <c r="V19" s="11"/>
    </row>
    <row r="20" spans="1:22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44158700</v>
      </c>
      <c r="O21" s="38">
        <v>18.208151356415264</v>
      </c>
      <c r="P21" s="132">
        <v>982600</v>
      </c>
      <c r="Q21" s="38">
        <f t="shared" si="2"/>
        <v>0.40515978782920775</v>
      </c>
      <c r="R21" s="38">
        <f t="shared" si="3"/>
        <v>45141300</v>
      </c>
      <c r="S21" s="38">
        <f t="shared" si="4"/>
        <v>18.61331114424447</v>
      </c>
      <c r="T21" s="54"/>
      <c r="U21" s="11"/>
      <c r="V21" s="11"/>
    </row>
    <row r="22" spans="1:22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432000</v>
      </c>
      <c r="O31" s="24">
        <v>14.87091222030981</v>
      </c>
      <c r="P31" s="62">
        <v>0</v>
      </c>
      <c r="Q31" s="24">
        <f t="shared" si="2"/>
        <v>0</v>
      </c>
      <c r="R31" s="24">
        <f t="shared" si="3"/>
        <v>432000</v>
      </c>
      <c r="S31" s="24">
        <f t="shared" si="4"/>
        <v>14.87091222030981</v>
      </c>
      <c r="T31" s="62"/>
      <c r="U31" s="11"/>
      <c r="V31" s="11"/>
    </row>
    <row r="32" spans="1:22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432000</v>
      </c>
      <c r="O32" s="24">
        <v>14.87091222030981</v>
      </c>
      <c r="P32" s="50"/>
      <c r="Q32" s="24">
        <f t="shared" si="2"/>
        <v>0</v>
      </c>
      <c r="R32" s="24">
        <f t="shared" si="3"/>
        <v>432000</v>
      </c>
      <c r="S32" s="24">
        <f t="shared" si="4"/>
        <v>14.87091222030981</v>
      </c>
      <c r="T32" s="62">
        <f>24+8/104*100</f>
        <v>31.692307692307693</v>
      </c>
      <c r="U32" s="70"/>
      <c r="V32" s="11"/>
    </row>
    <row r="33" spans="1:22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6134200</v>
      </c>
      <c r="O34" s="24">
        <v>32.225899658523772</v>
      </c>
      <c r="P34" s="73">
        <v>870600</v>
      </c>
      <c r="Q34" s="24">
        <f t="shared" si="2"/>
        <v>4.5736800630417651</v>
      </c>
      <c r="R34" s="24">
        <f t="shared" si="3"/>
        <v>7004800</v>
      </c>
      <c r="S34" s="24">
        <f t="shared" si="4"/>
        <v>36.799579721565543</v>
      </c>
      <c r="T34" s="73"/>
      <c r="U34" s="11"/>
      <c r="V34" s="11"/>
    </row>
    <row r="35" spans="1:22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3470800</v>
      </c>
      <c r="O35" s="24">
        <v>28.923333333333336</v>
      </c>
      <c r="P35" s="50">
        <v>867700</v>
      </c>
      <c r="Q35" s="24">
        <f t="shared" si="2"/>
        <v>7.2308333333333339</v>
      </c>
      <c r="R35" s="24">
        <f t="shared" si="3"/>
        <v>4338500</v>
      </c>
      <c r="S35" s="24">
        <f t="shared" si="4"/>
        <v>36.154166666666669</v>
      </c>
      <c r="T35" s="11">
        <f>5/12*100</f>
        <v>41.666666666666671</v>
      </c>
      <c r="U35" s="11"/>
      <c r="V35" s="11"/>
    </row>
    <row r="36" spans="1:22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13400</v>
      </c>
      <c r="O36" s="24">
        <v>2.5046728971962615</v>
      </c>
      <c r="P36" s="50">
        <v>2900</v>
      </c>
      <c r="Q36" s="24">
        <f t="shared" si="2"/>
        <v>0.54205607476635509</v>
      </c>
      <c r="R36" s="24">
        <f t="shared" si="3"/>
        <v>16300</v>
      </c>
      <c r="S36" s="24">
        <f t="shared" si="4"/>
        <v>3.0467289719626169</v>
      </c>
      <c r="T36" s="73">
        <f>5/12*100</f>
        <v>41.666666666666671</v>
      </c>
      <c r="U36" s="11"/>
      <c r="V36" s="11"/>
    </row>
    <row r="37" spans="1:22" ht="30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430000</v>
      </c>
      <c r="O44" s="24">
        <v>0.86813003780403486</v>
      </c>
      <c r="P44" s="73">
        <v>112000</v>
      </c>
      <c r="Q44" s="24">
        <f t="shared" si="2"/>
        <v>0.22611759124198114</v>
      </c>
      <c r="R44" s="24">
        <f t="shared" si="3"/>
        <v>542000</v>
      </c>
      <c r="S44" s="24">
        <f t="shared" si="4"/>
        <v>1.0942476290460159</v>
      </c>
      <c r="T44" s="73"/>
      <c r="U44" s="11"/>
      <c r="V44" s="11"/>
    </row>
    <row r="45" spans="1:22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430000</v>
      </c>
      <c r="O46" s="24">
        <v>29.824865614704354</v>
      </c>
      <c r="P46" s="50">
        <v>112000</v>
      </c>
      <c r="Q46" s="24">
        <f t="shared" si="2"/>
        <v>7.768337090341598</v>
      </c>
      <c r="R46" s="24">
        <f t="shared" si="3"/>
        <v>542000</v>
      </c>
      <c r="S46" s="24">
        <f t="shared" si="4"/>
        <v>37.593202705045954</v>
      </c>
      <c r="T46" s="11">
        <f>(1320+400+448)/5757*100</f>
        <v>37.658502692374505</v>
      </c>
      <c r="U46" s="57"/>
      <c r="V46" s="57"/>
    </row>
    <row r="47" spans="1:22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3150000</v>
      </c>
      <c r="O48" s="24">
        <v>34.710743801652896</v>
      </c>
      <c r="P48" s="73">
        <v>0</v>
      </c>
      <c r="Q48" s="24">
        <f t="shared" si="2"/>
        <v>0</v>
      </c>
      <c r="R48" s="24">
        <f t="shared" si="3"/>
        <v>3150000</v>
      </c>
      <c r="S48" s="24">
        <f t="shared" si="4"/>
        <v>34.710743801652896</v>
      </c>
      <c r="T48" s="73"/>
      <c r="U48" s="57"/>
      <c r="V48" s="57"/>
    </row>
    <row r="49" spans="1:22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3150000</v>
      </c>
      <c r="O49" s="24">
        <v>34.710743801652896</v>
      </c>
      <c r="P49" s="50"/>
      <c r="Q49" s="24">
        <f t="shared" si="2"/>
        <v>0</v>
      </c>
      <c r="R49" s="24">
        <f t="shared" si="3"/>
        <v>3150000</v>
      </c>
      <c r="S49" s="24">
        <f t="shared" si="4"/>
        <v>34.710743801652896</v>
      </c>
      <c r="T49" s="57">
        <f>4/11*100</f>
        <v>36.363636363636367</v>
      </c>
      <c r="U49" s="57"/>
      <c r="V49" s="57"/>
    </row>
    <row r="50" spans="1:22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24">
        <v>100</v>
      </c>
      <c r="P71" s="57"/>
      <c r="Q71" s="24">
        <f t="shared" si="2"/>
        <v>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>
      <c r="A75" s="151" t="s">
        <v>73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3"/>
      <c r="L75" s="138"/>
      <c r="M75" s="121">
        <f>M12</f>
        <v>641304000</v>
      </c>
      <c r="N75" s="122">
        <f t="shared" ref="N75:V75" si="7">N12</f>
        <v>165652500</v>
      </c>
      <c r="O75" s="135">
        <f t="shared" ref="O75" si="8">N75/M75*100</f>
        <v>25.830573331836383</v>
      </c>
      <c r="P75" s="122">
        <f t="shared" si="7"/>
        <v>982600</v>
      </c>
      <c r="Q75" s="123">
        <f t="shared" si="2"/>
        <v>0.15321906615271386</v>
      </c>
      <c r="R75" s="124">
        <f t="shared" si="3"/>
        <v>166635100</v>
      </c>
      <c r="S75" s="135">
        <f t="shared" si="4"/>
        <v>25.983792397989099</v>
      </c>
      <c r="T75" s="122"/>
      <c r="U75" s="125">
        <f t="shared" si="7"/>
        <v>0</v>
      </c>
      <c r="V75" s="121">
        <f t="shared" si="7"/>
        <v>0</v>
      </c>
    </row>
    <row r="78" spans="1:22">
      <c r="R78" s="154" t="s">
        <v>99</v>
      </c>
      <c r="S78" s="154"/>
      <c r="T78" s="154"/>
      <c r="U78" s="154"/>
    </row>
    <row r="79" spans="1:22">
      <c r="R79" s="154" t="s">
        <v>74</v>
      </c>
      <c r="S79" s="154"/>
      <c r="T79" s="154"/>
      <c r="U79" s="154"/>
    </row>
    <row r="80" spans="1:22">
      <c r="R80" s="139"/>
      <c r="S80" s="139"/>
      <c r="T80" s="139"/>
      <c r="U80" s="139"/>
    </row>
    <row r="81" spans="18:21">
      <c r="R81" s="139"/>
      <c r="S81" s="139"/>
      <c r="T81" s="139"/>
      <c r="U81" s="139"/>
    </row>
    <row r="82" spans="18:21">
      <c r="R82" s="127"/>
      <c r="S82" s="127"/>
      <c r="T82" s="127"/>
      <c r="U82" s="127"/>
    </row>
    <row r="83" spans="18:21">
      <c r="R83" s="155" t="s">
        <v>75</v>
      </c>
      <c r="S83" s="155"/>
      <c r="T83" s="155"/>
      <c r="U83" s="155"/>
    </row>
    <row r="84" spans="18:21">
      <c r="R84" s="148" t="s">
        <v>76</v>
      </c>
      <c r="S84" s="148"/>
      <c r="T84" s="148"/>
      <c r="U84" s="14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84"/>
  <sheetViews>
    <sheetView topLeftCell="I1" workbookViewId="0">
      <selection activeCell="R10" sqref="R10:S74"/>
    </sheetView>
  </sheetViews>
  <sheetFormatPr defaultRowHeight="1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2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2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spans="1:22">
      <c r="A4" s="156" t="s">
        <v>100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57" t="s">
        <v>3</v>
      </c>
      <c r="B6" s="157"/>
      <c r="C6" s="157"/>
      <c r="D6" s="157"/>
      <c r="E6" s="157"/>
      <c r="F6" s="157"/>
      <c r="G6" s="157"/>
      <c r="H6" s="157"/>
      <c r="I6" s="157"/>
      <c r="J6" s="157"/>
      <c r="K6" s="157" t="s">
        <v>4</v>
      </c>
      <c r="L6" s="158" t="s">
        <v>5</v>
      </c>
      <c r="M6" s="161" t="s">
        <v>6</v>
      </c>
      <c r="N6" s="164" t="s">
        <v>7</v>
      </c>
      <c r="O6" s="165"/>
      <c r="P6" s="165"/>
      <c r="Q6" s="165"/>
      <c r="R6" s="165"/>
      <c r="S6" s="165"/>
      <c r="T6" s="166"/>
      <c r="U6" s="167" t="s">
        <v>8</v>
      </c>
      <c r="V6" s="167" t="s">
        <v>9</v>
      </c>
    </row>
    <row r="7" spans="1:22" ht="15.7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9"/>
      <c r="M7" s="162"/>
      <c r="N7" s="168" t="s">
        <v>10</v>
      </c>
      <c r="O7" s="169"/>
      <c r="P7" s="168" t="s">
        <v>11</v>
      </c>
      <c r="Q7" s="169"/>
      <c r="R7" s="164" t="s">
        <v>12</v>
      </c>
      <c r="S7" s="165"/>
      <c r="T7" s="166"/>
      <c r="U7" s="167"/>
      <c r="V7" s="167"/>
    </row>
    <row r="8" spans="1:22" ht="15.7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0"/>
      <c r="M8" s="163"/>
      <c r="N8" s="168" t="s">
        <v>13</v>
      </c>
      <c r="O8" s="169"/>
      <c r="P8" s="168" t="s">
        <v>13</v>
      </c>
      <c r="Q8" s="169"/>
      <c r="R8" s="149" t="s">
        <v>13</v>
      </c>
      <c r="S8" s="150"/>
      <c r="T8" s="2" t="s">
        <v>14</v>
      </c>
      <c r="U8" s="167"/>
      <c r="V8" s="167"/>
    </row>
    <row r="9" spans="1:22" ht="30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166635100</v>
      </c>
      <c r="O10" s="17">
        <v>25.983792397989099</v>
      </c>
      <c r="P10" s="8">
        <f>P12</f>
        <v>108007400</v>
      </c>
      <c r="Q10" s="17">
        <f>P10/M10*100</f>
        <v>16.84184099896461</v>
      </c>
      <c r="R10" s="8">
        <f>R12</f>
        <v>274642500</v>
      </c>
      <c r="S10" s="17">
        <f>R10/M10*100</f>
        <v>42.825633396953705</v>
      </c>
      <c r="T10" s="8"/>
      <c r="U10" s="11"/>
      <c r="V10" s="11"/>
    </row>
    <row r="11" spans="1:22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166635100</v>
      </c>
      <c r="O12" s="24">
        <v>25.983792397989099</v>
      </c>
      <c r="P12" s="24">
        <f t="shared" ref="P12" si="0">P13+P14+P15</f>
        <v>108007400</v>
      </c>
      <c r="Q12" s="24">
        <f>P12/M12*100</f>
        <v>16.84184099896461</v>
      </c>
      <c r="R12" s="24">
        <f>P12+N12</f>
        <v>274642500</v>
      </c>
      <c r="S12" s="24">
        <f>R12/M12*100</f>
        <v>42.825633396953705</v>
      </c>
      <c r="T12" s="24"/>
      <c r="U12" s="11"/>
      <c r="V12" s="11"/>
    </row>
    <row r="13" spans="1:22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116893800</v>
      </c>
      <c r="O13" s="24">
        <v>30.379196137869091</v>
      </c>
      <c r="P13" s="24">
        <f t="shared" ref="P13" si="1">P17</f>
        <v>58654800</v>
      </c>
      <c r="Q13" s="24">
        <f t="shared" ref="Q13:Q75" si="2">P13/M13*100</f>
        <v>15.243628606713822</v>
      </c>
      <c r="R13" s="24">
        <f t="shared" ref="R13:R75" si="3">P13+N13</f>
        <v>175548600</v>
      </c>
      <c r="S13" s="24">
        <f t="shared" ref="S13:S75" si="4">R13/M13*100</f>
        <v>45.622824744582914</v>
      </c>
      <c r="T13" s="24"/>
      <c r="U13" s="11"/>
      <c r="V13" s="11"/>
    </row>
    <row r="14" spans="1:22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45141300</v>
      </c>
      <c r="O14" s="24">
        <v>18.61331114424447</v>
      </c>
      <c r="P14" s="24">
        <f>P21</f>
        <v>49352600</v>
      </c>
      <c r="Q14" s="24">
        <f t="shared" si="2"/>
        <v>20.349775030347814</v>
      </c>
      <c r="R14" s="24">
        <f t="shared" si="3"/>
        <v>94493900</v>
      </c>
      <c r="S14" s="24">
        <f t="shared" si="4"/>
        <v>38.963086174592284</v>
      </c>
      <c r="T14" s="24"/>
      <c r="U14" s="11"/>
      <c r="V14" s="11"/>
    </row>
    <row r="15" spans="1:22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116893800</v>
      </c>
      <c r="O17" s="38">
        <v>30.379196137869091</v>
      </c>
      <c r="P17" s="37">
        <f t="shared" ref="P17:P18" si="6">P18</f>
        <v>58654800</v>
      </c>
      <c r="Q17" s="38">
        <f t="shared" si="2"/>
        <v>15.243628606713822</v>
      </c>
      <c r="R17" s="38">
        <f t="shared" si="3"/>
        <v>175548600</v>
      </c>
      <c r="S17" s="38">
        <f t="shared" si="4"/>
        <v>45.622824744582914</v>
      </c>
      <c r="T17" s="37"/>
      <c r="U17" s="11"/>
      <c r="V17" s="11"/>
    </row>
    <row r="18" spans="1:22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116893800</v>
      </c>
      <c r="O18" s="24">
        <v>30.379196137869091</v>
      </c>
      <c r="P18" s="41">
        <f t="shared" si="6"/>
        <v>58654800</v>
      </c>
      <c r="Q18" s="24">
        <f t="shared" si="2"/>
        <v>15.243628606713822</v>
      </c>
      <c r="R18" s="24">
        <f t="shared" si="3"/>
        <v>175548600</v>
      </c>
      <c r="S18" s="24">
        <f t="shared" si="4"/>
        <v>45.622824744582914</v>
      </c>
      <c r="T18" s="41"/>
      <c r="U18" s="11"/>
      <c r="V18" s="11"/>
    </row>
    <row r="19" spans="1:22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116893800</v>
      </c>
      <c r="O19" s="24">
        <v>30.379196137869091</v>
      </c>
      <c r="P19" s="47">
        <v>58654800</v>
      </c>
      <c r="Q19" s="24">
        <f t="shared" si="2"/>
        <v>15.243628606713822</v>
      </c>
      <c r="R19" s="24">
        <f t="shared" si="3"/>
        <v>175548600</v>
      </c>
      <c r="S19" s="24">
        <f t="shared" si="4"/>
        <v>45.622824744582914</v>
      </c>
      <c r="T19" s="41">
        <f>6/12*100</f>
        <v>50</v>
      </c>
      <c r="U19" s="11"/>
      <c r="V19" s="11"/>
    </row>
    <row r="20" spans="1:22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45141300</v>
      </c>
      <c r="O21" s="38">
        <v>18.61331114424447</v>
      </c>
      <c r="P21" s="132">
        <v>49352600</v>
      </c>
      <c r="Q21" s="38">
        <f t="shared" si="2"/>
        <v>20.349775030347814</v>
      </c>
      <c r="R21" s="38">
        <f t="shared" si="3"/>
        <v>94493900</v>
      </c>
      <c r="S21" s="38">
        <f t="shared" si="4"/>
        <v>38.963086174592284</v>
      </c>
      <c r="T21" s="54"/>
      <c r="U21" s="11"/>
      <c r="V21" s="11"/>
    </row>
    <row r="22" spans="1:22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432000</v>
      </c>
      <c r="O31" s="24">
        <v>14.87091222030981</v>
      </c>
      <c r="P31" s="62">
        <v>112000</v>
      </c>
      <c r="Q31" s="24">
        <f t="shared" si="2"/>
        <v>3.8554216867469884</v>
      </c>
      <c r="R31" s="24">
        <f t="shared" si="3"/>
        <v>544000</v>
      </c>
      <c r="S31" s="24">
        <f t="shared" si="4"/>
        <v>18.726333907056798</v>
      </c>
      <c r="T31" s="62"/>
      <c r="U31" s="11"/>
      <c r="V31" s="11"/>
    </row>
    <row r="32" spans="1:22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432000</v>
      </c>
      <c r="O32" s="24">
        <v>14.87091222030981</v>
      </c>
      <c r="P32" s="50">
        <v>112000</v>
      </c>
      <c r="Q32" s="24">
        <f t="shared" si="2"/>
        <v>3.8554216867469884</v>
      </c>
      <c r="R32" s="24">
        <f t="shared" si="3"/>
        <v>544000</v>
      </c>
      <c r="S32" s="24">
        <f t="shared" si="4"/>
        <v>18.726333907056798</v>
      </c>
      <c r="T32" s="62">
        <f>24+8+8/104*100</f>
        <v>39.692307692307693</v>
      </c>
      <c r="U32" s="70"/>
      <c r="V32" s="11"/>
    </row>
    <row r="33" spans="1:22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7004800</v>
      </c>
      <c r="O34" s="24">
        <v>36.799579721565543</v>
      </c>
      <c r="P34" s="73">
        <v>870600</v>
      </c>
      <c r="Q34" s="24">
        <f t="shared" si="2"/>
        <v>4.5736800630417651</v>
      </c>
      <c r="R34" s="24">
        <f t="shared" si="3"/>
        <v>7875400</v>
      </c>
      <c r="S34" s="24">
        <f t="shared" si="4"/>
        <v>41.373259784607299</v>
      </c>
      <c r="T34" s="73"/>
      <c r="U34" s="11"/>
      <c r="V34" s="11"/>
    </row>
    <row r="35" spans="1:22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4338500</v>
      </c>
      <c r="O35" s="24">
        <v>36.154166666666669</v>
      </c>
      <c r="P35" s="50">
        <v>867700</v>
      </c>
      <c r="Q35" s="24">
        <f t="shared" si="2"/>
        <v>7.2308333333333339</v>
      </c>
      <c r="R35" s="24">
        <f t="shared" si="3"/>
        <v>5206200</v>
      </c>
      <c r="S35" s="24">
        <f t="shared" si="4"/>
        <v>43.384999999999998</v>
      </c>
      <c r="T35" s="11">
        <f>6/12*100</f>
        <v>50</v>
      </c>
      <c r="U35" s="11"/>
      <c r="V35" s="11"/>
    </row>
    <row r="36" spans="1:22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16300</v>
      </c>
      <c r="O36" s="24">
        <v>3.0467289719626169</v>
      </c>
      <c r="P36" s="50">
        <v>2900</v>
      </c>
      <c r="Q36" s="24">
        <f t="shared" si="2"/>
        <v>0.54205607476635509</v>
      </c>
      <c r="R36" s="24">
        <f t="shared" si="3"/>
        <v>19200</v>
      </c>
      <c r="S36" s="24">
        <f t="shared" si="4"/>
        <v>3.5887850467289719</v>
      </c>
      <c r="T36" s="73">
        <f>6/12*100</f>
        <v>50</v>
      </c>
      <c r="U36" s="11"/>
      <c r="V36" s="11"/>
    </row>
    <row r="37" spans="1:22" ht="30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542000</v>
      </c>
      <c r="O44" s="24">
        <v>1.0942476290460159</v>
      </c>
      <c r="P44" s="73">
        <v>47620000</v>
      </c>
      <c r="Q44" s="24">
        <f t="shared" si="2"/>
        <v>96.140354419135193</v>
      </c>
      <c r="R44" s="24">
        <f t="shared" si="3"/>
        <v>48162000</v>
      </c>
      <c r="S44" s="24">
        <f t="shared" si="4"/>
        <v>97.234602048181216</v>
      </c>
      <c r="T44" s="73"/>
      <c r="U44" s="11"/>
      <c r="V44" s="11"/>
    </row>
    <row r="45" spans="1:22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>
        <v>47500000</v>
      </c>
      <c r="Q45" s="24">
        <f t="shared" si="2"/>
        <v>98.773133707631516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542000</v>
      </c>
      <c r="O46" s="24">
        <v>37.593202705045954</v>
      </c>
      <c r="P46" s="50">
        <v>120000</v>
      </c>
      <c r="Q46" s="24">
        <f t="shared" si="2"/>
        <v>8.323218311080284</v>
      </c>
      <c r="R46" s="24">
        <f t="shared" si="3"/>
        <v>662000</v>
      </c>
      <c r="S46" s="24">
        <f t="shared" si="4"/>
        <v>45.916421016126236</v>
      </c>
      <c r="T46" s="11">
        <f>(1320+400+448+480)/5757*100</f>
        <v>45.996178565224945</v>
      </c>
      <c r="U46" s="57"/>
      <c r="V46" s="57"/>
    </row>
    <row r="47" spans="1:22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3150000</v>
      </c>
      <c r="O48" s="24">
        <v>34.710743801652896</v>
      </c>
      <c r="P48" s="73">
        <v>750000</v>
      </c>
      <c r="Q48" s="24">
        <f t="shared" si="2"/>
        <v>8.2644628099173563</v>
      </c>
      <c r="R48" s="24">
        <f t="shared" si="3"/>
        <v>3900000</v>
      </c>
      <c r="S48" s="24">
        <f t="shared" si="4"/>
        <v>42.97520661157025</v>
      </c>
      <c r="T48" s="73"/>
      <c r="U48" s="57"/>
      <c r="V48" s="57"/>
    </row>
    <row r="49" spans="1:22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3150000</v>
      </c>
      <c r="O49" s="24">
        <v>34.710743801652896</v>
      </c>
      <c r="P49" s="50">
        <v>750000</v>
      </c>
      <c r="Q49" s="24">
        <f t="shared" si="2"/>
        <v>8.2644628099173563</v>
      </c>
      <c r="R49" s="24">
        <f t="shared" si="3"/>
        <v>3900000</v>
      </c>
      <c r="S49" s="24">
        <f t="shared" si="4"/>
        <v>42.97520661157025</v>
      </c>
      <c r="T49" s="57">
        <f>5/11*100</f>
        <v>45.454545454545453</v>
      </c>
      <c r="U49" s="57"/>
      <c r="V49" s="57"/>
    </row>
    <row r="50" spans="1:22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0</v>
      </c>
      <c r="O64" s="33">
        <v>0</v>
      </c>
      <c r="P64" s="50"/>
      <c r="Q64" s="33">
        <f t="shared" si="2"/>
        <v>0</v>
      </c>
      <c r="R64" s="33">
        <f t="shared" si="3"/>
        <v>0</v>
      </c>
      <c r="S64" s="33">
        <f t="shared" si="4"/>
        <v>0</v>
      </c>
      <c r="T64" s="57"/>
      <c r="U64" s="57"/>
      <c r="V64" s="57"/>
    </row>
    <row r="65" spans="1:22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33">
        <v>100</v>
      </c>
      <c r="P71" s="66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33"/>
      <c r="P72" s="66"/>
      <c r="Q72" s="33"/>
      <c r="R72" s="33"/>
      <c r="S72" s="33"/>
      <c r="T72" s="115"/>
      <c r="U72" s="115"/>
      <c r="V72" s="57"/>
    </row>
    <row r="73" spans="1:22" ht="17.25" customHeight="1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>
      <c r="A75" s="151" t="s">
        <v>73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3"/>
      <c r="L75" s="140"/>
      <c r="M75" s="121">
        <f>M12</f>
        <v>641304000</v>
      </c>
      <c r="N75" s="122">
        <f t="shared" ref="N75:V75" si="7">N12</f>
        <v>166635100</v>
      </c>
      <c r="O75" s="135">
        <f t="shared" ref="O75" si="8">N75/M75*100</f>
        <v>25.983792397989099</v>
      </c>
      <c r="P75" s="122">
        <f t="shared" si="7"/>
        <v>108007400</v>
      </c>
      <c r="Q75" s="123">
        <f t="shared" si="2"/>
        <v>16.84184099896461</v>
      </c>
      <c r="R75" s="124">
        <f t="shared" si="3"/>
        <v>274642500</v>
      </c>
      <c r="S75" s="135">
        <f t="shared" si="4"/>
        <v>42.825633396953705</v>
      </c>
      <c r="T75" s="122"/>
      <c r="U75" s="125">
        <f t="shared" si="7"/>
        <v>0</v>
      </c>
      <c r="V75" s="121">
        <f t="shared" si="7"/>
        <v>0</v>
      </c>
    </row>
    <row r="78" spans="1:22">
      <c r="R78" s="154" t="s">
        <v>101</v>
      </c>
      <c r="S78" s="154"/>
      <c r="T78" s="154"/>
      <c r="U78" s="154"/>
    </row>
    <row r="79" spans="1:22">
      <c r="R79" s="154" t="s">
        <v>74</v>
      </c>
      <c r="S79" s="154"/>
      <c r="T79" s="154"/>
      <c r="U79" s="154"/>
    </row>
    <row r="80" spans="1:22">
      <c r="R80" s="141"/>
      <c r="S80" s="141"/>
      <c r="T80" s="141"/>
      <c r="U80" s="141"/>
    </row>
    <row r="81" spans="18:21">
      <c r="R81" s="141"/>
      <c r="S81" s="141"/>
      <c r="T81" s="141"/>
      <c r="U81" s="141"/>
    </row>
    <row r="82" spans="18:21">
      <c r="R82" s="127"/>
      <c r="S82" s="127"/>
      <c r="T82" s="127"/>
      <c r="U82" s="127"/>
    </row>
    <row r="83" spans="18:21">
      <c r="R83" s="155" t="s">
        <v>75</v>
      </c>
      <c r="S83" s="155"/>
      <c r="T83" s="155"/>
      <c r="U83" s="155"/>
    </row>
    <row r="84" spans="18:21">
      <c r="R84" s="148" t="s">
        <v>76</v>
      </c>
      <c r="S84" s="148"/>
      <c r="T84" s="148"/>
      <c r="U84" s="148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84"/>
  <sheetViews>
    <sheetView topLeftCell="L1" workbookViewId="0">
      <selection activeCell="R10" sqref="R10:S74"/>
    </sheetView>
  </sheetViews>
  <sheetFormatPr defaultRowHeight="1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2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2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spans="1:22">
      <c r="A4" s="156" t="s">
        <v>102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57" t="s">
        <v>3</v>
      </c>
      <c r="B6" s="157"/>
      <c r="C6" s="157"/>
      <c r="D6" s="157"/>
      <c r="E6" s="157"/>
      <c r="F6" s="157"/>
      <c r="G6" s="157"/>
      <c r="H6" s="157"/>
      <c r="I6" s="157"/>
      <c r="J6" s="157"/>
      <c r="K6" s="157" t="s">
        <v>4</v>
      </c>
      <c r="L6" s="158" t="s">
        <v>5</v>
      </c>
      <c r="M6" s="161" t="s">
        <v>6</v>
      </c>
      <c r="N6" s="164" t="s">
        <v>7</v>
      </c>
      <c r="O6" s="165"/>
      <c r="P6" s="165"/>
      <c r="Q6" s="165"/>
      <c r="R6" s="165"/>
      <c r="S6" s="165"/>
      <c r="T6" s="166"/>
      <c r="U6" s="167" t="s">
        <v>8</v>
      </c>
      <c r="V6" s="167" t="s">
        <v>9</v>
      </c>
    </row>
    <row r="7" spans="1:22" ht="15.7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9"/>
      <c r="M7" s="162"/>
      <c r="N7" s="168" t="s">
        <v>10</v>
      </c>
      <c r="O7" s="169"/>
      <c r="P7" s="168" t="s">
        <v>11</v>
      </c>
      <c r="Q7" s="169"/>
      <c r="R7" s="164" t="s">
        <v>12</v>
      </c>
      <c r="S7" s="165"/>
      <c r="T7" s="166"/>
      <c r="U7" s="167"/>
      <c r="V7" s="167"/>
    </row>
    <row r="8" spans="1:22" ht="15.7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0"/>
      <c r="M8" s="163"/>
      <c r="N8" s="168" t="s">
        <v>13</v>
      </c>
      <c r="O8" s="169"/>
      <c r="P8" s="168" t="s">
        <v>13</v>
      </c>
      <c r="Q8" s="169"/>
      <c r="R8" s="149" t="s">
        <v>13</v>
      </c>
      <c r="S8" s="150"/>
      <c r="T8" s="2" t="s">
        <v>14</v>
      </c>
      <c r="U8" s="167"/>
      <c r="V8" s="167"/>
    </row>
    <row r="9" spans="1:22" ht="30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274642500</v>
      </c>
      <c r="O10" s="17">
        <v>42.825633396953705</v>
      </c>
      <c r="P10" s="8">
        <f>P12</f>
        <v>37143000</v>
      </c>
      <c r="Q10" s="17">
        <f>P10/M10*100</f>
        <v>5.791792971819917</v>
      </c>
      <c r="R10" s="8">
        <f>R12</f>
        <v>311785500</v>
      </c>
      <c r="S10" s="17">
        <f>R10/M10*100</f>
        <v>48.617426368773629</v>
      </c>
      <c r="T10" s="8"/>
      <c r="U10" s="11"/>
      <c r="V10" s="11"/>
    </row>
    <row r="11" spans="1:22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274642500</v>
      </c>
      <c r="O12" s="24">
        <v>42.825633396953705</v>
      </c>
      <c r="P12" s="24">
        <f t="shared" ref="P12" si="0">P13+P14+P15</f>
        <v>37143000</v>
      </c>
      <c r="Q12" s="24">
        <f>P12/M12*100</f>
        <v>5.791792971819917</v>
      </c>
      <c r="R12" s="24">
        <f>P12+N12</f>
        <v>311785500</v>
      </c>
      <c r="S12" s="24">
        <f>R12/M12*100</f>
        <v>48.617426368773629</v>
      </c>
      <c r="T12" s="24"/>
      <c r="U12" s="11"/>
      <c r="V12" s="11"/>
    </row>
    <row r="13" spans="1:22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175548600</v>
      </c>
      <c r="O13" s="24">
        <v>45.622824744582914</v>
      </c>
      <c r="P13" s="24">
        <f t="shared" ref="P13" si="1">P17</f>
        <v>30290400</v>
      </c>
      <c r="Q13" s="24">
        <f t="shared" ref="Q13:Q75" si="2">P13/M13*100</f>
        <v>7.8720856255379665</v>
      </c>
      <c r="R13" s="24">
        <f t="shared" ref="R13:R75" si="3">P13+N13</f>
        <v>205839000</v>
      </c>
      <c r="S13" s="24">
        <f t="shared" ref="S13:S75" si="4">R13/M13*100</f>
        <v>53.494910370120877</v>
      </c>
      <c r="T13" s="24"/>
      <c r="U13" s="11"/>
      <c r="V13" s="11"/>
    </row>
    <row r="14" spans="1:22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94493900</v>
      </c>
      <c r="O14" s="24">
        <v>38.963086174592284</v>
      </c>
      <c r="P14" s="24">
        <f>P21</f>
        <v>6852600</v>
      </c>
      <c r="Q14" s="24">
        <f t="shared" si="2"/>
        <v>2.8255627539979944</v>
      </c>
      <c r="R14" s="24">
        <f t="shared" si="3"/>
        <v>101346500</v>
      </c>
      <c r="S14" s="24">
        <f t="shared" si="4"/>
        <v>41.788648928590277</v>
      </c>
      <c r="T14" s="24"/>
      <c r="U14" s="11"/>
      <c r="V14" s="11"/>
    </row>
    <row r="15" spans="1:22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175548600</v>
      </c>
      <c r="O17" s="38">
        <v>45.622824744582914</v>
      </c>
      <c r="P17" s="37">
        <f t="shared" ref="P17:P18" si="6">P18</f>
        <v>30290400</v>
      </c>
      <c r="Q17" s="38">
        <f t="shared" si="2"/>
        <v>7.8720856255379665</v>
      </c>
      <c r="R17" s="38">
        <f t="shared" si="3"/>
        <v>205839000</v>
      </c>
      <c r="S17" s="38">
        <f t="shared" si="4"/>
        <v>53.494910370120877</v>
      </c>
      <c r="T17" s="37"/>
      <c r="U17" s="11"/>
      <c r="V17" s="11"/>
    </row>
    <row r="18" spans="1:22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175548600</v>
      </c>
      <c r="O18" s="24">
        <v>45.622824744582914</v>
      </c>
      <c r="P18" s="41">
        <f t="shared" si="6"/>
        <v>30290400</v>
      </c>
      <c r="Q18" s="24">
        <f t="shared" si="2"/>
        <v>7.8720856255379665</v>
      </c>
      <c r="R18" s="24">
        <f t="shared" si="3"/>
        <v>205839000</v>
      </c>
      <c r="S18" s="24">
        <f t="shared" si="4"/>
        <v>53.494910370120877</v>
      </c>
      <c r="T18" s="41"/>
      <c r="U18" s="11"/>
      <c r="V18" s="11"/>
    </row>
    <row r="19" spans="1:22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175548600</v>
      </c>
      <c r="O19" s="24">
        <v>45.622824744582914</v>
      </c>
      <c r="P19" s="47">
        <v>30290400</v>
      </c>
      <c r="Q19" s="24">
        <f t="shared" si="2"/>
        <v>7.8720856255379665</v>
      </c>
      <c r="R19" s="24">
        <f t="shared" si="3"/>
        <v>205839000</v>
      </c>
      <c r="S19" s="24">
        <f t="shared" si="4"/>
        <v>53.494910370120877</v>
      </c>
      <c r="T19" s="41">
        <f>7/12*100</f>
        <v>58.333333333333336</v>
      </c>
      <c r="U19" s="11"/>
      <c r="V19" s="11"/>
    </row>
    <row r="20" spans="1:22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94493900</v>
      </c>
      <c r="O21" s="38">
        <v>38.963086174592284</v>
      </c>
      <c r="P21" s="132">
        <v>6852600</v>
      </c>
      <c r="Q21" s="38">
        <f t="shared" si="2"/>
        <v>2.8255627539979944</v>
      </c>
      <c r="R21" s="38">
        <f t="shared" si="3"/>
        <v>101346500</v>
      </c>
      <c r="S21" s="38">
        <f t="shared" si="4"/>
        <v>41.788648928590277</v>
      </c>
      <c r="T21" s="54"/>
      <c r="U21" s="11"/>
      <c r="V21" s="11"/>
    </row>
    <row r="22" spans="1:22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544000</v>
      </c>
      <c r="O31" s="24">
        <v>18.726333907056798</v>
      </c>
      <c r="P31" s="62">
        <v>112000</v>
      </c>
      <c r="Q31" s="24">
        <f t="shared" si="2"/>
        <v>3.8554216867469884</v>
      </c>
      <c r="R31" s="24">
        <f t="shared" si="3"/>
        <v>656000</v>
      </c>
      <c r="S31" s="24">
        <f t="shared" si="4"/>
        <v>22.581755593803788</v>
      </c>
      <c r="T31" s="62"/>
      <c r="U31" s="11"/>
      <c r="V31" s="11"/>
    </row>
    <row r="32" spans="1:22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544000</v>
      </c>
      <c r="O32" s="24">
        <v>18.726333907056798</v>
      </c>
      <c r="P32" s="50">
        <v>112000</v>
      </c>
      <c r="Q32" s="24">
        <f t="shared" si="2"/>
        <v>3.8554216867469884</v>
      </c>
      <c r="R32" s="24">
        <f t="shared" si="3"/>
        <v>656000</v>
      </c>
      <c r="S32" s="24">
        <f t="shared" si="4"/>
        <v>22.581755593803788</v>
      </c>
      <c r="T32" s="62">
        <f>24+8+8+8/104*100</f>
        <v>47.692307692307693</v>
      </c>
      <c r="U32" s="70"/>
      <c r="V32" s="11"/>
    </row>
    <row r="33" spans="1:22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7875400</v>
      </c>
      <c r="O34" s="24">
        <v>41.373259784607299</v>
      </c>
      <c r="P34" s="73">
        <v>870600</v>
      </c>
      <c r="Q34" s="24">
        <f t="shared" si="2"/>
        <v>4.5736800630417651</v>
      </c>
      <c r="R34" s="24">
        <f t="shared" si="3"/>
        <v>8746000</v>
      </c>
      <c r="S34" s="24">
        <f t="shared" si="4"/>
        <v>45.946939847649062</v>
      </c>
      <c r="T34" s="73"/>
      <c r="U34" s="11"/>
      <c r="V34" s="11"/>
    </row>
    <row r="35" spans="1:22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5206200</v>
      </c>
      <c r="O35" s="24">
        <v>43.384999999999998</v>
      </c>
      <c r="P35" s="50">
        <v>867700</v>
      </c>
      <c r="Q35" s="24">
        <f t="shared" si="2"/>
        <v>7.2308333333333339</v>
      </c>
      <c r="R35" s="24">
        <f t="shared" si="3"/>
        <v>6073900</v>
      </c>
      <c r="S35" s="24">
        <f t="shared" si="4"/>
        <v>50.615833333333335</v>
      </c>
      <c r="T35" s="11">
        <f>7/12*100</f>
        <v>58.333333333333336</v>
      </c>
      <c r="U35" s="11"/>
      <c r="V35" s="11"/>
    </row>
    <row r="36" spans="1:22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19200</v>
      </c>
      <c r="O36" s="24">
        <v>3.5887850467289719</v>
      </c>
      <c r="P36" s="50">
        <v>2900</v>
      </c>
      <c r="Q36" s="24">
        <f t="shared" si="2"/>
        <v>0.54205607476635509</v>
      </c>
      <c r="R36" s="24">
        <f t="shared" si="3"/>
        <v>22100</v>
      </c>
      <c r="S36" s="24">
        <f t="shared" si="4"/>
        <v>4.1308411214953278</v>
      </c>
      <c r="T36" s="73">
        <f>7/12*100</f>
        <v>58.333333333333336</v>
      </c>
      <c r="U36" s="11"/>
      <c r="V36" s="11"/>
    </row>
    <row r="37" spans="1:22" ht="30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48162000</v>
      </c>
      <c r="O44" s="24">
        <v>97.234602048181216</v>
      </c>
      <c r="P44" s="73">
        <v>120000</v>
      </c>
      <c r="Q44" s="24">
        <f t="shared" si="2"/>
        <v>0.24226884775926552</v>
      </c>
      <c r="R44" s="24">
        <f t="shared" si="3"/>
        <v>48282000</v>
      </c>
      <c r="S44" s="24">
        <f t="shared" si="4"/>
        <v>97.476870895940479</v>
      </c>
      <c r="T44" s="73"/>
      <c r="U44" s="11"/>
      <c r="V44" s="11"/>
    </row>
    <row r="45" spans="1:22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65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662000</v>
      </c>
      <c r="O46" s="24">
        <v>45.916421016126236</v>
      </c>
      <c r="P46" s="50">
        <v>120000</v>
      </c>
      <c r="Q46" s="24">
        <f t="shared" si="2"/>
        <v>8.323218311080284</v>
      </c>
      <c r="R46" s="24">
        <f t="shared" si="3"/>
        <v>782000</v>
      </c>
      <c r="S46" s="24">
        <f t="shared" si="4"/>
        <v>54.239639327206525</v>
      </c>
      <c r="T46" s="11">
        <f>(1320+400+448+480+480)/5757*100</f>
        <v>54.333854438075392</v>
      </c>
      <c r="U46" s="57"/>
      <c r="V46" s="57"/>
    </row>
    <row r="47" spans="1:22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3900000</v>
      </c>
      <c r="O48" s="24">
        <v>42.97520661157025</v>
      </c>
      <c r="P48" s="73">
        <v>750000</v>
      </c>
      <c r="Q48" s="24">
        <f t="shared" si="2"/>
        <v>8.2644628099173563</v>
      </c>
      <c r="R48" s="24">
        <f t="shared" si="3"/>
        <v>4650000</v>
      </c>
      <c r="S48" s="24">
        <f t="shared" si="4"/>
        <v>51.239669421487598</v>
      </c>
      <c r="T48" s="73"/>
      <c r="U48" s="57"/>
      <c r="V48" s="57"/>
    </row>
    <row r="49" spans="1:22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3900000</v>
      </c>
      <c r="O49" s="24">
        <v>42.97520661157025</v>
      </c>
      <c r="P49" s="50">
        <v>750000</v>
      </c>
      <c r="Q49" s="24">
        <f t="shared" si="2"/>
        <v>8.2644628099173563</v>
      </c>
      <c r="R49" s="24">
        <f t="shared" si="3"/>
        <v>4650000</v>
      </c>
      <c r="S49" s="24">
        <f t="shared" si="4"/>
        <v>51.239669421487598</v>
      </c>
      <c r="T49" s="57">
        <f>6/11*100</f>
        <v>54.54545454545454</v>
      </c>
      <c r="U49" s="57"/>
      <c r="V49" s="57"/>
    </row>
    <row r="50" spans="1:22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5000000</v>
      </c>
      <c r="Q62" s="24">
        <f t="shared" si="2"/>
        <v>38.461538461538467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0</v>
      </c>
      <c r="O64" s="33">
        <v>0</v>
      </c>
      <c r="P64" s="50">
        <v>5000000</v>
      </c>
      <c r="Q64" s="33">
        <f t="shared" si="2"/>
        <v>50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33">
        <v>100</v>
      </c>
      <c r="P71" s="66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33"/>
      <c r="P72" s="66"/>
      <c r="Q72" s="33"/>
      <c r="R72" s="33"/>
      <c r="S72" s="33"/>
      <c r="T72" s="115"/>
      <c r="U72" s="115"/>
      <c r="V72" s="57"/>
    </row>
    <row r="73" spans="1:22" ht="17.25" customHeight="1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>
      <c r="A75" s="151" t="s">
        <v>73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3"/>
      <c r="L75" s="142"/>
      <c r="M75" s="121">
        <f>M12</f>
        <v>641304000</v>
      </c>
      <c r="N75" s="122">
        <f t="shared" ref="N75:V75" si="7">N12</f>
        <v>274642500</v>
      </c>
      <c r="O75" s="135">
        <f t="shared" ref="O75" si="8">N75/M75*100</f>
        <v>42.825633396953705</v>
      </c>
      <c r="P75" s="122">
        <f t="shared" si="7"/>
        <v>37143000</v>
      </c>
      <c r="Q75" s="123">
        <f t="shared" si="2"/>
        <v>5.791792971819917</v>
      </c>
      <c r="R75" s="124">
        <f t="shared" si="3"/>
        <v>311785500</v>
      </c>
      <c r="S75" s="135">
        <f t="shared" si="4"/>
        <v>48.617426368773629</v>
      </c>
      <c r="T75" s="122"/>
      <c r="U75" s="125">
        <f t="shared" si="7"/>
        <v>0</v>
      </c>
      <c r="V75" s="121">
        <f t="shared" si="7"/>
        <v>0</v>
      </c>
    </row>
    <row r="78" spans="1:22">
      <c r="R78" s="154" t="s">
        <v>103</v>
      </c>
      <c r="S78" s="154"/>
      <c r="T78" s="154"/>
      <c r="U78" s="154"/>
    </row>
    <row r="79" spans="1:22">
      <c r="R79" s="154" t="s">
        <v>74</v>
      </c>
      <c r="S79" s="154"/>
      <c r="T79" s="154"/>
      <c r="U79" s="154"/>
    </row>
    <row r="80" spans="1:22">
      <c r="R80" s="143"/>
      <c r="S80" s="143"/>
      <c r="T80" s="143"/>
      <c r="U80" s="143"/>
    </row>
    <row r="81" spans="18:21">
      <c r="R81" s="143"/>
      <c r="S81" s="143"/>
      <c r="T81" s="143"/>
      <c r="U81" s="143"/>
    </row>
    <row r="82" spans="18:21">
      <c r="R82" s="127"/>
      <c r="S82" s="127"/>
      <c r="T82" s="127"/>
      <c r="U82" s="127"/>
    </row>
    <row r="83" spans="18:21">
      <c r="R83" s="155" t="s">
        <v>75</v>
      </c>
      <c r="S83" s="155"/>
      <c r="T83" s="155"/>
      <c r="U83" s="155"/>
    </row>
    <row r="84" spans="18:21">
      <c r="R84" s="148" t="s">
        <v>76</v>
      </c>
      <c r="S84" s="148"/>
      <c r="T84" s="148"/>
      <c r="U84" s="148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84"/>
  <sheetViews>
    <sheetView topLeftCell="M1" workbookViewId="0">
      <selection activeCell="R10" sqref="R10:S74"/>
    </sheetView>
  </sheetViews>
  <sheetFormatPr defaultRowHeight="1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2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2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spans="1:22">
      <c r="A4" s="156" t="s">
        <v>104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57" t="s">
        <v>3</v>
      </c>
      <c r="B6" s="157"/>
      <c r="C6" s="157"/>
      <c r="D6" s="157"/>
      <c r="E6" s="157"/>
      <c r="F6" s="157"/>
      <c r="G6" s="157"/>
      <c r="H6" s="157"/>
      <c r="I6" s="157"/>
      <c r="J6" s="157"/>
      <c r="K6" s="157" t="s">
        <v>4</v>
      </c>
      <c r="L6" s="158" t="s">
        <v>5</v>
      </c>
      <c r="M6" s="161" t="s">
        <v>6</v>
      </c>
      <c r="N6" s="164" t="s">
        <v>7</v>
      </c>
      <c r="O6" s="165"/>
      <c r="P6" s="165"/>
      <c r="Q6" s="165"/>
      <c r="R6" s="165"/>
      <c r="S6" s="165"/>
      <c r="T6" s="166"/>
      <c r="U6" s="167" t="s">
        <v>8</v>
      </c>
      <c r="V6" s="167" t="s">
        <v>9</v>
      </c>
    </row>
    <row r="7" spans="1:22" ht="15.7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9"/>
      <c r="M7" s="162"/>
      <c r="N7" s="168" t="s">
        <v>10</v>
      </c>
      <c r="O7" s="169"/>
      <c r="P7" s="168" t="s">
        <v>11</v>
      </c>
      <c r="Q7" s="169"/>
      <c r="R7" s="164" t="s">
        <v>12</v>
      </c>
      <c r="S7" s="165"/>
      <c r="T7" s="166"/>
      <c r="U7" s="167"/>
      <c r="V7" s="167"/>
    </row>
    <row r="8" spans="1:22" ht="15.7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0"/>
      <c r="M8" s="163"/>
      <c r="N8" s="168" t="s">
        <v>13</v>
      </c>
      <c r="O8" s="169"/>
      <c r="P8" s="168" t="s">
        <v>13</v>
      </c>
      <c r="Q8" s="169"/>
      <c r="R8" s="149" t="s">
        <v>13</v>
      </c>
      <c r="S8" s="150"/>
      <c r="T8" s="2" t="s">
        <v>14</v>
      </c>
      <c r="U8" s="167"/>
      <c r="V8" s="167"/>
    </row>
    <row r="9" spans="1:22" ht="30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311785500</v>
      </c>
      <c r="O10" s="17">
        <v>48.617426368773629</v>
      </c>
      <c r="P10" s="8">
        <f>P12</f>
        <v>32613200</v>
      </c>
      <c r="Q10" s="17">
        <f>P10/M10*100</f>
        <v>5.0854508938038743</v>
      </c>
      <c r="R10" s="8">
        <f>R12</f>
        <v>344398700</v>
      </c>
      <c r="S10" s="17">
        <f>R10/M10*100</f>
        <v>53.702877262577495</v>
      </c>
      <c r="T10" s="8"/>
      <c r="U10" s="11"/>
      <c r="V10" s="11"/>
    </row>
    <row r="11" spans="1:22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311785500</v>
      </c>
      <c r="O12" s="24">
        <v>48.617426368773629</v>
      </c>
      <c r="P12" s="24">
        <f t="shared" ref="P12" si="0">P13+P14+P15</f>
        <v>32613200</v>
      </c>
      <c r="Q12" s="24">
        <f>P12/M12*100</f>
        <v>5.0854508938038743</v>
      </c>
      <c r="R12" s="24">
        <f>P12+N12</f>
        <v>344398700</v>
      </c>
      <c r="S12" s="24">
        <f>R12/M12*100</f>
        <v>53.702877262577495</v>
      </c>
      <c r="T12" s="24"/>
      <c r="U12" s="11"/>
      <c r="V12" s="11"/>
    </row>
    <row r="13" spans="1:22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205839000</v>
      </c>
      <c r="O13" s="24">
        <v>53.494910370120877</v>
      </c>
      <c r="P13" s="24">
        <f t="shared" ref="P13" si="1">P17</f>
        <v>30240000</v>
      </c>
      <c r="Q13" s="24">
        <f t="shared" ref="Q13:Q75" si="2">P13/M13*100</f>
        <v>7.8589873133490515</v>
      </c>
      <c r="R13" s="24">
        <f t="shared" ref="R13:R75" si="3">P13+N13</f>
        <v>236079000</v>
      </c>
      <c r="S13" s="24">
        <f t="shared" ref="S13:S75" si="4">R13/M13*100</f>
        <v>61.353897683469924</v>
      </c>
      <c r="T13" s="24"/>
      <c r="U13" s="11"/>
      <c r="V13" s="11"/>
    </row>
    <row r="14" spans="1:22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101346500</v>
      </c>
      <c r="O14" s="24">
        <v>41.788648928590277</v>
      </c>
      <c r="P14" s="24">
        <f>P21</f>
        <v>2373200</v>
      </c>
      <c r="Q14" s="24">
        <f t="shared" si="2"/>
        <v>0.97855201351137389</v>
      </c>
      <c r="R14" s="24">
        <f t="shared" si="3"/>
        <v>103719700</v>
      </c>
      <c r="S14" s="24">
        <f t="shared" si="4"/>
        <v>42.767200942101653</v>
      </c>
      <c r="T14" s="24"/>
      <c r="U14" s="11"/>
      <c r="V14" s="11"/>
    </row>
    <row r="15" spans="1:22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205839000</v>
      </c>
      <c r="O17" s="38">
        <v>53.494910370120877</v>
      </c>
      <c r="P17" s="37">
        <f t="shared" ref="P17:P18" si="6">P18</f>
        <v>30240000</v>
      </c>
      <c r="Q17" s="38">
        <f t="shared" si="2"/>
        <v>7.8589873133490515</v>
      </c>
      <c r="R17" s="38">
        <f t="shared" si="3"/>
        <v>236079000</v>
      </c>
      <c r="S17" s="38">
        <f t="shared" si="4"/>
        <v>61.353897683469924</v>
      </c>
      <c r="T17" s="37"/>
      <c r="U17" s="11"/>
      <c r="V17" s="11"/>
    </row>
    <row r="18" spans="1:22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205839000</v>
      </c>
      <c r="O18" s="24">
        <v>53.494910370120877</v>
      </c>
      <c r="P18" s="41">
        <f t="shared" si="6"/>
        <v>30240000</v>
      </c>
      <c r="Q18" s="24">
        <f t="shared" si="2"/>
        <v>7.8589873133490515</v>
      </c>
      <c r="R18" s="24">
        <f t="shared" si="3"/>
        <v>236079000</v>
      </c>
      <c r="S18" s="24">
        <f t="shared" si="4"/>
        <v>61.353897683469924</v>
      </c>
      <c r="T18" s="41"/>
      <c r="U18" s="11"/>
      <c r="V18" s="11"/>
    </row>
    <row r="19" spans="1:22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205839000</v>
      </c>
      <c r="O19" s="24">
        <v>53.494910370120877</v>
      </c>
      <c r="P19" s="47">
        <f>30222000+18000</f>
        <v>30240000</v>
      </c>
      <c r="Q19" s="24">
        <f t="shared" si="2"/>
        <v>7.8589873133490515</v>
      </c>
      <c r="R19" s="24">
        <f t="shared" si="3"/>
        <v>236079000</v>
      </c>
      <c r="S19" s="24">
        <f t="shared" si="4"/>
        <v>61.353897683469924</v>
      </c>
      <c r="T19" s="41">
        <f>8/12*100</f>
        <v>66.666666666666657</v>
      </c>
      <c r="U19" s="11"/>
      <c r="V19" s="11"/>
    </row>
    <row r="20" spans="1:22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101346500</v>
      </c>
      <c r="O21" s="38">
        <v>41.788648928590277</v>
      </c>
      <c r="P21" s="132">
        <f>P22+P31+P34+P39+P44+P48+P51+P54+P57+P62+P66</f>
        <v>2373200</v>
      </c>
      <c r="Q21" s="38">
        <f t="shared" si="2"/>
        <v>0.97855201351137389</v>
      </c>
      <c r="R21" s="38">
        <f t="shared" si="3"/>
        <v>103719700</v>
      </c>
      <c r="S21" s="38">
        <f t="shared" si="4"/>
        <v>42.767200942101653</v>
      </c>
      <c r="T21" s="54"/>
      <c r="U21" s="11"/>
      <c r="V21" s="11"/>
    </row>
    <row r="22" spans="1:22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f>SUM(P23:P29)</f>
        <v>560000</v>
      </c>
      <c r="Q22" s="24">
        <f t="shared" si="2"/>
        <v>0.57848401034040164</v>
      </c>
      <c r="R22" s="24">
        <f t="shared" si="3"/>
        <v>2747500</v>
      </c>
      <c r="S22" s="24">
        <f t="shared" si="4"/>
        <v>2.838187175732596</v>
      </c>
      <c r="T22" s="56"/>
      <c r="U22" s="11"/>
      <c r="V22" s="11"/>
    </row>
    <row r="23" spans="1:22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>
        <v>560000</v>
      </c>
      <c r="Q25" s="24">
        <f t="shared" si="2"/>
        <v>10.064159013712416</v>
      </c>
      <c r="R25" s="24">
        <f t="shared" si="3"/>
        <v>560000</v>
      </c>
      <c r="S25" s="24">
        <f t="shared" si="4"/>
        <v>10.064159013712416</v>
      </c>
      <c r="T25" s="11">
        <f>2/15*100</f>
        <v>13.333333333333334</v>
      </c>
      <c r="U25" s="60"/>
      <c r="V25" s="11"/>
    </row>
    <row r="26" spans="1:22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656000</v>
      </c>
      <c r="O31" s="24">
        <v>22.581755593803788</v>
      </c>
      <c r="P31" s="62">
        <f>P32</f>
        <v>112000</v>
      </c>
      <c r="Q31" s="24">
        <f t="shared" si="2"/>
        <v>3.8554216867469884</v>
      </c>
      <c r="R31" s="24">
        <f t="shared" si="3"/>
        <v>768000</v>
      </c>
      <c r="S31" s="24">
        <f t="shared" si="4"/>
        <v>26.43717728055077</v>
      </c>
      <c r="T31" s="62"/>
      <c r="U31" s="11"/>
      <c r="V31" s="11"/>
    </row>
    <row r="32" spans="1:22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656000</v>
      </c>
      <c r="O32" s="24">
        <v>22.581755593803788</v>
      </c>
      <c r="P32" s="50">
        <v>112000</v>
      </c>
      <c r="Q32" s="24">
        <f t="shared" si="2"/>
        <v>3.8554216867469884</v>
      </c>
      <c r="R32" s="24">
        <f t="shared" si="3"/>
        <v>768000</v>
      </c>
      <c r="S32" s="24">
        <f t="shared" si="4"/>
        <v>26.43717728055077</v>
      </c>
      <c r="T32" s="62">
        <f>24+8+8+8+8/104*100</f>
        <v>55.692307692307693</v>
      </c>
      <c r="U32" s="70"/>
      <c r="V32" s="11"/>
    </row>
    <row r="33" spans="1:22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8746000</v>
      </c>
      <c r="O34" s="24">
        <v>45.946939847649062</v>
      </c>
      <c r="P34" s="73">
        <f>SUM(P35:P37)</f>
        <v>831200</v>
      </c>
      <c r="Q34" s="24">
        <f t="shared" si="2"/>
        <v>4.366692934068821</v>
      </c>
      <c r="R34" s="24">
        <f t="shared" si="3"/>
        <v>9577200</v>
      </c>
      <c r="S34" s="24">
        <f t="shared" si="4"/>
        <v>50.313632781717885</v>
      </c>
      <c r="T34" s="73"/>
      <c r="U34" s="11"/>
      <c r="V34" s="11"/>
    </row>
    <row r="35" spans="1:22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6073900</v>
      </c>
      <c r="O35" s="24">
        <v>50.615833333333335</v>
      </c>
      <c r="P35" s="50">
        <v>828300</v>
      </c>
      <c r="Q35" s="24">
        <f t="shared" si="2"/>
        <v>6.9024999999999999</v>
      </c>
      <c r="R35" s="24">
        <f t="shared" si="3"/>
        <v>6902200</v>
      </c>
      <c r="S35" s="24">
        <f t="shared" si="4"/>
        <v>57.518333333333338</v>
      </c>
      <c r="T35" s="11">
        <f>8/12*100</f>
        <v>66.666666666666657</v>
      </c>
      <c r="U35" s="11"/>
      <c r="V35" s="11"/>
    </row>
    <row r="36" spans="1:22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22100</v>
      </c>
      <c r="O36" s="24">
        <v>4.1308411214953278</v>
      </c>
      <c r="P36" s="50">
        <v>2900</v>
      </c>
      <c r="Q36" s="24">
        <f t="shared" si="2"/>
        <v>0.54205607476635509</v>
      </c>
      <c r="R36" s="24">
        <f t="shared" si="3"/>
        <v>25000</v>
      </c>
      <c r="S36" s="24">
        <f t="shared" si="4"/>
        <v>4.6728971962616823</v>
      </c>
      <c r="T36" s="73">
        <f>8/12*100</f>
        <v>66.666666666666657</v>
      </c>
      <c r="U36" s="11"/>
      <c r="V36" s="11"/>
    </row>
    <row r="37" spans="1:22" ht="30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48282000</v>
      </c>
      <c r="O44" s="24">
        <v>97.476870895940479</v>
      </c>
      <c r="P44" s="73">
        <f>SUM(P45:P46)</f>
        <v>120000</v>
      </c>
      <c r="Q44" s="24">
        <f t="shared" si="2"/>
        <v>0.24226884775926552</v>
      </c>
      <c r="R44" s="24">
        <f t="shared" si="3"/>
        <v>48402000</v>
      </c>
      <c r="S44" s="24">
        <f t="shared" si="4"/>
        <v>97.719139743699742</v>
      </c>
      <c r="T44" s="73"/>
      <c r="U44" s="11"/>
      <c r="V44" s="11"/>
    </row>
    <row r="45" spans="1:22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782000</v>
      </c>
      <c r="O46" s="24">
        <v>54.239639327206525</v>
      </c>
      <c r="P46" s="50">
        <v>120000</v>
      </c>
      <c r="Q46" s="24">
        <f t="shared" si="2"/>
        <v>8.323218311080284</v>
      </c>
      <c r="R46" s="24">
        <f t="shared" si="3"/>
        <v>902000</v>
      </c>
      <c r="S46" s="24">
        <f t="shared" si="4"/>
        <v>62.562857638286808</v>
      </c>
      <c r="T46" s="11">
        <f>(1320+400+448+480+480+480)/5757*100</f>
        <v>62.671530310925824</v>
      </c>
      <c r="U46" s="57"/>
      <c r="V46" s="57"/>
    </row>
    <row r="47" spans="1:22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4650000</v>
      </c>
      <c r="O48" s="24">
        <v>51.239669421487598</v>
      </c>
      <c r="P48" s="73">
        <f>P49</f>
        <v>750000</v>
      </c>
      <c r="Q48" s="24">
        <f t="shared" si="2"/>
        <v>8.2644628099173563</v>
      </c>
      <c r="R48" s="24">
        <f t="shared" si="3"/>
        <v>5400000</v>
      </c>
      <c r="S48" s="24">
        <f t="shared" si="4"/>
        <v>59.504132231404959</v>
      </c>
      <c r="T48" s="73"/>
      <c r="U48" s="57"/>
      <c r="V48" s="57"/>
    </row>
    <row r="49" spans="1:22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4650000</v>
      </c>
      <c r="O49" s="24">
        <v>51.239669421487598</v>
      </c>
      <c r="P49" s="50">
        <v>750000</v>
      </c>
      <c r="Q49" s="24">
        <f t="shared" si="2"/>
        <v>8.2644628099173563</v>
      </c>
      <c r="R49" s="24">
        <f t="shared" si="3"/>
        <v>5400000</v>
      </c>
      <c r="S49" s="24">
        <f t="shared" si="4"/>
        <v>59.504132231404959</v>
      </c>
      <c r="T49" s="57">
        <f>7/11*100</f>
        <v>63.636363636363633</v>
      </c>
      <c r="U49" s="57"/>
      <c r="V49" s="57"/>
    </row>
    <row r="50" spans="1:22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>
      <c r="A75" s="151" t="s">
        <v>73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3"/>
      <c r="L75" s="144"/>
      <c r="M75" s="121">
        <f>M12</f>
        <v>641304000</v>
      </c>
      <c r="N75" s="122">
        <f t="shared" ref="N75:V75" si="7">N12</f>
        <v>311785500</v>
      </c>
      <c r="O75" s="135">
        <f t="shared" ref="O75" si="8">N75/M75*100</f>
        <v>48.617426368773629</v>
      </c>
      <c r="P75" s="122">
        <f t="shared" si="7"/>
        <v>32613200</v>
      </c>
      <c r="Q75" s="123">
        <f t="shared" si="2"/>
        <v>5.0854508938038743</v>
      </c>
      <c r="R75" s="124">
        <f t="shared" si="3"/>
        <v>344398700</v>
      </c>
      <c r="S75" s="135">
        <f t="shared" si="4"/>
        <v>53.702877262577495</v>
      </c>
      <c r="T75" s="122"/>
      <c r="U75" s="125">
        <f t="shared" si="7"/>
        <v>0</v>
      </c>
      <c r="V75" s="121">
        <f t="shared" si="7"/>
        <v>0</v>
      </c>
    </row>
    <row r="78" spans="1:22">
      <c r="R78" s="154" t="s">
        <v>105</v>
      </c>
      <c r="S78" s="154"/>
      <c r="T78" s="154"/>
      <c r="U78" s="154"/>
    </row>
    <row r="79" spans="1:22">
      <c r="R79" s="154" t="s">
        <v>74</v>
      </c>
      <c r="S79" s="154"/>
      <c r="T79" s="154"/>
      <c r="U79" s="154"/>
    </row>
    <row r="80" spans="1:22">
      <c r="R80" s="145"/>
      <c r="S80" s="145"/>
      <c r="T80" s="145"/>
      <c r="U80" s="145"/>
    </row>
    <row r="81" spans="18:21">
      <c r="R81" s="145"/>
      <c r="S81" s="145"/>
      <c r="T81" s="145"/>
      <c r="U81" s="145"/>
    </row>
    <row r="82" spans="18:21">
      <c r="R82" s="127"/>
      <c r="S82" s="127"/>
      <c r="T82" s="127"/>
      <c r="U82" s="127"/>
    </row>
    <row r="83" spans="18:21">
      <c r="R83" s="155" t="s">
        <v>75</v>
      </c>
      <c r="S83" s="155"/>
      <c r="T83" s="155"/>
      <c r="U83" s="155"/>
    </row>
    <row r="84" spans="18:21">
      <c r="R84" s="148" t="s">
        <v>76</v>
      </c>
      <c r="S84" s="148"/>
      <c r="T84" s="148"/>
      <c r="U84" s="14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:S8"/>
    <mergeCell ref="A75:K75"/>
    <mergeCell ref="R78:U78"/>
    <mergeCell ref="R79:U79"/>
    <mergeCell ref="R83:U83"/>
    <mergeCell ref="R84:U84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84"/>
  <sheetViews>
    <sheetView tabSelected="1" workbookViewId="0">
      <selection activeCell="A2" sqref="A2:V2"/>
    </sheetView>
  </sheetViews>
  <sheetFormatPr defaultRowHeight="1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2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22">
      <c r="A3" s="156" t="s">
        <v>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spans="1:22">
      <c r="A4" s="156" t="s">
        <v>107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57" t="s">
        <v>3</v>
      </c>
      <c r="B6" s="157"/>
      <c r="C6" s="157"/>
      <c r="D6" s="157"/>
      <c r="E6" s="157"/>
      <c r="F6" s="157"/>
      <c r="G6" s="157"/>
      <c r="H6" s="157"/>
      <c r="I6" s="157"/>
      <c r="J6" s="157"/>
      <c r="K6" s="157" t="s">
        <v>4</v>
      </c>
      <c r="L6" s="158" t="s">
        <v>5</v>
      </c>
      <c r="M6" s="161" t="s">
        <v>6</v>
      </c>
      <c r="N6" s="164" t="s">
        <v>7</v>
      </c>
      <c r="O6" s="165"/>
      <c r="P6" s="165"/>
      <c r="Q6" s="165"/>
      <c r="R6" s="165"/>
      <c r="S6" s="165"/>
      <c r="T6" s="166"/>
      <c r="U6" s="167" t="s">
        <v>8</v>
      </c>
      <c r="V6" s="167" t="s">
        <v>9</v>
      </c>
    </row>
    <row r="7" spans="1:22" ht="15.7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9"/>
      <c r="M7" s="162"/>
      <c r="N7" s="168" t="s">
        <v>10</v>
      </c>
      <c r="O7" s="169"/>
      <c r="P7" s="168" t="s">
        <v>11</v>
      </c>
      <c r="Q7" s="169"/>
      <c r="R7" s="164" t="s">
        <v>12</v>
      </c>
      <c r="S7" s="165"/>
      <c r="T7" s="166"/>
      <c r="U7" s="167"/>
      <c r="V7" s="167"/>
    </row>
    <row r="8" spans="1:22" ht="15.7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0"/>
      <c r="M8" s="163"/>
      <c r="N8" s="168" t="s">
        <v>13</v>
      </c>
      <c r="O8" s="169"/>
      <c r="P8" s="168" t="s">
        <v>13</v>
      </c>
      <c r="Q8" s="169"/>
      <c r="R8" s="149" t="s">
        <v>13</v>
      </c>
      <c r="S8" s="150"/>
      <c r="T8" s="2" t="s">
        <v>14</v>
      </c>
      <c r="U8" s="167"/>
      <c r="V8" s="167"/>
    </row>
    <row r="9" spans="1:22" ht="30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344398700</v>
      </c>
      <c r="O10" s="17">
        <v>53.702877262577495</v>
      </c>
      <c r="P10" s="8">
        <f>P12</f>
        <v>30255820</v>
      </c>
      <c r="Q10" s="17">
        <f>P10/M10*100</f>
        <v>4.7178592368050092</v>
      </c>
      <c r="R10" s="8">
        <f>R12</f>
        <v>374654520</v>
      </c>
      <c r="S10" s="17">
        <f>R10/M10*100</f>
        <v>58.420736499382507</v>
      </c>
      <c r="T10" s="8"/>
      <c r="U10" s="11"/>
      <c r="V10" s="11"/>
    </row>
    <row r="11" spans="1:22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344398700</v>
      </c>
      <c r="O12" s="24">
        <v>53.702877262577495</v>
      </c>
      <c r="P12" s="24">
        <f t="shared" ref="P12" si="0">P13+P14+P15</f>
        <v>30255820</v>
      </c>
      <c r="Q12" s="24">
        <f>P12/M12*100</f>
        <v>4.7178592368050092</v>
      </c>
      <c r="R12" s="24">
        <f>P12+N12</f>
        <v>374654520</v>
      </c>
      <c r="S12" s="24">
        <f>R12/M12*100</f>
        <v>58.420736499382507</v>
      </c>
      <c r="T12" s="24"/>
      <c r="U12" s="11"/>
      <c r="V12" s="11"/>
    </row>
    <row r="13" spans="1:22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236079000</v>
      </c>
      <c r="O13" s="24">
        <v>61.353897683469924</v>
      </c>
      <c r="P13" s="24">
        <f t="shared" ref="P13" si="1">P17</f>
        <v>27729720</v>
      </c>
      <c r="Q13" s="24">
        <f t="shared" ref="Q13:Q75" si="2">P13/M13*100</f>
        <v>7.2065978069683023</v>
      </c>
      <c r="R13" s="24">
        <f t="shared" ref="R13:R75" si="3">P13+N13</f>
        <v>263808720</v>
      </c>
      <c r="S13" s="24">
        <f t="shared" ref="S13:S75" si="4">R13/M13*100</f>
        <v>68.560495490438228</v>
      </c>
      <c r="T13" s="24"/>
      <c r="U13" s="11"/>
      <c r="V13" s="11"/>
    </row>
    <row r="14" spans="1:22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103719700</v>
      </c>
      <c r="O14" s="24">
        <v>42.767200942101653</v>
      </c>
      <c r="P14" s="24">
        <f>P21</f>
        <v>2526100</v>
      </c>
      <c r="Q14" s="24">
        <f t="shared" si="2"/>
        <v>1.0415979442655829</v>
      </c>
      <c r="R14" s="24">
        <f t="shared" si="3"/>
        <v>106245800</v>
      </c>
      <c r="S14" s="24">
        <f t="shared" si="4"/>
        <v>43.808798886367235</v>
      </c>
      <c r="T14" s="24"/>
      <c r="U14" s="11"/>
      <c r="V14" s="11"/>
    </row>
    <row r="15" spans="1:22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236079000</v>
      </c>
      <c r="O17" s="38">
        <v>61.353897683469924</v>
      </c>
      <c r="P17" s="37">
        <f t="shared" ref="P17:P18" si="6">P18</f>
        <v>27729720</v>
      </c>
      <c r="Q17" s="38">
        <f t="shared" si="2"/>
        <v>7.2065978069683023</v>
      </c>
      <c r="R17" s="38">
        <f t="shared" si="3"/>
        <v>263808720</v>
      </c>
      <c r="S17" s="38">
        <f t="shared" si="4"/>
        <v>68.560495490438228</v>
      </c>
      <c r="T17" s="37"/>
      <c r="U17" s="11"/>
      <c r="V17" s="11"/>
    </row>
    <row r="18" spans="1:22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236079000</v>
      </c>
      <c r="O18" s="24">
        <v>61.353897683469924</v>
      </c>
      <c r="P18" s="41">
        <f t="shared" si="6"/>
        <v>27729720</v>
      </c>
      <c r="Q18" s="24">
        <f t="shared" si="2"/>
        <v>7.2065978069683023</v>
      </c>
      <c r="R18" s="24">
        <f t="shared" si="3"/>
        <v>263808720</v>
      </c>
      <c r="S18" s="24">
        <f t="shared" si="4"/>
        <v>68.560495490438228</v>
      </c>
      <c r="T18" s="41"/>
      <c r="U18" s="11"/>
      <c r="V18" s="11"/>
    </row>
    <row r="19" spans="1:22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236079000</v>
      </c>
      <c r="O19" s="24">
        <v>61.353897683469924</v>
      </c>
      <c r="P19" s="170">
        <v>27729720</v>
      </c>
      <c r="Q19" s="24">
        <f t="shared" si="2"/>
        <v>7.2065978069683023</v>
      </c>
      <c r="R19" s="24">
        <f t="shared" si="3"/>
        <v>263808720</v>
      </c>
      <c r="S19" s="24">
        <f t="shared" si="4"/>
        <v>68.560495490438228</v>
      </c>
      <c r="T19" s="41">
        <f>9/12*100</f>
        <v>75</v>
      </c>
      <c r="U19" s="11"/>
      <c r="V19" s="11"/>
    </row>
    <row r="20" spans="1:22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103719700</v>
      </c>
      <c r="O21" s="38">
        <v>42.767200942101653</v>
      </c>
      <c r="P21" s="132">
        <f>P22+P31+P34+P39+P44+P48+P51+P54+P57+P62+P66</f>
        <v>2526100</v>
      </c>
      <c r="Q21" s="38">
        <f t="shared" si="2"/>
        <v>1.0415979442655829</v>
      </c>
      <c r="R21" s="38">
        <f t="shared" si="3"/>
        <v>106245800</v>
      </c>
      <c r="S21" s="38">
        <f t="shared" si="4"/>
        <v>43.808798886367235</v>
      </c>
      <c r="T21" s="54"/>
      <c r="U21" s="11"/>
      <c r="V21" s="11"/>
    </row>
    <row r="22" spans="1:22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2747500</v>
      </c>
      <c r="O22" s="24">
        <v>2.838187175732596</v>
      </c>
      <c r="P22" s="56">
        <f>SUM(P23:P29)</f>
        <v>633500</v>
      </c>
      <c r="Q22" s="24">
        <f t="shared" si="2"/>
        <v>0.65441003669757936</v>
      </c>
      <c r="R22" s="24">
        <f t="shared" si="3"/>
        <v>3381000</v>
      </c>
      <c r="S22" s="24">
        <f t="shared" si="4"/>
        <v>3.4925972124301747</v>
      </c>
      <c r="T22" s="56"/>
      <c r="U22" s="11"/>
      <c r="V22" s="11"/>
    </row>
    <row r="23" spans="1:22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560000</v>
      </c>
      <c r="O25" s="24">
        <v>10.064159013712416</v>
      </c>
      <c r="P25" s="50">
        <v>633500</v>
      </c>
      <c r="Q25" s="24">
        <f t="shared" si="2"/>
        <v>11.38507988426217</v>
      </c>
      <c r="R25" s="24">
        <f t="shared" si="3"/>
        <v>1193500</v>
      </c>
      <c r="S25" s="24">
        <f t="shared" si="4"/>
        <v>21.449238897974588</v>
      </c>
      <c r="T25" s="11">
        <f>9/15*100</f>
        <v>60</v>
      </c>
      <c r="U25" s="60"/>
      <c r="V25" s="11"/>
    </row>
    <row r="26" spans="1:22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768000</v>
      </c>
      <c r="O31" s="24">
        <v>26.43717728055077</v>
      </c>
      <c r="P31" s="62">
        <f>P32</f>
        <v>112000</v>
      </c>
      <c r="Q31" s="24">
        <f t="shared" si="2"/>
        <v>3.8554216867469884</v>
      </c>
      <c r="R31" s="24">
        <f t="shared" si="3"/>
        <v>880000</v>
      </c>
      <c r="S31" s="24">
        <f t="shared" si="4"/>
        <v>30.292598967297764</v>
      </c>
      <c r="T31" s="62"/>
      <c r="U31" s="11"/>
      <c r="V31" s="11"/>
    </row>
    <row r="32" spans="1:22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768000</v>
      </c>
      <c r="O32" s="24">
        <v>26.43717728055077</v>
      </c>
      <c r="P32" s="50">
        <v>112000</v>
      </c>
      <c r="Q32" s="24">
        <f t="shared" si="2"/>
        <v>3.8554216867469884</v>
      </c>
      <c r="R32" s="24">
        <f t="shared" si="3"/>
        <v>880000</v>
      </c>
      <c r="S32" s="24">
        <f t="shared" si="4"/>
        <v>30.292598967297764</v>
      </c>
      <c r="T32" s="62">
        <f>24+8+8+8+8+8/104*100</f>
        <v>63.692307692307693</v>
      </c>
      <c r="U32" s="70"/>
      <c r="V32" s="11"/>
    </row>
    <row r="33" spans="1:22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9577200</v>
      </c>
      <c r="O34" s="24">
        <v>50.313632781717885</v>
      </c>
      <c r="P34" s="73">
        <f>SUM(P35:P37)</f>
        <v>910600</v>
      </c>
      <c r="Q34" s="24">
        <f t="shared" si="2"/>
        <v>4.7838192802731809</v>
      </c>
      <c r="R34" s="24">
        <f t="shared" si="3"/>
        <v>10487800</v>
      </c>
      <c r="S34" s="24">
        <f t="shared" si="4"/>
        <v>55.097452061991071</v>
      </c>
      <c r="T34" s="73"/>
      <c r="U34" s="11"/>
      <c r="V34" s="11"/>
    </row>
    <row r="35" spans="1:22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6902200</v>
      </c>
      <c r="O35" s="24">
        <v>57.518333333333338</v>
      </c>
      <c r="P35" s="50">
        <v>867700</v>
      </c>
      <c r="Q35" s="24">
        <f t="shared" si="2"/>
        <v>7.2308333333333339</v>
      </c>
      <c r="R35" s="24">
        <f t="shared" si="3"/>
        <v>7769900</v>
      </c>
      <c r="S35" s="24">
        <f t="shared" si="4"/>
        <v>64.749166666666667</v>
      </c>
      <c r="T35" s="11">
        <f>9/12*100</f>
        <v>75</v>
      </c>
      <c r="U35" s="11"/>
      <c r="V35" s="11"/>
    </row>
    <row r="36" spans="1:22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25000</v>
      </c>
      <c r="O36" s="24">
        <v>4.6728971962616823</v>
      </c>
      <c r="P36" s="50">
        <v>42900</v>
      </c>
      <c r="Q36" s="24">
        <f t="shared" si="2"/>
        <v>8.0186915887850478</v>
      </c>
      <c r="R36" s="24">
        <f t="shared" si="3"/>
        <v>67900</v>
      </c>
      <c r="S36" s="24">
        <f t="shared" si="4"/>
        <v>12.691588785046729</v>
      </c>
      <c r="T36" s="73">
        <v>9</v>
      </c>
      <c r="U36" s="11"/>
      <c r="V36" s="11"/>
    </row>
    <row r="37" spans="1:22" ht="30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48402000</v>
      </c>
      <c r="O44" s="24">
        <v>97.719139743699742</v>
      </c>
      <c r="P44" s="73">
        <f>SUM(P45:P46)</f>
        <v>120000</v>
      </c>
      <c r="Q44" s="24">
        <f t="shared" si="2"/>
        <v>0.24226884775926552</v>
      </c>
      <c r="R44" s="24">
        <f t="shared" si="3"/>
        <v>48522000</v>
      </c>
      <c r="S44" s="24">
        <f t="shared" si="4"/>
        <v>97.961408591459005</v>
      </c>
      <c r="T44" s="73"/>
      <c r="U44" s="11"/>
      <c r="V44" s="11"/>
    </row>
    <row r="45" spans="1:22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902000</v>
      </c>
      <c r="O46" s="24">
        <v>62.562857638286808</v>
      </c>
      <c r="P46" s="50">
        <v>120000</v>
      </c>
      <c r="Q46" s="24">
        <f t="shared" si="2"/>
        <v>8.323218311080284</v>
      </c>
      <c r="R46" s="24">
        <f t="shared" si="3"/>
        <v>1022000</v>
      </c>
      <c r="S46" s="24">
        <f t="shared" si="4"/>
        <v>70.886075949367083</v>
      </c>
      <c r="T46" s="11">
        <f>(1320+400+448+480+480+480+480)/5757*100</f>
        <v>71.009206183776271</v>
      </c>
      <c r="U46" s="57"/>
      <c r="V46" s="57"/>
    </row>
    <row r="47" spans="1:22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5400000</v>
      </c>
      <c r="O48" s="24">
        <v>59.504132231404959</v>
      </c>
      <c r="P48" s="73">
        <f>P49</f>
        <v>750000</v>
      </c>
      <c r="Q48" s="24">
        <f t="shared" si="2"/>
        <v>8.2644628099173563</v>
      </c>
      <c r="R48" s="24">
        <f t="shared" si="3"/>
        <v>6150000</v>
      </c>
      <c r="S48" s="24">
        <f t="shared" si="4"/>
        <v>67.768595041322314</v>
      </c>
      <c r="T48" s="73"/>
      <c r="U48" s="57"/>
      <c r="V48" s="57"/>
    </row>
    <row r="49" spans="1:22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5400000</v>
      </c>
      <c r="O49" s="24">
        <v>59.504132231404959</v>
      </c>
      <c r="P49" s="50">
        <v>750000</v>
      </c>
      <c r="Q49" s="24">
        <f t="shared" si="2"/>
        <v>8.2644628099173563</v>
      </c>
      <c r="R49" s="24">
        <f t="shared" si="3"/>
        <v>6150000</v>
      </c>
      <c r="S49" s="24">
        <f t="shared" si="4"/>
        <v>67.768595041322314</v>
      </c>
      <c r="T49" s="57">
        <f>8/11*100</f>
        <v>72.727272727272734</v>
      </c>
      <c r="U49" s="57"/>
      <c r="V49" s="57"/>
    </row>
    <row r="50" spans="1:22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>
      <c r="A75" s="151" t="s">
        <v>73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3"/>
      <c r="L75" s="146"/>
      <c r="M75" s="121">
        <f>M12</f>
        <v>641304000</v>
      </c>
      <c r="N75" s="122">
        <f t="shared" ref="N75:V75" si="7">N12</f>
        <v>344398700</v>
      </c>
      <c r="O75" s="135">
        <f t="shared" ref="O75" si="8">N75/M75*100</f>
        <v>53.702877262577495</v>
      </c>
      <c r="P75" s="122">
        <f t="shared" si="7"/>
        <v>30255820</v>
      </c>
      <c r="Q75" s="123">
        <f t="shared" si="2"/>
        <v>4.7178592368050092</v>
      </c>
      <c r="R75" s="124">
        <f t="shared" si="3"/>
        <v>374654520</v>
      </c>
      <c r="S75" s="135">
        <f t="shared" si="4"/>
        <v>58.420736499382507</v>
      </c>
      <c r="T75" s="122"/>
      <c r="U75" s="125">
        <f t="shared" si="7"/>
        <v>0</v>
      </c>
      <c r="V75" s="171">
        <f t="shared" si="7"/>
        <v>0</v>
      </c>
    </row>
    <row r="78" spans="1:22">
      <c r="R78" s="154" t="s">
        <v>106</v>
      </c>
      <c r="S78" s="154"/>
      <c r="T78" s="154"/>
      <c r="U78" s="154"/>
    </row>
    <row r="79" spans="1:22">
      <c r="R79" s="154" t="s">
        <v>74</v>
      </c>
      <c r="S79" s="154"/>
      <c r="T79" s="154"/>
      <c r="U79" s="154"/>
    </row>
    <row r="80" spans="1:22">
      <c r="R80" s="147"/>
      <c r="S80" s="147"/>
      <c r="T80" s="147"/>
      <c r="U80" s="147"/>
    </row>
    <row r="81" spans="18:21">
      <c r="R81" s="147"/>
      <c r="S81" s="147"/>
      <c r="T81" s="147"/>
      <c r="U81" s="147"/>
    </row>
    <row r="82" spans="18:21">
      <c r="R82" s="127"/>
      <c r="S82" s="127"/>
      <c r="T82" s="127"/>
      <c r="U82" s="127"/>
    </row>
    <row r="83" spans="18:21">
      <c r="R83" s="155" t="s">
        <v>75</v>
      </c>
      <c r="S83" s="155"/>
      <c r="T83" s="155"/>
      <c r="U83" s="155"/>
    </row>
    <row r="84" spans="18:21">
      <c r="R84" s="148" t="s">
        <v>76</v>
      </c>
      <c r="S84" s="148"/>
      <c r="T84" s="148"/>
      <c r="U84" s="148"/>
    </row>
  </sheetData>
  <mergeCells count="22">
    <mergeCell ref="A75:K75"/>
    <mergeCell ref="R78:U78"/>
    <mergeCell ref="R79:U79"/>
    <mergeCell ref="R83:U83"/>
    <mergeCell ref="R84:U84"/>
    <mergeCell ref="V6:V8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</vt:lpstr>
      <vt:lpstr>feb</vt:lpstr>
      <vt:lpstr>MAR</vt:lpstr>
      <vt:lpstr>APR</vt:lpstr>
      <vt:lpstr>mei</vt:lpstr>
      <vt:lpstr>juni</vt:lpstr>
      <vt:lpstr>juli</vt:lpstr>
      <vt:lpstr>agt</vt:lpstr>
      <vt:lpstr>sept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PKM PASKAL</dc:creator>
  <cp:lastModifiedBy>Windows7</cp:lastModifiedBy>
  <cp:lastPrinted>2020-07-14T03:02:56Z</cp:lastPrinted>
  <dcterms:created xsi:type="dcterms:W3CDTF">2020-02-03T02:37:10Z</dcterms:created>
  <dcterms:modified xsi:type="dcterms:W3CDTF">2020-10-04T08:29:15Z</dcterms:modified>
</cp:coreProperties>
</file>