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12240" activeTab="12"/>
  </bookViews>
  <sheets>
    <sheet name="jan" sheetId="1" r:id="rId1"/>
    <sheet name="feb" sheetId="42" r:id="rId2"/>
    <sheet name="mar" sheetId="43" r:id="rId3"/>
    <sheet name="PKK Tri 1" sheetId="21" r:id="rId4"/>
    <sheet name="apr" sheetId="44" r:id="rId5"/>
    <sheet name="mei" sheetId="45" r:id="rId6"/>
    <sheet name="jun" sheetId="46" r:id="rId7"/>
    <sheet name="PKK Tri 2" sheetId="22" r:id="rId8"/>
    <sheet name="jul" sheetId="47" r:id="rId9"/>
    <sheet name="ags" sheetId="48" r:id="rId10"/>
    <sheet name="sep" sheetId="49" r:id="rId11"/>
    <sheet name="PKK Tri3" sheetId="18" r:id="rId12"/>
    <sheet name="okt" sheetId="50" r:id="rId13"/>
    <sheet name="nov" sheetId="51" r:id="rId14"/>
    <sheet name="des" sheetId="52" r:id="rId15"/>
    <sheet name="PAJAK (2)" sheetId="39" r:id="rId16"/>
    <sheet name="rinci" sheetId="40" r:id="rId17"/>
    <sheet name="kontrol" sheetId="17" r:id="rId18"/>
    <sheet name="PKK Tri 4" sheetId="25" r:id="rId19"/>
    <sheet name="PKK Tri 4 (2)" sheetId="29" r:id="rId20"/>
    <sheet name="total" sheetId="23" r:id="rId21"/>
    <sheet name="Sheet3" sheetId="41" r:id="rId22"/>
    <sheet name="RPK (10)" sheetId="38" r:id="rId23"/>
    <sheet name="LOKBUL (2)" sheetId="37" r:id="rId24"/>
    <sheet name="grafik" sheetId="15" r:id="rId25"/>
    <sheet name="BELANJA" sheetId="24" r:id="rId26"/>
    <sheet name="pengadaan oktober" sheetId="36" r:id="rId27"/>
    <sheet name="pengadaan" sheetId="27" r:id="rId28"/>
    <sheet name="PAJAK" sheetId="26" r:id="rId29"/>
    <sheet name="Sheet2" sheetId="16" r:id="rId30"/>
    <sheet name="Sheet1" sheetId="28" r:id="rId31"/>
    <sheet name="lok" sheetId="31" r:id="rId32"/>
    <sheet name="Sheet4" sheetId="32" r:id="rId33"/>
    <sheet name="LOKBUL" sheetId="33" r:id="rId34"/>
  </sheets>
  <externalReferences>
    <externalReference r:id="rId35"/>
  </externalReferences>
  <definedNames>
    <definedName name="_xlnm._FilterDatabase" localSheetId="9" hidden="1">ags!$A$14:$Z$74</definedName>
    <definedName name="_xlnm._FilterDatabase" localSheetId="4" hidden="1">apr!$A$14:$Z$74</definedName>
    <definedName name="_xlnm._FilterDatabase" localSheetId="14" hidden="1">des!$A$14:$Z$74</definedName>
    <definedName name="_xlnm._FilterDatabase" localSheetId="1" hidden="1">feb!$A$14:$Z$74</definedName>
    <definedName name="_xlnm._FilterDatabase" localSheetId="8" hidden="1">jul!$A$14:$Z$74</definedName>
    <definedName name="_xlnm._FilterDatabase" localSheetId="6" hidden="1">jun!$A$14:$Z$74</definedName>
    <definedName name="_xlnm._FilterDatabase" localSheetId="2" hidden="1">mar!$A$14:$Z$74</definedName>
    <definedName name="_xlnm._FilterDatabase" localSheetId="5" hidden="1">mei!$A$14:$Z$74</definedName>
    <definedName name="_xlnm._FilterDatabase" localSheetId="13" hidden="1">nov!$A$14:$Z$74</definedName>
    <definedName name="_xlnm._FilterDatabase" localSheetId="12" hidden="1">okt!$A$14:$Z$74</definedName>
    <definedName name="_xlnm._FilterDatabase" localSheetId="10" hidden="1">sep!$A$14:$Z$74</definedName>
    <definedName name="_xlnm._FilterDatabase" localSheetId="20" hidden="1">total!$A$20:$AE$87</definedName>
    <definedName name="_xlnm.Print_Area" localSheetId="9">ags!$A$1:$V$108</definedName>
    <definedName name="_xlnm.Print_Area" localSheetId="4">apr!$A$1:$V$108</definedName>
    <definedName name="_xlnm.Print_Area" localSheetId="1">feb!$A$1:$V$106</definedName>
    <definedName name="_xlnm.Print_Area" localSheetId="0">jan!$A$1:$V$97</definedName>
    <definedName name="_xlnm.Print_Area" localSheetId="8">jul!$A$1:$V$108</definedName>
    <definedName name="_xlnm.Print_Area" localSheetId="6">jun!$A$1:$V$108</definedName>
    <definedName name="_xlnm.Print_Area" localSheetId="17">kontrol!$A$2:$J$39</definedName>
    <definedName name="_xlnm.Print_Area" localSheetId="2">mar!$A$1:$V$109</definedName>
    <definedName name="_xlnm.Print_Area" localSheetId="5">mei!$A$1:$V$108</definedName>
    <definedName name="_xlnm.Print_Area" localSheetId="18">'PKK Tri 4'!$A$1:$N$22</definedName>
    <definedName name="_xlnm.Print_Area" localSheetId="10">sep!$A$1:$V$108</definedName>
    <definedName name="_xlnm.Print_Area" localSheetId="20">total!$A$1:$AA$95</definedName>
    <definedName name="_xlnm.Print_Titles" localSheetId="9">ags!$6:$9</definedName>
    <definedName name="_xlnm.Print_Titles" localSheetId="4">apr!$6:$9</definedName>
    <definedName name="_xlnm.Print_Titles" localSheetId="14">des!$6:$9</definedName>
    <definedName name="_xlnm.Print_Titles" localSheetId="1">feb!$6:$9</definedName>
    <definedName name="_xlnm.Print_Titles" localSheetId="0">jan!$6:$9</definedName>
    <definedName name="_xlnm.Print_Titles" localSheetId="8">jul!$6:$9</definedName>
    <definedName name="_xlnm.Print_Titles" localSheetId="6">jun!$6:$9</definedName>
    <definedName name="_xlnm.Print_Titles" localSheetId="2">mar!$6:$9</definedName>
    <definedName name="_xlnm.Print_Titles" localSheetId="5">mei!$6:$9</definedName>
    <definedName name="_xlnm.Print_Titles" localSheetId="13">nov!$6:$9</definedName>
    <definedName name="_xlnm.Print_Titles" localSheetId="12">okt!$6:$9</definedName>
    <definedName name="_xlnm.Print_Titles" localSheetId="10">sep!$6:$9</definedName>
    <definedName name="_xlnm.Print_Titles" localSheetId="20">total!$6:$8</definedName>
  </definedNames>
  <calcPr calcId="124519"/>
</workbook>
</file>

<file path=xl/calcChain.xml><?xml version="1.0" encoding="utf-8"?>
<calcChain xmlns="http://schemas.openxmlformats.org/spreadsheetml/2006/main">
  <c r="P18" i="50"/>
  <c r="P18" i="49"/>
  <c r="P46"/>
  <c r="R29" i="52"/>
  <c r="R29" i="51"/>
  <c r="R29" i="50"/>
  <c r="R29" i="49"/>
  <c r="R29" i="48"/>
  <c r="P19"/>
  <c r="N18"/>
  <c r="N18" i="47"/>
  <c r="N18" i="46"/>
  <c r="N18" i="45"/>
  <c r="N18" i="44"/>
  <c r="N18" i="43"/>
  <c r="P18" i="47"/>
  <c r="P40" i="52"/>
  <c r="P40" i="51"/>
  <c r="P40" i="50"/>
  <c r="P40" i="49"/>
  <c r="P40" i="48"/>
  <c r="P40" i="47"/>
  <c r="P18" i="46"/>
  <c r="P64" i="43" l="1"/>
  <c r="P86"/>
  <c r="P19"/>
  <c r="Q20" i="42" l="1"/>
  <c r="T16" i="43"/>
  <c r="T37" i="1"/>
  <c r="T37" i="42"/>
  <c r="T69"/>
  <c r="T51"/>
  <c r="T34"/>
  <c r="T16"/>
  <c r="T15" s="1"/>
  <c r="T13" s="1"/>
  <c r="T76" i="52"/>
  <c r="T48"/>
  <c r="T34"/>
  <c r="T16"/>
  <c r="T15" s="1"/>
  <c r="T13" s="1"/>
  <c r="T76" i="51"/>
  <c r="T48"/>
  <c r="T34"/>
  <c r="T16"/>
  <c r="T15"/>
  <c r="T13" s="1"/>
  <c r="T76" i="50"/>
  <c r="T48"/>
  <c r="T34"/>
  <c r="T16"/>
  <c r="T15" s="1"/>
  <c r="T13" s="1"/>
  <c r="T76" i="49"/>
  <c r="T48"/>
  <c r="T34"/>
  <c r="T16"/>
  <c r="T15" s="1"/>
  <c r="T13" s="1"/>
  <c r="T76" i="48"/>
  <c r="T48"/>
  <c r="T34"/>
  <c r="T16"/>
  <c r="T15" s="1"/>
  <c r="T13" s="1"/>
  <c r="T76" i="47"/>
  <c r="T48"/>
  <c r="T34"/>
  <c r="T16"/>
  <c r="T15"/>
  <c r="T13" s="1"/>
  <c r="T76" i="46"/>
  <c r="T48"/>
  <c r="T34"/>
  <c r="T16"/>
  <c r="T15" s="1"/>
  <c r="T13" s="1"/>
  <c r="T76" i="45"/>
  <c r="T48"/>
  <c r="T34"/>
  <c r="T16"/>
  <c r="T15"/>
  <c r="T13" s="1"/>
  <c r="T76" i="44"/>
  <c r="T48"/>
  <c r="T34"/>
  <c r="T16"/>
  <c r="T15" s="1"/>
  <c r="T13" s="1"/>
  <c r="T48" i="43"/>
  <c r="T34"/>
  <c r="T15"/>
  <c r="T13" s="1"/>
  <c r="T76" i="42"/>
  <c r="T48"/>
  <c r="T76" i="1"/>
  <c r="T48"/>
  <c r="T34"/>
  <c r="T16"/>
  <c r="T15" s="1"/>
  <c r="T14" s="1"/>
  <c r="P19"/>
  <c r="M19" i="42"/>
  <c r="P19"/>
  <c r="N29" i="52" l="1"/>
  <c r="O29" s="1"/>
  <c r="N33"/>
  <c r="N75"/>
  <c r="Q89"/>
  <c r="Q88"/>
  <c r="Q87"/>
  <c r="P86"/>
  <c r="M86"/>
  <c r="Q86" s="1"/>
  <c r="Q85"/>
  <c r="P84"/>
  <c r="M84"/>
  <c r="Q83"/>
  <c r="P82"/>
  <c r="M82"/>
  <c r="Q82" s="1"/>
  <c r="Q81"/>
  <c r="Q80"/>
  <c r="P79"/>
  <c r="M79"/>
  <c r="Q78"/>
  <c r="P77"/>
  <c r="M77"/>
  <c r="P76"/>
  <c r="Q74"/>
  <c r="P73"/>
  <c r="M73"/>
  <c r="Q73" s="1"/>
  <c r="Q72"/>
  <c r="P71"/>
  <c r="M71"/>
  <c r="Q70"/>
  <c r="Q69"/>
  <c r="P68"/>
  <c r="Q68" s="1"/>
  <c r="M68"/>
  <c r="Q67"/>
  <c r="Q66"/>
  <c r="Q65"/>
  <c r="P64"/>
  <c r="M64"/>
  <c r="Q64" s="1"/>
  <c r="Q63"/>
  <c r="Q62"/>
  <c r="Q61"/>
  <c r="Q60"/>
  <c r="P59"/>
  <c r="M59"/>
  <c r="Q58"/>
  <c r="P57"/>
  <c r="Q57" s="1"/>
  <c r="M57"/>
  <c r="Q56"/>
  <c r="Q55"/>
  <c r="P54"/>
  <c r="M54"/>
  <c r="Q53"/>
  <c r="P52"/>
  <c r="M52"/>
  <c r="Q52" s="1"/>
  <c r="Q51"/>
  <c r="P50"/>
  <c r="M50"/>
  <c r="Q49"/>
  <c r="Q48"/>
  <c r="Q47"/>
  <c r="P46"/>
  <c r="M46"/>
  <c r="Q45"/>
  <c r="Q44"/>
  <c r="Q43"/>
  <c r="P42"/>
  <c r="M42"/>
  <c r="Q41"/>
  <c r="M40"/>
  <c r="Q40" s="1"/>
  <c r="Q39"/>
  <c r="Q38"/>
  <c r="Q37"/>
  <c r="Q36"/>
  <c r="P35"/>
  <c r="M35"/>
  <c r="Q34"/>
  <c r="P32"/>
  <c r="M32"/>
  <c r="Q31"/>
  <c r="Q30"/>
  <c r="Q29"/>
  <c r="Q28"/>
  <c r="Q27"/>
  <c r="Q26"/>
  <c r="Q25"/>
  <c r="Q24"/>
  <c r="Q23"/>
  <c r="Q22"/>
  <c r="Q21"/>
  <c r="Q20"/>
  <c r="P19"/>
  <c r="M19"/>
  <c r="M18"/>
  <c r="Q16"/>
  <c r="P15"/>
  <c r="M15"/>
  <c r="M13" s="1"/>
  <c r="P13"/>
  <c r="Q13" s="1"/>
  <c r="N29" i="51"/>
  <c r="N33"/>
  <c r="N75"/>
  <c r="Q89"/>
  <c r="Q88"/>
  <c r="Q87"/>
  <c r="P86"/>
  <c r="M86"/>
  <c r="Q85"/>
  <c r="P84"/>
  <c r="Q84" s="1"/>
  <c r="M84"/>
  <c r="Q83"/>
  <c r="P82"/>
  <c r="M82"/>
  <c r="Q81"/>
  <c r="Q80"/>
  <c r="P79"/>
  <c r="M79"/>
  <c r="Q79" s="1"/>
  <c r="Q78"/>
  <c r="P77"/>
  <c r="M77"/>
  <c r="P76"/>
  <c r="Q74"/>
  <c r="P73"/>
  <c r="M73"/>
  <c r="Q72"/>
  <c r="P71"/>
  <c r="M71"/>
  <c r="Q71" s="1"/>
  <c r="Q70"/>
  <c r="Q69"/>
  <c r="P68"/>
  <c r="M68"/>
  <c r="Q67"/>
  <c r="Q66"/>
  <c r="Q65"/>
  <c r="P64"/>
  <c r="Q64" s="1"/>
  <c r="M64"/>
  <c r="Q63"/>
  <c r="Q62"/>
  <c r="Q61"/>
  <c r="Q60"/>
  <c r="P59"/>
  <c r="M59"/>
  <c r="Q58"/>
  <c r="P57"/>
  <c r="M57"/>
  <c r="Q57" s="1"/>
  <c r="Q56"/>
  <c r="Q55"/>
  <c r="P54"/>
  <c r="M54"/>
  <c r="Q53"/>
  <c r="P52"/>
  <c r="Q52" s="1"/>
  <c r="M52"/>
  <c r="Q51"/>
  <c r="P50"/>
  <c r="M50"/>
  <c r="Q49"/>
  <c r="Q48"/>
  <c r="Q47"/>
  <c r="P46"/>
  <c r="Q46" s="1"/>
  <c r="M46"/>
  <c r="Q45"/>
  <c r="Q44"/>
  <c r="Q43"/>
  <c r="P42"/>
  <c r="M42"/>
  <c r="Q41"/>
  <c r="Q40"/>
  <c r="M40"/>
  <c r="Q39"/>
  <c r="Q38"/>
  <c r="Q37"/>
  <c r="Q36"/>
  <c r="P35"/>
  <c r="M35"/>
  <c r="Q34"/>
  <c r="P32"/>
  <c r="M32"/>
  <c r="Q31"/>
  <c r="Q30"/>
  <c r="Q29"/>
  <c r="O29"/>
  <c r="Q28"/>
  <c r="Q27"/>
  <c r="Q26"/>
  <c r="Q25"/>
  <c r="Q24"/>
  <c r="Q23"/>
  <c r="Q22"/>
  <c r="Q21"/>
  <c r="Q20"/>
  <c r="P19"/>
  <c r="M19"/>
  <c r="P18"/>
  <c r="Q16"/>
  <c r="P15"/>
  <c r="Q15" s="1"/>
  <c r="M15"/>
  <c r="M13"/>
  <c r="N29" i="50"/>
  <c r="N33"/>
  <c r="N75"/>
  <c r="Q89"/>
  <c r="Q88"/>
  <c r="Q87"/>
  <c r="P86"/>
  <c r="M86"/>
  <c r="Q86" s="1"/>
  <c r="Q85"/>
  <c r="P84"/>
  <c r="M84"/>
  <c r="Q83"/>
  <c r="P82"/>
  <c r="M82"/>
  <c r="Q82" s="1"/>
  <c r="Q81"/>
  <c r="Q80"/>
  <c r="P79"/>
  <c r="M79"/>
  <c r="Q78"/>
  <c r="P77"/>
  <c r="M77"/>
  <c r="P76"/>
  <c r="Q74"/>
  <c r="P73"/>
  <c r="M73"/>
  <c r="Q73" s="1"/>
  <c r="Q72"/>
  <c r="P71"/>
  <c r="M71"/>
  <c r="Q70"/>
  <c r="Q69"/>
  <c r="P68"/>
  <c r="Q68" s="1"/>
  <c r="M68"/>
  <c r="Q67"/>
  <c r="Q66"/>
  <c r="Q65"/>
  <c r="P64"/>
  <c r="M64"/>
  <c r="Q64" s="1"/>
  <c r="Q63"/>
  <c r="Q62"/>
  <c r="Q61"/>
  <c r="Q60"/>
  <c r="P59"/>
  <c r="M59"/>
  <c r="Q58"/>
  <c r="P57"/>
  <c r="Q57" s="1"/>
  <c r="M57"/>
  <c r="Q56"/>
  <c r="Q55"/>
  <c r="P54"/>
  <c r="M54"/>
  <c r="Q53"/>
  <c r="P52"/>
  <c r="M52"/>
  <c r="Q52" s="1"/>
  <c r="Q51"/>
  <c r="P50"/>
  <c r="M50"/>
  <c r="Q49"/>
  <c r="Q48"/>
  <c r="Q47"/>
  <c r="P46"/>
  <c r="M46"/>
  <c r="Q45"/>
  <c r="Q44"/>
  <c r="Q43"/>
  <c r="P42"/>
  <c r="M42"/>
  <c r="Q41"/>
  <c r="M40"/>
  <c r="Q40" s="1"/>
  <c r="Q39"/>
  <c r="Q38"/>
  <c r="Q37"/>
  <c r="Q36"/>
  <c r="P35"/>
  <c r="M35"/>
  <c r="Q34"/>
  <c r="P32"/>
  <c r="M32"/>
  <c r="Q31"/>
  <c r="Q30"/>
  <c r="Q29"/>
  <c r="O29"/>
  <c r="Q28"/>
  <c r="Q27"/>
  <c r="Q26"/>
  <c r="Q25"/>
  <c r="Q24"/>
  <c r="Q23"/>
  <c r="Q22"/>
  <c r="Q21"/>
  <c r="Q20"/>
  <c r="P19"/>
  <c r="M19"/>
  <c r="Q16"/>
  <c r="P15"/>
  <c r="M15"/>
  <c r="M13" s="1"/>
  <c r="P13"/>
  <c r="N29" i="49"/>
  <c r="N33"/>
  <c r="N75"/>
  <c r="Q89"/>
  <c r="Q88"/>
  <c r="Q87"/>
  <c r="P86"/>
  <c r="M86"/>
  <c r="Q85"/>
  <c r="P84"/>
  <c r="M84"/>
  <c r="Q84" s="1"/>
  <c r="Q83"/>
  <c r="P82"/>
  <c r="M82"/>
  <c r="Q81"/>
  <c r="Q80"/>
  <c r="P79"/>
  <c r="P76" s="1"/>
  <c r="M79"/>
  <c r="Q78"/>
  <c r="P77"/>
  <c r="M77"/>
  <c r="Q77" s="1"/>
  <c r="M76"/>
  <c r="Q76" s="1"/>
  <c r="Q74"/>
  <c r="P73"/>
  <c r="M73"/>
  <c r="Q72"/>
  <c r="P71"/>
  <c r="M71"/>
  <c r="Q71" s="1"/>
  <c r="Q70"/>
  <c r="Q69"/>
  <c r="P68"/>
  <c r="M68"/>
  <c r="Q67"/>
  <c r="Q66"/>
  <c r="Q65"/>
  <c r="P64"/>
  <c r="M64"/>
  <c r="Q63"/>
  <c r="Q62"/>
  <c r="Q61"/>
  <c r="Q60"/>
  <c r="P59"/>
  <c r="Q59" s="1"/>
  <c r="M59"/>
  <c r="Q58"/>
  <c r="P57"/>
  <c r="M57"/>
  <c r="Q56"/>
  <c r="Q55"/>
  <c r="P54"/>
  <c r="M54"/>
  <c r="Q54" s="1"/>
  <c r="Q53"/>
  <c r="P52"/>
  <c r="M52"/>
  <c r="Q51"/>
  <c r="P50"/>
  <c r="M50"/>
  <c r="Q50" s="1"/>
  <c r="Q49"/>
  <c r="Q48"/>
  <c r="Q47"/>
  <c r="Q46"/>
  <c r="M46"/>
  <c r="Q45"/>
  <c r="Q44"/>
  <c r="Q43"/>
  <c r="P42"/>
  <c r="M42"/>
  <c r="Q41"/>
  <c r="M40"/>
  <c r="Q39"/>
  <c r="Q38"/>
  <c r="Q37"/>
  <c r="Q36"/>
  <c r="P35"/>
  <c r="Q35" s="1"/>
  <c r="M35"/>
  <c r="Q34"/>
  <c r="P32"/>
  <c r="M32"/>
  <c r="Q31"/>
  <c r="Q30"/>
  <c r="Q29"/>
  <c r="O29"/>
  <c r="Q28"/>
  <c r="Q27"/>
  <c r="Q26"/>
  <c r="Q25"/>
  <c r="Q24"/>
  <c r="Q23"/>
  <c r="Q22"/>
  <c r="Q21"/>
  <c r="Q20"/>
  <c r="P19"/>
  <c r="M19"/>
  <c r="M18"/>
  <c r="Q16"/>
  <c r="P15"/>
  <c r="M15"/>
  <c r="M13" s="1"/>
  <c r="P13"/>
  <c r="Q13" s="1"/>
  <c r="N29" i="48"/>
  <c r="O29" s="1"/>
  <c r="N33"/>
  <c r="N75"/>
  <c r="Q89"/>
  <c r="Q88"/>
  <c r="Q87"/>
  <c r="P86"/>
  <c r="M86"/>
  <c r="Q86" s="1"/>
  <c r="Q85"/>
  <c r="P84"/>
  <c r="M84"/>
  <c r="Q83"/>
  <c r="P82"/>
  <c r="M82"/>
  <c r="Q82" s="1"/>
  <c r="Q81"/>
  <c r="Q80"/>
  <c r="P79"/>
  <c r="M79"/>
  <c r="Q78"/>
  <c r="P77"/>
  <c r="M77"/>
  <c r="P76"/>
  <c r="Q74"/>
  <c r="P73"/>
  <c r="M73"/>
  <c r="Q73" s="1"/>
  <c r="Q72"/>
  <c r="P71"/>
  <c r="M71"/>
  <c r="Q70"/>
  <c r="Q69"/>
  <c r="P68"/>
  <c r="Q68" s="1"/>
  <c r="M68"/>
  <c r="Q67"/>
  <c r="Q66"/>
  <c r="Q65"/>
  <c r="P64"/>
  <c r="M64"/>
  <c r="Q64" s="1"/>
  <c r="Q63"/>
  <c r="Q62"/>
  <c r="Q61"/>
  <c r="Q60"/>
  <c r="P59"/>
  <c r="M59"/>
  <c r="Q58"/>
  <c r="P57"/>
  <c r="Q57" s="1"/>
  <c r="M57"/>
  <c r="Q56"/>
  <c r="Q55"/>
  <c r="P54"/>
  <c r="M54"/>
  <c r="Q53"/>
  <c r="P52"/>
  <c r="M52"/>
  <c r="Q52" s="1"/>
  <c r="Q51"/>
  <c r="P50"/>
  <c r="M50"/>
  <c r="Q49"/>
  <c r="Q48"/>
  <c r="Q47"/>
  <c r="P46"/>
  <c r="M46"/>
  <c r="Q45"/>
  <c r="Q44"/>
  <c r="Q43"/>
  <c r="P42"/>
  <c r="M42"/>
  <c r="Q41"/>
  <c r="M40"/>
  <c r="Q40" s="1"/>
  <c r="Q39"/>
  <c r="Q38"/>
  <c r="Q37"/>
  <c r="Q36"/>
  <c r="P35"/>
  <c r="M35"/>
  <c r="Q34"/>
  <c r="P32"/>
  <c r="M32"/>
  <c r="Q31"/>
  <c r="Q30"/>
  <c r="Q29"/>
  <c r="Q28"/>
  <c r="Q27"/>
  <c r="Q26"/>
  <c r="Q25"/>
  <c r="Q24"/>
  <c r="Q23"/>
  <c r="Q22"/>
  <c r="Q21"/>
  <c r="Q20"/>
  <c r="M19"/>
  <c r="M18"/>
  <c r="Q16"/>
  <c r="P15"/>
  <c r="P13" s="1"/>
  <c r="Q13" s="1"/>
  <c r="M15"/>
  <c r="M13" s="1"/>
  <c r="N29" i="47"/>
  <c r="N33"/>
  <c r="N75"/>
  <c r="Q89"/>
  <c r="Q88"/>
  <c r="Q87"/>
  <c r="P86"/>
  <c r="M86"/>
  <c r="Q85"/>
  <c r="P84"/>
  <c r="Q84" s="1"/>
  <c r="M84"/>
  <c r="Q83"/>
  <c r="P82"/>
  <c r="M82"/>
  <c r="Q81"/>
  <c r="Q80"/>
  <c r="P79"/>
  <c r="M79"/>
  <c r="Q78"/>
  <c r="P77"/>
  <c r="M77"/>
  <c r="P76"/>
  <c r="Q74"/>
  <c r="P73"/>
  <c r="M73"/>
  <c r="Q73" s="1"/>
  <c r="Q72"/>
  <c r="P71"/>
  <c r="M71"/>
  <c r="Q70"/>
  <c r="Q69"/>
  <c r="P68"/>
  <c r="M68"/>
  <c r="Q67"/>
  <c r="Q66"/>
  <c r="Q65"/>
  <c r="P64"/>
  <c r="M64"/>
  <c r="Q63"/>
  <c r="Q62"/>
  <c r="Q61"/>
  <c r="Q60"/>
  <c r="P59"/>
  <c r="M59"/>
  <c r="Q58"/>
  <c r="P57"/>
  <c r="Q57" s="1"/>
  <c r="M57"/>
  <c r="Q56"/>
  <c r="Q55"/>
  <c r="P54"/>
  <c r="Q54" s="1"/>
  <c r="M54"/>
  <c r="Q53"/>
  <c r="P52"/>
  <c r="M52"/>
  <c r="Q51"/>
  <c r="P50"/>
  <c r="Q50" s="1"/>
  <c r="M50"/>
  <c r="Q49"/>
  <c r="Q48"/>
  <c r="Q47"/>
  <c r="P46"/>
  <c r="M46"/>
  <c r="Q45"/>
  <c r="Q44"/>
  <c r="Q43"/>
  <c r="P42"/>
  <c r="M42"/>
  <c r="Q41"/>
  <c r="M40"/>
  <c r="Q39"/>
  <c r="Q38"/>
  <c r="Q37"/>
  <c r="Q36"/>
  <c r="P35"/>
  <c r="M35"/>
  <c r="Q35" s="1"/>
  <c r="Q34"/>
  <c r="P32"/>
  <c r="M32"/>
  <c r="Q31"/>
  <c r="Q30"/>
  <c r="Q29"/>
  <c r="O29"/>
  <c r="Q28"/>
  <c r="Q27"/>
  <c r="Q26"/>
  <c r="Q25"/>
  <c r="Q24"/>
  <c r="Q23"/>
  <c r="Q22"/>
  <c r="Q21"/>
  <c r="Q20"/>
  <c r="P19"/>
  <c r="M19"/>
  <c r="M18" s="1"/>
  <c r="Q16"/>
  <c r="P15"/>
  <c r="M15"/>
  <c r="M13" s="1"/>
  <c r="N29" i="46"/>
  <c r="O29" s="1"/>
  <c r="N33"/>
  <c r="N75"/>
  <c r="Q89"/>
  <c r="Q88"/>
  <c r="Q87"/>
  <c r="P86"/>
  <c r="Q86" s="1"/>
  <c r="M86"/>
  <c r="Q85"/>
  <c r="P84"/>
  <c r="M84"/>
  <c r="Q83"/>
  <c r="P82"/>
  <c r="Q82" s="1"/>
  <c r="M82"/>
  <c r="Q81"/>
  <c r="Q80"/>
  <c r="P79"/>
  <c r="Q79" s="1"/>
  <c r="M79"/>
  <c r="Q78"/>
  <c r="P77"/>
  <c r="M77"/>
  <c r="M76" s="1"/>
  <c r="Q74"/>
  <c r="P73"/>
  <c r="M73"/>
  <c r="Q72"/>
  <c r="P71"/>
  <c r="Q71" s="1"/>
  <c r="M71"/>
  <c r="Q70"/>
  <c r="Q69"/>
  <c r="P68"/>
  <c r="M68"/>
  <c r="Q67"/>
  <c r="Q66"/>
  <c r="Q65"/>
  <c r="P64"/>
  <c r="M64"/>
  <c r="Q64" s="1"/>
  <c r="Q63"/>
  <c r="Q62"/>
  <c r="Q61"/>
  <c r="Q60"/>
  <c r="P59"/>
  <c r="M59"/>
  <c r="Q58"/>
  <c r="P57"/>
  <c r="M57"/>
  <c r="Q56"/>
  <c r="Q55"/>
  <c r="P54"/>
  <c r="M54"/>
  <c r="Q54" s="1"/>
  <c r="Q53"/>
  <c r="P52"/>
  <c r="M52"/>
  <c r="Q51"/>
  <c r="P50"/>
  <c r="M50"/>
  <c r="Q50" s="1"/>
  <c r="Q49"/>
  <c r="Q48"/>
  <c r="Q47"/>
  <c r="P46"/>
  <c r="M46"/>
  <c r="Q45"/>
  <c r="Q44"/>
  <c r="Q43"/>
  <c r="P42"/>
  <c r="M42"/>
  <c r="Q41"/>
  <c r="M40"/>
  <c r="Q39"/>
  <c r="Q38"/>
  <c r="Q37"/>
  <c r="Q36"/>
  <c r="P35"/>
  <c r="Q35" s="1"/>
  <c r="M35"/>
  <c r="Q34"/>
  <c r="P32"/>
  <c r="M32"/>
  <c r="Q32" s="1"/>
  <c r="Q31"/>
  <c r="Q30"/>
  <c r="Q29"/>
  <c r="Q28"/>
  <c r="Q27"/>
  <c r="Q26"/>
  <c r="Q25"/>
  <c r="Q24"/>
  <c r="Q23"/>
  <c r="Q22"/>
  <c r="Q21"/>
  <c r="Q20"/>
  <c r="P19"/>
  <c r="M19"/>
  <c r="Q16"/>
  <c r="P15"/>
  <c r="M15"/>
  <c r="M13" s="1"/>
  <c r="P13"/>
  <c r="Q13" s="1"/>
  <c r="N29" i="45"/>
  <c r="N33"/>
  <c r="N75"/>
  <c r="Q89"/>
  <c r="Q88"/>
  <c r="Q87"/>
  <c r="P86"/>
  <c r="M86"/>
  <c r="Q85"/>
  <c r="P84"/>
  <c r="Q84" s="1"/>
  <c r="M84"/>
  <c r="Q83"/>
  <c r="P82"/>
  <c r="M82"/>
  <c r="Q81"/>
  <c r="Q80"/>
  <c r="P79"/>
  <c r="M79"/>
  <c r="Q78"/>
  <c r="P77"/>
  <c r="Q77" s="1"/>
  <c r="M77"/>
  <c r="M76"/>
  <c r="Q74"/>
  <c r="P73"/>
  <c r="Q73" s="1"/>
  <c r="M73"/>
  <c r="Q72"/>
  <c r="P71"/>
  <c r="M71"/>
  <c r="Q70"/>
  <c r="Q69"/>
  <c r="P68"/>
  <c r="M68"/>
  <c r="Q68" s="1"/>
  <c r="Q67"/>
  <c r="Q66"/>
  <c r="Q65"/>
  <c r="P64"/>
  <c r="M64"/>
  <c r="Q63"/>
  <c r="Q62"/>
  <c r="Q61"/>
  <c r="Q60"/>
  <c r="P59"/>
  <c r="Q59" s="1"/>
  <c r="M59"/>
  <c r="Q58"/>
  <c r="P57"/>
  <c r="M57"/>
  <c r="Q56"/>
  <c r="Q55"/>
  <c r="P54"/>
  <c r="M54"/>
  <c r="Q54" s="1"/>
  <c r="Q53"/>
  <c r="P52"/>
  <c r="M52"/>
  <c r="Q51"/>
  <c r="P50"/>
  <c r="M50"/>
  <c r="Q50" s="1"/>
  <c r="Q49"/>
  <c r="Q48"/>
  <c r="Q47"/>
  <c r="P46"/>
  <c r="M46"/>
  <c r="Q45"/>
  <c r="Q44"/>
  <c r="Q43"/>
  <c r="P42"/>
  <c r="M42"/>
  <c r="Q42" s="1"/>
  <c r="Q41"/>
  <c r="P40"/>
  <c r="M40"/>
  <c r="Q39"/>
  <c r="Q38"/>
  <c r="Q37"/>
  <c r="Q36"/>
  <c r="P35"/>
  <c r="Q35" s="1"/>
  <c r="M35"/>
  <c r="Q34"/>
  <c r="P32"/>
  <c r="M32"/>
  <c r="Q32" s="1"/>
  <c r="Q31"/>
  <c r="Q30"/>
  <c r="Q29"/>
  <c r="O29"/>
  <c r="Q28"/>
  <c r="Q27"/>
  <c r="Q26"/>
  <c r="Q25"/>
  <c r="Q24"/>
  <c r="Q23"/>
  <c r="Q22"/>
  <c r="Q21"/>
  <c r="Q20"/>
  <c r="P19"/>
  <c r="Q19" s="1"/>
  <c r="M19"/>
  <c r="Q16"/>
  <c r="P15"/>
  <c r="P13" s="1"/>
  <c r="M15"/>
  <c r="M13" s="1"/>
  <c r="N29" i="44"/>
  <c r="O29" s="1"/>
  <c r="N33"/>
  <c r="N75"/>
  <c r="Q89"/>
  <c r="Q88"/>
  <c r="Q87"/>
  <c r="P86"/>
  <c r="Q86" s="1"/>
  <c r="M86"/>
  <c r="Q85"/>
  <c r="P84"/>
  <c r="M84"/>
  <c r="Q83"/>
  <c r="P82"/>
  <c r="Q82" s="1"/>
  <c r="M82"/>
  <c r="Q81"/>
  <c r="Q80"/>
  <c r="P79"/>
  <c r="P76" s="1"/>
  <c r="M79"/>
  <c r="Q78"/>
  <c r="P77"/>
  <c r="M77"/>
  <c r="Q74"/>
  <c r="P73"/>
  <c r="M73"/>
  <c r="Q72"/>
  <c r="P71"/>
  <c r="M71"/>
  <c r="Q70"/>
  <c r="Q69"/>
  <c r="P68"/>
  <c r="Q68" s="1"/>
  <c r="M68"/>
  <c r="Q67"/>
  <c r="Q66"/>
  <c r="Q65"/>
  <c r="P64"/>
  <c r="M64"/>
  <c r="Q63"/>
  <c r="Q62"/>
  <c r="Q61"/>
  <c r="Q60"/>
  <c r="P59"/>
  <c r="M59"/>
  <c r="Q58"/>
  <c r="P57"/>
  <c r="Q57" s="1"/>
  <c r="M57"/>
  <c r="Q56"/>
  <c r="Q55"/>
  <c r="P54"/>
  <c r="Q54" s="1"/>
  <c r="M54"/>
  <c r="Q53"/>
  <c r="P52"/>
  <c r="M52"/>
  <c r="Q51"/>
  <c r="P50"/>
  <c r="Q50" s="1"/>
  <c r="M50"/>
  <c r="Q49"/>
  <c r="Q48"/>
  <c r="Q47"/>
  <c r="P46"/>
  <c r="M46"/>
  <c r="Q45"/>
  <c r="Q44"/>
  <c r="Q43"/>
  <c r="P42"/>
  <c r="Q42" s="1"/>
  <c r="M42"/>
  <c r="Q41"/>
  <c r="M40"/>
  <c r="Q39"/>
  <c r="Q38"/>
  <c r="Q37"/>
  <c r="Q36"/>
  <c r="P35"/>
  <c r="M35"/>
  <c r="Q34"/>
  <c r="P32"/>
  <c r="Q32" s="1"/>
  <c r="M32"/>
  <c r="Q31"/>
  <c r="Q30"/>
  <c r="Q29"/>
  <c r="Q28"/>
  <c r="Q27"/>
  <c r="Q26"/>
  <c r="Q25"/>
  <c r="Q24"/>
  <c r="Q23"/>
  <c r="Q22"/>
  <c r="Q21"/>
  <c r="Q20"/>
  <c r="P19"/>
  <c r="P18" s="1"/>
  <c r="M19"/>
  <c r="Q16"/>
  <c r="P15"/>
  <c r="Q15" s="1"/>
  <c r="M15"/>
  <c r="M13"/>
  <c r="Q42" i="49" l="1"/>
  <c r="Q32"/>
  <c r="Q42" i="46"/>
  <c r="Q59" i="44"/>
  <c r="Q32" i="47"/>
  <c r="Q18"/>
  <c r="Q79"/>
  <c r="M76"/>
  <c r="Q76" s="1"/>
  <c r="Q79" i="48"/>
  <c r="M76"/>
  <c r="Q76" s="1"/>
  <c r="Q19" i="50"/>
  <c r="M18"/>
  <c r="Q79"/>
  <c r="M76"/>
  <c r="Q76" s="1"/>
  <c r="Q79" i="52"/>
  <c r="M76"/>
  <c r="Q76" s="1"/>
  <c r="M18" i="44"/>
  <c r="M12" s="1"/>
  <c r="Q35"/>
  <c r="P40"/>
  <c r="Q40" s="1"/>
  <c r="Q46"/>
  <c r="Q52"/>
  <c r="Q64"/>
  <c r="Q71"/>
  <c r="Q79"/>
  <c r="Q84"/>
  <c r="Q13" i="45"/>
  <c r="Q40"/>
  <c r="Q46"/>
  <c r="Q52"/>
  <c r="Q57"/>
  <c r="Q64"/>
  <c r="Q71"/>
  <c r="Q79"/>
  <c r="Q82"/>
  <c r="Q86"/>
  <c r="Q19" i="46"/>
  <c r="Q40"/>
  <c r="M18"/>
  <c r="Q52"/>
  <c r="Q57"/>
  <c r="M12" i="47"/>
  <c r="Q42"/>
  <c r="Q40"/>
  <c r="M12" i="50"/>
  <c r="Q59" i="46"/>
  <c r="Q68"/>
  <c r="Q73"/>
  <c r="Q77"/>
  <c r="Q84"/>
  <c r="Q15" i="47"/>
  <c r="Q46"/>
  <c r="Q52"/>
  <c r="Q59"/>
  <c r="Q64"/>
  <c r="Q68"/>
  <c r="Q71"/>
  <c r="Q82"/>
  <c r="Q86"/>
  <c r="M12" i="48"/>
  <c r="Q19"/>
  <c r="Q32"/>
  <c r="Q35"/>
  <c r="Q42"/>
  <c r="Q46"/>
  <c r="Q50"/>
  <c r="Q54"/>
  <c r="Q59"/>
  <c r="Q71"/>
  <c r="Q77"/>
  <c r="Q84"/>
  <c r="M12" i="49"/>
  <c r="Q19"/>
  <c r="Q40"/>
  <c r="Q52"/>
  <c r="Q57"/>
  <c r="Q64"/>
  <c r="Q68"/>
  <c r="Q73"/>
  <c r="Q79"/>
  <c r="Q82"/>
  <c r="Q86"/>
  <c r="Q13" i="50"/>
  <c r="Q32"/>
  <c r="Q35"/>
  <c r="Q42"/>
  <c r="Q46"/>
  <c r="Q50"/>
  <c r="Q54"/>
  <c r="Q59"/>
  <c r="Q71"/>
  <c r="Q77"/>
  <c r="Q84"/>
  <c r="M18" i="51"/>
  <c r="Q18" s="1"/>
  <c r="Q32"/>
  <c r="Q35"/>
  <c r="Q42"/>
  <c r="Q50"/>
  <c r="Q54"/>
  <c r="Q59"/>
  <c r="Q68"/>
  <c r="Q73"/>
  <c r="M76"/>
  <c r="Q76" s="1"/>
  <c r="Q82"/>
  <c r="Q86"/>
  <c r="M12" i="52"/>
  <c r="Q19"/>
  <c r="Q32"/>
  <c r="Q35"/>
  <c r="Q42"/>
  <c r="Q46"/>
  <c r="Q50"/>
  <c r="Q54"/>
  <c r="Q59"/>
  <c r="Q71"/>
  <c r="Q77"/>
  <c r="Q84"/>
  <c r="P18"/>
  <c r="Q18" s="1"/>
  <c r="Q15"/>
  <c r="P12"/>
  <c r="Q12" s="1"/>
  <c r="Q19" i="51"/>
  <c r="Q77"/>
  <c r="P13"/>
  <c r="Q18" i="50"/>
  <c r="Q15"/>
  <c r="P12"/>
  <c r="Q12" s="1"/>
  <c r="Q18" i="49"/>
  <c r="Q15"/>
  <c r="P12"/>
  <c r="Q12" s="1"/>
  <c r="P18" i="48"/>
  <c r="Q18" s="1"/>
  <c r="Q15"/>
  <c r="Q19" i="47"/>
  <c r="Q77"/>
  <c r="P13"/>
  <c r="M12" i="46"/>
  <c r="Q18"/>
  <c r="P76"/>
  <c r="Q76" s="1"/>
  <c r="Q46"/>
  <c r="Q15"/>
  <c r="P18" i="45"/>
  <c r="P76"/>
  <c r="Q76" s="1"/>
  <c r="Q15"/>
  <c r="M18"/>
  <c r="M12" s="1"/>
  <c r="Q76" i="44"/>
  <c r="Q19"/>
  <c r="Q73"/>
  <c r="Q77"/>
  <c r="P13"/>
  <c r="M76"/>
  <c r="P32" i="1"/>
  <c r="M12" i="51" l="1"/>
  <c r="Q18" i="44"/>
  <c r="Q18" i="45"/>
  <c r="Q13" i="51"/>
  <c r="P12"/>
  <c r="Q12" s="1"/>
  <c r="P12" i="48"/>
  <c r="Q12" s="1"/>
  <c r="Q13" i="47"/>
  <c r="P12"/>
  <c r="Q12" s="1"/>
  <c r="P12" i="46"/>
  <c r="Q12" s="1"/>
  <c r="P12" i="45"/>
  <c r="Q12" s="1"/>
  <c r="Q13" i="44"/>
  <c r="P12"/>
  <c r="Q12" s="1"/>
  <c r="N29" i="43"/>
  <c r="O29" s="1"/>
  <c r="N33"/>
  <c r="N75"/>
  <c r="Q89"/>
  <c r="Q88"/>
  <c r="Q87"/>
  <c r="M86"/>
  <c r="Q85"/>
  <c r="P84"/>
  <c r="M84"/>
  <c r="Q83"/>
  <c r="P82"/>
  <c r="Q82" s="1"/>
  <c r="M82"/>
  <c r="Q81"/>
  <c r="Q80"/>
  <c r="P79"/>
  <c r="M79"/>
  <c r="Q78"/>
  <c r="P77"/>
  <c r="M77"/>
  <c r="Q74"/>
  <c r="P73"/>
  <c r="M73"/>
  <c r="Q72"/>
  <c r="P71"/>
  <c r="M71"/>
  <c r="Q70"/>
  <c r="Q69"/>
  <c r="P68"/>
  <c r="M68"/>
  <c r="Q67"/>
  <c r="Q66"/>
  <c r="Q65"/>
  <c r="Q64"/>
  <c r="M64"/>
  <c r="Q63"/>
  <c r="Q62"/>
  <c r="Q61"/>
  <c r="Q60"/>
  <c r="P59"/>
  <c r="M59"/>
  <c r="Q58"/>
  <c r="P57"/>
  <c r="M57"/>
  <c r="Q57" s="1"/>
  <c r="Q56"/>
  <c r="Q55"/>
  <c r="P54"/>
  <c r="M54"/>
  <c r="Q53"/>
  <c r="P52"/>
  <c r="Q52" s="1"/>
  <c r="M52"/>
  <c r="Q51"/>
  <c r="P50"/>
  <c r="M50"/>
  <c r="Q49"/>
  <c r="Q48"/>
  <c r="Q47"/>
  <c r="P46"/>
  <c r="Q46" s="1"/>
  <c r="M46"/>
  <c r="Q45"/>
  <c r="Q44"/>
  <c r="Q43"/>
  <c r="P42"/>
  <c r="M42"/>
  <c r="Q41"/>
  <c r="P40"/>
  <c r="Q40" s="1"/>
  <c r="M40"/>
  <c r="Q39"/>
  <c r="Q38"/>
  <c r="Q37"/>
  <c r="Q36"/>
  <c r="P35"/>
  <c r="M35"/>
  <c r="Q34"/>
  <c r="P32"/>
  <c r="M32"/>
  <c r="Q31"/>
  <c r="Q30"/>
  <c r="Q29"/>
  <c r="Q28"/>
  <c r="Q27"/>
  <c r="Q26"/>
  <c r="Q25"/>
  <c r="Q24"/>
  <c r="Q23"/>
  <c r="Q22"/>
  <c r="Q21"/>
  <c r="Q20"/>
  <c r="M19"/>
  <c r="Q16"/>
  <c r="P15"/>
  <c r="M15"/>
  <c r="M13" s="1"/>
  <c r="N29" i="42"/>
  <c r="N33"/>
  <c r="N75"/>
  <c r="M18" i="43" l="1"/>
  <c r="P18"/>
  <c r="Q18" s="1"/>
  <c r="Q42"/>
  <c r="Q50"/>
  <c r="Q54"/>
  <c r="Q68"/>
  <c r="Q84"/>
  <c r="Q59"/>
  <c r="Q35"/>
  <c r="Q32"/>
  <c r="Q15"/>
  <c r="P13"/>
  <c r="Q86"/>
  <c r="P76"/>
  <c r="Q19"/>
  <c r="Q71"/>
  <c r="Q73"/>
  <c r="Q77"/>
  <c r="Q79"/>
  <c r="M76"/>
  <c r="M12" s="1"/>
  <c r="K8" i="21" s="1"/>
  <c r="Q89" i="42"/>
  <c r="Q88"/>
  <c r="Q87"/>
  <c r="P86"/>
  <c r="M86"/>
  <c r="Q85"/>
  <c r="P84"/>
  <c r="M84"/>
  <c r="Q83"/>
  <c r="P82"/>
  <c r="M82"/>
  <c r="Q81"/>
  <c r="Q80"/>
  <c r="P79"/>
  <c r="M79"/>
  <c r="Q78"/>
  <c r="P77"/>
  <c r="M77"/>
  <c r="M76"/>
  <c r="Q74"/>
  <c r="P73"/>
  <c r="Q73" s="1"/>
  <c r="M73"/>
  <c r="Q72"/>
  <c r="P71"/>
  <c r="M71"/>
  <c r="Q70"/>
  <c r="Q69"/>
  <c r="P68"/>
  <c r="M68"/>
  <c r="Q67"/>
  <c r="Q66"/>
  <c r="Q65"/>
  <c r="P64"/>
  <c r="M64"/>
  <c r="Q63"/>
  <c r="Q62"/>
  <c r="Q61"/>
  <c r="Q60"/>
  <c r="P59"/>
  <c r="Q59" s="1"/>
  <c r="M59"/>
  <c r="Q58"/>
  <c r="P57"/>
  <c r="M57"/>
  <c r="Q56"/>
  <c r="Q55"/>
  <c r="P54"/>
  <c r="M54"/>
  <c r="Q53"/>
  <c r="P52"/>
  <c r="M52"/>
  <c r="Q51"/>
  <c r="P50"/>
  <c r="M50"/>
  <c r="Q49"/>
  <c r="Q48"/>
  <c r="Q47"/>
  <c r="P46"/>
  <c r="Q46" s="1"/>
  <c r="M46"/>
  <c r="Q45"/>
  <c r="Q44"/>
  <c r="Q43"/>
  <c r="P42"/>
  <c r="M42"/>
  <c r="Q41"/>
  <c r="P40"/>
  <c r="M40"/>
  <c r="Q39"/>
  <c r="Q38"/>
  <c r="Q37"/>
  <c r="Q36"/>
  <c r="P35"/>
  <c r="Q35" s="1"/>
  <c r="M35"/>
  <c r="Q34"/>
  <c r="P32"/>
  <c r="M32"/>
  <c r="M18" s="1"/>
  <c r="Q31"/>
  <c r="Q30"/>
  <c r="Q29"/>
  <c r="O29"/>
  <c r="Q28"/>
  <c r="Q27"/>
  <c r="Q26"/>
  <c r="Q25"/>
  <c r="Q24"/>
  <c r="Q23"/>
  <c r="Q22"/>
  <c r="Q21"/>
  <c r="Q16"/>
  <c r="P15"/>
  <c r="Q15" s="1"/>
  <c r="M15"/>
  <c r="M13"/>
  <c r="M40" i="1"/>
  <c r="R41"/>
  <c r="Q41"/>
  <c r="O41"/>
  <c r="M86"/>
  <c r="R88"/>
  <c r="Q88"/>
  <c r="O88"/>
  <c r="R87"/>
  <c r="Q87"/>
  <c r="O87"/>
  <c r="R72"/>
  <c r="Q72"/>
  <c r="O72"/>
  <c r="P71"/>
  <c r="N71"/>
  <c r="M71"/>
  <c r="M64"/>
  <c r="R66"/>
  <c r="Q66"/>
  <c r="O66"/>
  <c r="R65"/>
  <c r="Q65"/>
  <c r="O65"/>
  <c r="R51"/>
  <c r="Q51"/>
  <c r="O51"/>
  <c r="P50"/>
  <c r="N50"/>
  <c r="M50"/>
  <c r="M42"/>
  <c r="R45"/>
  <c r="Q45"/>
  <c r="O45"/>
  <c r="R44"/>
  <c r="Q44"/>
  <c r="O44"/>
  <c r="R43"/>
  <c r="Q43"/>
  <c r="O43"/>
  <c r="P42"/>
  <c r="P40" s="1"/>
  <c r="N42"/>
  <c r="N40" s="1"/>
  <c r="M32"/>
  <c r="O29"/>
  <c r="Q29"/>
  <c r="Q40" i="42" l="1"/>
  <c r="Q42"/>
  <c r="Q50"/>
  <c r="Q52"/>
  <c r="Q54"/>
  <c r="Q57"/>
  <c r="Q64"/>
  <c r="Q68"/>
  <c r="Q71"/>
  <c r="Q77"/>
  <c r="P76"/>
  <c r="Q76" s="1"/>
  <c r="Q82"/>
  <c r="Q84"/>
  <c r="Q86"/>
  <c r="P12" i="43"/>
  <c r="Q12" s="1"/>
  <c r="S88" i="1"/>
  <c r="N88" i="42"/>
  <c r="R88" s="1"/>
  <c r="S88" s="1"/>
  <c r="S87" i="1"/>
  <c r="N87" i="42"/>
  <c r="R87" s="1"/>
  <c r="S87" s="1"/>
  <c r="S43" i="1"/>
  <c r="N43" i="42"/>
  <c r="R43" s="1"/>
  <c r="S43" s="1"/>
  <c r="S65" i="1"/>
  <c r="N65" i="42"/>
  <c r="R65" s="1"/>
  <c r="S65" s="1"/>
  <c r="S44" i="1"/>
  <c r="N44" i="42"/>
  <c r="R44" s="1"/>
  <c r="S44" s="1"/>
  <c r="S51" i="1"/>
  <c r="N51" i="42"/>
  <c r="S66" i="1"/>
  <c r="N66" i="42"/>
  <c r="R66" s="1"/>
  <c r="S66" s="1"/>
  <c r="S45" i="1"/>
  <c r="N45" i="42"/>
  <c r="R45" s="1"/>
  <c r="S45" s="1"/>
  <c r="S72" i="1"/>
  <c r="N72" i="42"/>
  <c r="S41" i="1"/>
  <c r="N41" i="42"/>
  <c r="Q32"/>
  <c r="P18"/>
  <c r="Q76" i="43"/>
  <c r="Q13"/>
  <c r="P13" i="42"/>
  <c r="Q19"/>
  <c r="M12"/>
  <c r="Q79"/>
  <c r="Q13"/>
  <c r="O40" i="1"/>
  <c r="Q40"/>
  <c r="R40"/>
  <c r="O71"/>
  <c r="Q71"/>
  <c r="R71"/>
  <c r="Q50"/>
  <c r="O50"/>
  <c r="R50"/>
  <c r="O42"/>
  <c r="Q42"/>
  <c r="R42"/>
  <c r="L13" i="18"/>
  <c r="L13" i="25" s="1"/>
  <c r="L13" i="22"/>
  <c r="K21" i="17"/>
  <c r="K18"/>
  <c r="K15"/>
  <c r="K12"/>
  <c r="P15" i="18"/>
  <c r="P13" i="22"/>
  <c r="N40" i="42" l="1"/>
  <c r="R40" s="1"/>
  <c r="S40" s="1"/>
  <c r="R41"/>
  <c r="S41" s="1"/>
  <c r="N50"/>
  <c r="R50" s="1"/>
  <c r="S50" s="1"/>
  <c r="R51"/>
  <c r="S51" s="1"/>
  <c r="N71"/>
  <c r="R71" s="1"/>
  <c r="S71" s="1"/>
  <c r="R72"/>
  <c r="S72" s="1"/>
  <c r="N42"/>
  <c r="R42" s="1"/>
  <c r="S42" s="1"/>
  <c r="S50" i="1"/>
  <c r="O44" i="42"/>
  <c r="O88"/>
  <c r="O72"/>
  <c r="S40" i="1"/>
  <c r="O43" i="42"/>
  <c r="O87"/>
  <c r="O45"/>
  <c r="S42" i="1"/>
  <c r="O65" i="42"/>
  <c r="S71" i="1"/>
  <c r="O51" i="42"/>
  <c r="O41"/>
  <c r="O66"/>
  <c r="P12"/>
  <c r="Q12" s="1"/>
  <c r="Q18"/>
  <c r="P14" i="25"/>
  <c r="P16" i="18"/>
  <c r="O40" i="42" l="1"/>
  <c r="N88" i="43"/>
  <c r="R88" s="1"/>
  <c r="S88" s="1"/>
  <c r="N87"/>
  <c r="R87" s="1"/>
  <c r="S87" s="1"/>
  <c r="N43"/>
  <c r="R43" s="1"/>
  <c r="S43" s="1"/>
  <c r="N72"/>
  <c r="R72" s="1"/>
  <c r="S72" s="1"/>
  <c r="N44"/>
  <c r="R44" s="1"/>
  <c r="S44" s="1"/>
  <c r="N65"/>
  <c r="R65" s="1"/>
  <c r="S65" s="1"/>
  <c r="N66"/>
  <c r="R66" s="1"/>
  <c r="S66" s="1"/>
  <c r="N41"/>
  <c r="R41" s="1"/>
  <c r="S41" s="1"/>
  <c r="N45"/>
  <c r="R45" s="1"/>
  <c r="S45" s="1"/>
  <c r="N51"/>
  <c r="R51" s="1"/>
  <c r="S51" s="1"/>
  <c r="O71" i="42"/>
  <c r="O42"/>
  <c r="O50"/>
  <c r="O88" i="43" l="1"/>
  <c r="O87"/>
  <c r="N40"/>
  <c r="R40" s="1"/>
  <c r="S40" s="1"/>
  <c r="O41"/>
  <c r="O65"/>
  <c r="O72"/>
  <c r="N71"/>
  <c r="R71" s="1"/>
  <c r="S71" s="1"/>
  <c r="O45"/>
  <c r="O66"/>
  <c r="O44"/>
  <c r="N42"/>
  <c r="R42" s="1"/>
  <c r="S42" s="1"/>
  <c r="O43"/>
  <c r="N50"/>
  <c r="R50" s="1"/>
  <c r="S50" s="1"/>
  <c r="O51"/>
  <c r="G30" i="17"/>
  <c r="G29"/>
  <c r="N88" i="44" l="1"/>
  <c r="R88" s="1"/>
  <c r="S88" s="1"/>
  <c r="N87"/>
  <c r="R87" s="1"/>
  <c r="S87" s="1"/>
  <c r="O42" i="43"/>
  <c r="N72" i="44"/>
  <c r="R72" s="1"/>
  <c r="S72" s="1"/>
  <c r="N44"/>
  <c r="R44" s="1"/>
  <c r="S44" s="1"/>
  <c r="N45"/>
  <c r="R45" s="1"/>
  <c r="S45" s="1"/>
  <c r="N65"/>
  <c r="R65" s="1"/>
  <c r="S65" s="1"/>
  <c r="N41"/>
  <c r="R41" s="1"/>
  <c r="S41" s="1"/>
  <c r="N43"/>
  <c r="R43" s="1"/>
  <c r="S43" s="1"/>
  <c r="N66"/>
  <c r="R66" s="1"/>
  <c r="S66" s="1"/>
  <c r="O71" i="43"/>
  <c r="O40"/>
  <c r="N51" i="44"/>
  <c r="R51" s="1"/>
  <c r="S51" s="1"/>
  <c r="O50" i="43"/>
  <c r="G23" i="17"/>
  <c r="O87" i="44" l="1"/>
  <c r="O88"/>
  <c r="O66"/>
  <c r="N40"/>
  <c r="R40" s="1"/>
  <c r="S40" s="1"/>
  <c r="O41"/>
  <c r="O45"/>
  <c r="N71"/>
  <c r="R71" s="1"/>
  <c r="S71" s="1"/>
  <c r="O72"/>
  <c r="N42"/>
  <c r="R42" s="1"/>
  <c r="S42" s="1"/>
  <c r="O43"/>
  <c r="O65"/>
  <c r="O44"/>
  <c r="N50"/>
  <c r="R50" s="1"/>
  <c r="S50" s="1"/>
  <c r="O51"/>
  <c r="H23" i="17"/>
  <c r="N88" i="45" l="1"/>
  <c r="R88" s="1"/>
  <c r="S88" s="1"/>
  <c r="N87"/>
  <c r="R87" s="1"/>
  <c r="S87" s="1"/>
  <c r="N65"/>
  <c r="R65" s="1"/>
  <c r="S65" s="1"/>
  <c r="N43"/>
  <c r="R43" s="1"/>
  <c r="S43" s="1"/>
  <c r="N72"/>
  <c r="R72" s="1"/>
  <c r="S72" s="1"/>
  <c r="N41"/>
  <c r="R41" s="1"/>
  <c r="S41" s="1"/>
  <c r="O42" i="44"/>
  <c r="O40"/>
  <c r="N45" i="45"/>
  <c r="R45" s="1"/>
  <c r="S45" s="1"/>
  <c r="N44"/>
  <c r="R44" s="1"/>
  <c r="S44" s="1"/>
  <c r="O71" i="44"/>
  <c r="N66" i="45"/>
  <c r="R66" s="1"/>
  <c r="S66" s="1"/>
  <c r="N51"/>
  <c r="R51" s="1"/>
  <c r="S51" s="1"/>
  <c r="O50" i="44"/>
  <c r="G22" i="17"/>
  <c r="G21"/>
  <c r="G20"/>
  <c r="G19"/>
  <c r="G18"/>
  <c r="G17"/>
  <c r="G16"/>
  <c r="G15"/>
  <c r="G14"/>
  <c r="G13"/>
  <c r="G12"/>
  <c r="E12"/>
  <c r="E13"/>
  <c r="E14"/>
  <c r="E15"/>
  <c r="E16"/>
  <c r="E17"/>
  <c r="E18"/>
  <c r="E19"/>
  <c r="E21"/>
  <c r="D23"/>
  <c r="O87" i="45" l="1"/>
  <c r="O88"/>
  <c r="O66"/>
  <c r="O44"/>
  <c r="O41"/>
  <c r="N40"/>
  <c r="R40" s="1"/>
  <c r="S40" s="1"/>
  <c r="N42"/>
  <c r="R42" s="1"/>
  <c r="S42" s="1"/>
  <c r="O43"/>
  <c r="O45"/>
  <c r="N71"/>
  <c r="R71" s="1"/>
  <c r="S71" s="1"/>
  <c r="O72"/>
  <c r="O65"/>
  <c r="O51"/>
  <c r="N50"/>
  <c r="R50" s="1"/>
  <c r="S50" s="1"/>
  <c r="H19" i="17"/>
  <c r="H17"/>
  <c r="H15"/>
  <c r="H13"/>
  <c r="H21"/>
  <c r="H18"/>
  <c r="H14"/>
  <c r="H16"/>
  <c r="H12"/>
  <c r="N88" i="46" l="1"/>
  <c r="R88" s="1"/>
  <c r="S88" s="1"/>
  <c r="N87"/>
  <c r="R87" s="1"/>
  <c r="S87" s="1"/>
  <c r="N65"/>
  <c r="R65" s="1"/>
  <c r="S65" s="1"/>
  <c r="N45"/>
  <c r="R45" s="1"/>
  <c r="S45" s="1"/>
  <c r="N43"/>
  <c r="R43" s="1"/>
  <c r="S43" s="1"/>
  <c r="N44"/>
  <c r="R44" s="1"/>
  <c r="S44" s="1"/>
  <c r="N41"/>
  <c r="R41" s="1"/>
  <c r="S41" s="1"/>
  <c r="N72"/>
  <c r="R72" s="1"/>
  <c r="S72" s="1"/>
  <c r="O40" i="45"/>
  <c r="N66" i="46"/>
  <c r="R66" s="1"/>
  <c r="S66" s="1"/>
  <c r="O71" i="45"/>
  <c r="O42"/>
  <c r="N51" i="46"/>
  <c r="R51" s="1"/>
  <c r="S51" s="1"/>
  <c r="O50" i="45"/>
  <c r="Q34" i="26"/>
  <c r="Q35" s="1"/>
  <c r="D38"/>
  <c r="E27"/>
  <c r="E28"/>
  <c r="F28" s="1"/>
  <c r="H28" s="1"/>
  <c r="I28" l="1"/>
  <c r="O88" i="46"/>
  <c r="O87"/>
  <c r="O66"/>
  <c r="N71"/>
  <c r="R71" s="1"/>
  <c r="S71" s="1"/>
  <c r="O72"/>
  <c r="O44"/>
  <c r="O45"/>
  <c r="N40"/>
  <c r="R40" s="1"/>
  <c r="S40" s="1"/>
  <c r="O41"/>
  <c r="N42"/>
  <c r="R42" s="1"/>
  <c r="S42" s="1"/>
  <c r="O43"/>
  <c r="O65"/>
  <c r="N50"/>
  <c r="R50" s="1"/>
  <c r="S50" s="1"/>
  <c r="O51"/>
  <c r="J28" i="26"/>
  <c r="L28" s="1"/>
  <c r="K23" i="17"/>
  <c r="J23" s="1"/>
  <c r="P34"/>
  <c r="J21" i="41"/>
  <c r="I21"/>
  <c r="J20"/>
  <c r="J22" s="1"/>
  <c r="I20"/>
  <c r="I17"/>
  <c r="J17" s="1"/>
  <c r="I16"/>
  <c r="J16" s="1"/>
  <c r="J13"/>
  <c r="I13"/>
  <c r="J12"/>
  <c r="I12"/>
  <c r="J11"/>
  <c r="I11"/>
  <c r="H10"/>
  <c r="I10" s="1"/>
  <c r="J10" s="1"/>
  <c r="H9"/>
  <c r="I9" s="1"/>
  <c r="J9" s="1"/>
  <c r="I8"/>
  <c r="J8" s="1"/>
  <c r="H7"/>
  <c r="I7" s="1"/>
  <c r="J7" s="1"/>
  <c r="I6"/>
  <c r="J6" s="1"/>
  <c r="H6"/>
  <c r="J18" l="1"/>
  <c r="M28" i="26"/>
  <c r="N28" s="1"/>
  <c r="N87" i="47"/>
  <c r="R87" s="1"/>
  <c r="S87" s="1"/>
  <c r="N88"/>
  <c r="R88" s="1"/>
  <c r="S88" s="1"/>
  <c r="N65"/>
  <c r="R65" s="1"/>
  <c r="S65" s="1"/>
  <c r="N72"/>
  <c r="R72" s="1"/>
  <c r="S72" s="1"/>
  <c r="N44"/>
  <c r="R44" s="1"/>
  <c r="S44" s="1"/>
  <c r="N43"/>
  <c r="R43" s="1"/>
  <c r="S43" s="1"/>
  <c r="N41"/>
  <c r="R41" s="1"/>
  <c r="S41" s="1"/>
  <c r="N66"/>
  <c r="R66" s="1"/>
  <c r="S66" s="1"/>
  <c r="O40" i="46"/>
  <c r="O71"/>
  <c r="O42"/>
  <c r="N45" i="47"/>
  <c r="R45" s="1"/>
  <c r="S45" s="1"/>
  <c r="O50" i="46"/>
  <c r="N51" i="47"/>
  <c r="R51" s="1"/>
  <c r="S51" s="1"/>
  <c r="J14" i="41"/>
  <c r="K24" s="1"/>
  <c r="J24"/>
  <c r="O88" i="47" l="1"/>
  <c r="O87"/>
  <c r="O66"/>
  <c r="N42"/>
  <c r="R42" s="1"/>
  <c r="S42" s="1"/>
  <c r="O43"/>
  <c r="N40"/>
  <c r="R40" s="1"/>
  <c r="S40" s="1"/>
  <c r="O41"/>
  <c r="O44"/>
  <c r="O65"/>
  <c r="O45"/>
  <c r="N71"/>
  <c r="R71" s="1"/>
  <c r="S71" s="1"/>
  <c r="O72"/>
  <c r="N50"/>
  <c r="R50" s="1"/>
  <c r="S50" s="1"/>
  <c r="O51"/>
  <c r="D22" i="17"/>
  <c r="E22" s="1"/>
  <c r="H22" s="1"/>
  <c r="N88" i="48" l="1"/>
  <c r="R88" s="1"/>
  <c r="S88" s="1"/>
  <c r="N87"/>
  <c r="R87" s="1"/>
  <c r="S87" s="1"/>
  <c r="O71" i="47"/>
  <c r="N41" i="48"/>
  <c r="R41" s="1"/>
  <c r="S41" s="1"/>
  <c r="N45"/>
  <c r="R45" s="1"/>
  <c r="S45" s="1"/>
  <c r="O40" i="47"/>
  <c r="N66" i="48"/>
  <c r="R66" s="1"/>
  <c r="S66" s="1"/>
  <c r="O42" i="47"/>
  <c r="N72" i="48"/>
  <c r="R72" s="1"/>
  <c r="S72" s="1"/>
  <c r="N65"/>
  <c r="R65" s="1"/>
  <c r="S65" s="1"/>
  <c r="N44"/>
  <c r="R44" s="1"/>
  <c r="S44" s="1"/>
  <c r="N43"/>
  <c r="R43" s="1"/>
  <c r="S43" s="1"/>
  <c r="N51"/>
  <c r="R51" s="1"/>
  <c r="S51" s="1"/>
  <c r="O50" i="47"/>
  <c r="D30" i="26"/>
  <c r="E29"/>
  <c r="F29" s="1"/>
  <c r="G29" s="1"/>
  <c r="I29" s="1"/>
  <c r="E26"/>
  <c r="F26" s="1"/>
  <c r="G26" s="1"/>
  <c r="O87" i="48" l="1"/>
  <c r="O88"/>
  <c r="O43"/>
  <c r="N42"/>
  <c r="R42" s="1"/>
  <c r="S42" s="1"/>
  <c r="O65"/>
  <c r="O41"/>
  <c r="N40"/>
  <c r="R40" s="1"/>
  <c r="S40" s="1"/>
  <c r="O44"/>
  <c r="N71"/>
  <c r="R71" s="1"/>
  <c r="S71" s="1"/>
  <c r="O72"/>
  <c r="O66"/>
  <c r="O45"/>
  <c r="N50"/>
  <c r="R50" s="1"/>
  <c r="S50" s="1"/>
  <c r="O51"/>
  <c r="J29" i="26"/>
  <c r="J26"/>
  <c r="E25"/>
  <c r="I26"/>
  <c r="E30"/>
  <c r="N87" i="49" l="1"/>
  <c r="R87" s="1"/>
  <c r="S87" s="1"/>
  <c r="N88"/>
  <c r="R88" s="1"/>
  <c r="S88" s="1"/>
  <c r="N66"/>
  <c r="R66" s="1"/>
  <c r="S66" s="1"/>
  <c r="O40" i="48"/>
  <c r="O42"/>
  <c r="O71"/>
  <c r="N44" i="49"/>
  <c r="R44" s="1"/>
  <c r="S44" s="1"/>
  <c r="N43"/>
  <c r="R43" s="1"/>
  <c r="S43" s="1"/>
  <c r="N72"/>
  <c r="R72" s="1"/>
  <c r="S72" s="1"/>
  <c r="N65"/>
  <c r="R65" s="1"/>
  <c r="S65" s="1"/>
  <c r="N45"/>
  <c r="R45" s="1"/>
  <c r="S45" s="1"/>
  <c r="N41"/>
  <c r="R41" s="1"/>
  <c r="S41" s="1"/>
  <c r="N51"/>
  <c r="R51" s="1"/>
  <c r="S51" s="1"/>
  <c r="O50" i="48"/>
  <c r="F30" i="26"/>
  <c r="G30" s="1"/>
  <c r="I30" s="1"/>
  <c r="F25"/>
  <c r="F27"/>
  <c r="K13" i="17"/>
  <c r="J13" s="1"/>
  <c r="K14"/>
  <c r="J14" s="1"/>
  <c r="L14" i="21" s="1"/>
  <c r="K13" s="1"/>
  <c r="J15" i="17"/>
  <c r="K16"/>
  <c r="J16" s="1"/>
  <c r="K17"/>
  <c r="J17" s="1"/>
  <c r="J18"/>
  <c r="K19"/>
  <c r="J19" s="1"/>
  <c r="J21"/>
  <c r="K22"/>
  <c r="J22" s="1"/>
  <c r="O88" i="49" l="1"/>
  <c r="O87"/>
  <c r="O41"/>
  <c r="N40"/>
  <c r="R40" s="1"/>
  <c r="S40" s="1"/>
  <c r="O45"/>
  <c r="O44"/>
  <c r="O66"/>
  <c r="O65"/>
  <c r="O43"/>
  <c r="N42"/>
  <c r="R42" s="1"/>
  <c r="S42" s="1"/>
  <c r="N71"/>
  <c r="R71" s="1"/>
  <c r="S71" s="1"/>
  <c r="O72"/>
  <c r="O51"/>
  <c r="N50"/>
  <c r="R50" s="1"/>
  <c r="S50" s="1"/>
  <c r="G25" i="26"/>
  <c r="J25" s="1"/>
  <c r="H25"/>
  <c r="J27"/>
  <c r="H27"/>
  <c r="J30"/>
  <c r="I25"/>
  <c r="I27"/>
  <c r="N87" i="50" l="1"/>
  <c r="R87" s="1"/>
  <c r="S87" s="1"/>
  <c r="N88"/>
  <c r="R88" s="1"/>
  <c r="S88" s="1"/>
  <c r="N41"/>
  <c r="R41" s="1"/>
  <c r="S41" s="1"/>
  <c r="O71" i="49"/>
  <c r="N45" i="50"/>
  <c r="R45" s="1"/>
  <c r="S45" s="1"/>
  <c r="N43"/>
  <c r="R43" s="1"/>
  <c r="S43" s="1"/>
  <c r="N44"/>
  <c r="R44" s="1"/>
  <c r="S44" s="1"/>
  <c r="O40" i="49"/>
  <c r="O42"/>
  <c r="N65" i="50"/>
  <c r="R65" s="1"/>
  <c r="S65" s="1"/>
  <c r="N72"/>
  <c r="R72" s="1"/>
  <c r="S72" s="1"/>
  <c r="N66"/>
  <c r="R66" s="1"/>
  <c r="S66" s="1"/>
  <c r="N51"/>
  <c r="R51" s="1"/>
  <c r="S51" s="1"/>
  <c r="O50" i="49"/>
  <c r="E25" i="39"/>
  <c r="J25" s="1"/>
  <c r="E24"/>
  <c r="E14"/>
  <c r="F14" s="1"/>
  <c r="E15"/>
  <c r="F15" s="1"/>
  <c r="F25" l="1"/>
  <c r="H25" s="1"/>
  <c r="I25"/>
  <c r="O88" i="50"/>
  <c r="O87"/>
  <c r="O66"/>
  <c r="O65"/>
  <c r="N42"/>
  <c r="R42" s="1"/>
  <c r="S42" s="1"/>
  <c r="O43"/>
  <c r="N71"/>
  <c r="R71" s="1"/>
  <c r="S71" s="1"/>
  <c r="O72"/>
  <c r="O44"/>
  <c r="O45"/>
  <c r="O41"/>
  <c r="N40"/>
  <c r="R40" s="1"/>
  <c r="S40" s="1"/>
  <c r="N50"/>
  <c r="R50" s="1"/>
  <c r="S50" s="1"/>
  <c r="O51"/>
  <c r="F24" i="39"/>
  <c r="N87" i="51" l="1"/>
  <c r="R87" s="1"/>
  <c r="S87" s="1"/>
  <c r="N88"/>
  <c r="R88" s="1"/>
  <c r="S88" s="1"/>
  <c r="N45"/>
  <c r="R45" s="1"/>
  <c r="S45" s="1"/>
  <c r="O71" i="50"/>
  <c r="N66" i="51"/>
  <c r="R66" s="1"/>
  <c r="S66" s="1"/>
  <c r="N65"/>
  <c r="R65" s="1"/>
  <c r="S65" s="1"/>
  <c r="O42" i="50"/>
  <c r="N41" i="51"/>
  <c r="R41" s="1"/>
  <c r="S41" s="1"/>
  <c r="N43"/>
  <c r="R43" s="1"/>
  <c r="S43" s="1"/>
  <c r="O40" i="50"/>
  <c r="N44" i="51"/>
  <c r="R44" s="1"/>
  <c r="S44" s="1"/>
  <c r="N72"/>
  <c r="R72" s="1"/>
  <c r="S72" s="1"/>
  <c r="N51"/>
  <c r="R51" s="1"/>
  <c r="S51" s="1"/>
  <c r="O50" i="50"/>
  <c r="H24" i="39"/>
  <c r="E4"/>
  <c r="F4" s="1"/>
  <c r="G4" s="1"/>
  <c r="E5"/>
  <c r="F5"/>
  <c r="G5" s="1"/>
  <c r="J5" s="1"/>
  <c r="E6"/>
  <c r="E7"/>
  <c r="F7" s="1"/>
  <c r="G7" s="1"/>
  <c r="J7" s="1"/>
  <c r="E8"/>
  <c r="F8"/>
  <c r="G8" s="1"/>
  <c r="J8" s="1"/>
  <c r="E9"/>
  <c r="F9"/>
  <c r="G9" s="1"/>
  <c r="J9" s="1"/>
  <c r="E10"/>
  <c r="F10"/>
  <c r="G10" s="1"/>
  <c r="E11"/>
  <c r="F11" s="1"/>
  <c r="G11" s="1"/>
  <c r="J11" s="1"/>
  <c r="E12"/>
  <c r="F12" s="1"/>
  <c r="G12" s="1"/>
  <c r="J12" s="1"/>
  <c r="E13"/>
  <c r="F13" s="1"/>
  <c r="G13" s="1"/>
  <c r="J13" s="1"/>
  <c r="G14"/>
  <c r="I14" s="1"/>
  <c r="H14"/>
  <c r="G15"/>
  <c r="J15" s="1"/>
  <c r="E16"/>
  <c r="F16" s="1"/>
  <c r="G16" s="1"/>
  <c r="I16" s="1"/>
  <c r="E17"/>
  <c r="E19"/>
  <c r="F19" s="1"/>
  <c r="G19" s="1"/>
  <c r="E20"/>
  <c r="E21"/>
  <c r="I21" s="1"/>
  <c r="E22"/>
  <c r="F22" s="1"/>
  <c r="G22" s="1"/>
  <c r="E23"/>
  <c r="F23" s="1"/>
  <c r="Q33" i="40"/>
  <c r="N33"/>
  <c r="J33"/>
  <c r="Q32"/>
  <c r="N32"/>
  <c r="J32"/>
  <c r="Q67"/>
  <c r="N67"/>
  <c r="O67" s="1"/>
  <c r="Q66"/>
  <c r="N66"/>
  <c r="J66"/>
  <c r="O64"/>
  <c r="N64"/>
  <c r="S63"/>
  <c r="Q63"/>
  <c r="N63"/>
  <c r="J63"/>
  <c r="J62" s="1"/>
  <c r="Q62"/>
  <c r="Q60"/>
  <c r="N60"/>
  <c r="J60"/>
  <c r="Q59"/>
  <c r="N59"/>
  <c r="N58" s="1"/>
  <c r="N57" s="1"/>
  <c r="J59"/>
  <c r="Q58"/>
  <c r="Q57"/>
  <c r="Q55"/>
  <c r="O55"/>
  <c r="Q54"/>
  <c r="N54"/>
  <c r="J54"/>
  <c r="J53" s="1"/>
  <c r="Q53"/>
  <c r="N51"/>
  <c r="O51" s="1"/>
  <c r="O50" s="1"/>
  <c r="O49" s="1"/>
  <c r="K48"/>
  <c r="N48" s="1"/>
  <c r="J48"/>
  <c r="Q47"/>
  <c r="N47"/>
  <c r="J47"/>
  <c r="Q46"/>
  <c r="Q43"/>
  <c r="N43"/>
  <c r="J43"/>
  <c r="S42"/>
  <c r="Q42"/>
  <c r="N42"/>
  <c r="J42"/>
  <c r="Q40"/>
  <c r="N40"/>
  <c r="J40"/>
  <c r="Q39"/>
  <c r="R39" s="1"/>
  <c r="N39"/>
  <c r="J39"/>
  <c r="Q38"/>
  <c r="N38"/>
  <c r="J38"/>
  <c r="Q37"/>
  <c r="N37"/>
  <c r="J37"/>
  <c r="Q36"/>
  <c r="N36"/>
  <c r="J36"/>
  <c r="Q35"/>
  <c r="N35"/>
  <c r="O35" s="1"/>
  <c r="J35"/>
  <c r="Q34"/>
  <c r="N34"/>
  <c r="J34"/>
  <c r="Q30"/>
  <c r="N30"/>
  <c r="J30"/>
  <c r="Q29"/>
  <c r="N29"/>
  <c r="J29"/>
  <c r="Q28"/>
  <c r="N28"/>
  <c r="O28" s="1"/>
  <c r="J28"/>
  <c r="Q27"/>
  <c r="N27"/>
  <c r="J27"/>
  <c r="T26"/>
  <c r="Q26"/>
  <c r="Q24"/>
  <c r="N24"/>
  <c r="O24" s="1"/>
  <c r="J24"/>
  <c r="J23" s="1"/>
  <c r="Q23"/>
  <c r="Q22"/>
  <c r="N22"/>
  <c r="O22" s="1"/>
  <c r="Q21"/>
  <c r="N21"/>
  <c r="J21"/>
  <c r="J20" s="1"/>
  <c r="Q20"/>
  <c r="Q17"/>
  <c r="N17"/>
  <c r="O17" s="1"/>
  <c r="Q16"/>
  <c r="N16"/>
  <c r="J16"/>
  <c r="Q14"/>
  <c r="N14"/>
  <c r="J14"/>
  <c r="Q13"/>
  <c r="N13"/>
  <c r="J13"/>
  <c r="Q12"/>
  <c r="N12"/>
  <c r="J12"/>
  <c r="Q11"/>
  <c r="N11"/>
  <c r="J11"/>
  <c r="Q10"/>
  <c r="N10"/>
  <c r="J10"/>
  <c r="J4"/>
  <c r="N4"/>
  <c r="J5"/>
  <c r="N5"/>
  <c r="J6"/>
  <c r="N6"/>
  <c r="J7"/>
  <c r="N7"/>
  <c r="T5"/>
  <c r="U5" s="1"/>
  <c r="T6"/>
  <c r="U6" s="1"/>
  <c r="T7"/>
  <c r="U7" s="1"/>
  <c r="T4"/>
  <c r="U4" s="1"/>
  <c r="J4" i="39" l="1"/>
  <c r="I4"/>
  <c r="N41" i="40"/>
  <c r="N62"/>
  <c r="O62" s="1"/>
  <c r="I12" i="39"/>
  <c r="F6"/>
  <c r="G6" s="1"/>
  <c r="J6" s="1"/>
  <c r="I5"/>
  <c r="O88" i="51"/>
  <c r="O87"/>
  <c r="N71"/>
  <c r="R71" s="1"/>
  <c r="S71" s="1"/>
  <c r="O72"/>
  <c r="O44"/>
  <c r="O66"/>
  <c r="O45"/>
  <c r="O41"/>
  <c r="N40"/>
  <c r="R40" s="1"/>
  <c r="S40" s="1"/>
  <c r="O65"/>
  <c r="N42"/>
  <c r="R42" s="1"/>
  <c r="S42" s="1"/>
  <c r="O43"/>
  <c r="N50"/>
  <c r="R50" s="1"/>
  <c r="S50" s="1"/>
  <c r="O51"/>
  <c r="I8" i="39"/>
  <c r="G23"/>
  <c r="I23" s="1"/>
  <c r="I9"/>
  <c r="J19"/>
  <c r="J24"/>
  <c r="I24"/>
  <c r="F21"/>
  <c r="J17"/>
  <c r="F17"/>
  <c r="I13"/>
  <c r="I15"/>
  <c r="O54" i="40"/>
  <c r="O7"/>
  <c r="O5"/>
  <c r="J26"/>
  <c r="O39"/>
  <c r="N53"/>
  <c r="O53" s="1"/>
  <c r="O60"/>
  <c r="O21"/>
  <c r="O27"/>
  <c r="O34"/>
  <c r="O38"/>
  <c r="O33"/>
  <c r="O11"/>
  <c r="O16"/>
  <c r="O37"/>
  <c r="O42"/>
  <c r="O41" s="1"/>
  <c r="O43"/>
  <c r="O47"/>
  <c r="Q48"/>
  <c r="R57"/>
  <c r="O32"/>
  <c r="O12"/>
  <c r="N23"/>
  <c r="O23" s="1"/>
  <c r="O63"/>
  <c r="O36"/>
  <c r="O40"/>
  <c r="N50"/>
  <c r="N49" s="1"/>
  <c r="O59"/>
  <c r="N31"/>
  <c r="O6"/>
  <c r="J10" i="39"/>
  <c r="I19"/>
  <c r="I11"/>
  <c r="I7"/>
  <c r="J21"/>
  <c r="I17"/>
  <c r="J16"/>
  <c r="J14"/>
  <c r="I10"/>
  <c r="F20"/>
  <c r="G20" s="1"/>
  <c r="J20" s="1"/>
  <c r="J22"/>
  <c r="I22"/>
  <c r="O10" i="40"/>
  <c r="O14"/>
  <c r="O30"/>
  <c r="O66"/>
  <c r="N26"/>
  <c r="O26" s="1"/>
  <c r="O13"/>
  <c r="O29"/>
  <c r="J46"/>
  <c r="O48"/>
  <c r="N9"/>
  <c r="N15"/>
  <c r="J3"/>
  <c r="N3"/>
  <c r="J58"/>
  <c r="N46"/>
  <c r="N20"/>
  <c r="O20" s="1"/>
  <c r="O4"/>
  <c r="T3"/>
  <c r="U3" s="1"/>
  <c r="O46" l="1"/>
  <c r="I6" i="39"/>
  <c r="N87" i="52"/>
  <c r="R87" s="1"/>
  <c r="S87" s="1"/>
  <c r="N88"/>
  <c r="R88" s="1"/>
  <c r="S88" s="1"/>
  <c r="O42" i="51"/>
  <c r="N45" i="52"/>
  <c r="R45" s="1"/>
  <c r="S45" s="1"/>
  <c r="O40" i="51"/>
  <c r="N66" i="52"/>
  <c r="R66" s="1"/>
  <c r="S66" s="1"/>
  <c r="N43"/>
  <c r="R43" s="1"/>
  <c r="S43" s="1"/>
  <c r="O71" i="51"/>
  <c r="N41" i="52"/>
  <c r="R41" s="1"/>
  <c r="S41" s="1"/>
  <c r="N44"/>
  <c r="R44" s="1"/>
  <c r="S44" s="1"/>
  <c r="N65"/>
  <c r="R65" s="1"/>
  <c r="S65" s="1"/>
  <c r="N72"/>
  <c r="R72" s="1"/>
  <c r="S72" s="1"/>
  <c r="N51"/>
  <c r="R51" s="1"/>
  <c r="S51" s="1"/>
  <c r="O50" i="51"/>
  <c r="J23" i="39"/>
  <c r="O3" i="40"/>
  <c r="I20" i="39"/>
  <c r="J57" i="40"/>
  <c r="O57" s="1"/>
  <c r="O58"/>
  <c r="O87" i="52" l="1"/>
  <c r="O88"/>
  <c r="N71"/>
  <c r="R71" s="1"/>
  <c r="S71" s="1"/>
  <c r="O72"/>
  <c r="O66"/>
  <c r="O44"/>
  <c r="O45"/>
  <c r="O65"/>
  <c r="O43"/>
  <c r="N42"/>
  <c r="R42" s="1"/>
  <c r="S42" s="1"/>
  <c r="N40"/>
  <c r="R40" s="1"/>
  <c r="S40" s="1"/>
  <c r="O41"/>
  <c r="O51"/>
  <c r="N50"/>
  <c r="R50" s="1"/>
  <c r="S50" s="1"/>
  <c r="E18" i="39"/>
  <c r="I18" s="1"/>
  <c r="D26"/>
  <c r="O42" i="52" l="1"/>
  <c r="O40"/>
  <c r="O71"/>
  <c r="O50"/>
  <c r="F18" i="39"/>
  <c r="H18" s="1"/>
  <c r="J18"/>
  <c r="H26" l="1"/>
  <c r="E26"/>
  <c r="K13" i="25"/>
  <c r="M13" l="1"/>
  <c r="I26" i="39"/>
  <c r="G26"/>
  <c r="J26"/>
  <c r="F26"/>
  <c r="F53" i="36" l="1"/>
  <c r="G52"/>
  <c r="G51"/>
  <c r="G53" s="1"/>
  <c r="H48"/>
  <c r="G45"/>
  <c r="G44"/>
  <c r="H40" s="1"/>
  <c r="H42" s="1"/>
  <c r="H41"/>
  <c r="E41"/>
  <c r="F41" s="1"/>
  <c r="E40"/>
  <c r="E42" s="1"/>
  <c r="C38"/>
  <c r="D34"/>
  <c r="E34" s="1"/>
  <c r="E33"/>
  <c r="E35" s="1"/>
  <c r="D33"/>
  <c r="D35" s="1"/>
  <c r="D24"/>
  <c r="D23"/>
  <c r="D22"/>
  <c r="D21"/>
  <c r="D17"/>
  <c r="D16"/>
  <c r="D15"/>
  <c r="D9"/>
  <c r="D8"/>
  <c r="F40" l="1"/>
  <c r="F42" s="1"/>
  <c r="F34"/>
  <c r="G46"/>
  <c r="F33"/>
  <c r="F35" s="1"/>
  <c r="H47"/>
  <c r="H49" s="1"/>
  <c r="F21" i="17" l="1"/>
  <c r="P13" i="21"/>
  <c r="D19" i="36" l="1"/>
  <c r="D10"/>
  <c r="Q89" i="23"/>
  <c r="R89"/>
  <c r="S89"/>
  <c r="T89"/>
  <c r="U89"/>
  <c r="V89"/>
  <c r="W89"/>
  <c r="M24"/>
  <c r="N24"/>
  <c r="O24"/>
  <c r="P24"/>
  <c r="Q24"/>
  <c r="R24"/>
  <c r="S24"/>
  <c r="T24"/>
  <c r="U24"/>
  <c r="V24"/>
  <c r="W24"/>
  <c r="M25"/>
  <c r="N25"/>
  <c r="O25"/>
  <c r="P25"/>
  <c r="Q25"/>
  <c r="R25"/>
  <c r="S25"/>
  <c r="T25"/>
  <c r="U25"/>
  <c r="V25"/>
  <c r="W25"/>
  <c r="X25"/>
  <c r="M28"/>
  <c r="N28"/>
  <c r="O28"/>
  <c r="P28"/>
  <c r="Q28"/>
  <c r="R28"/>
  <c r="S28"/>
  <c r="T28"/>
  <c r="U28"/>
  <c r="V28"/>
  <c r="W28"/>
  <c r="M29"/>
  <c r="N29"/>
  <c r="O29"/>
  <c r="P29"/>
  <c r="Q29"/>
  <c r="R29"/>
  <c r="S29"/>
  <c r="T29"/>
  <c r="U29"/>
  <c r="V29"/>
  <c r="W29"/>
  <c r="M30"/>
  <c r="N30"/>
  <c r="O30"/>
  <c r="P30"/>
  <c r="Q30"/>
  <c r="R30"/>
  <c r="S30"/>
  <c r="T30"/>
  <c r="U30"/>
  <c r="V30"/>
  <c r="W30"/>
  <c r="M31"/>
  <c r="N31"/>
  <c r="O31"/>
  <c r="P31"/>
  <c r="Q31"/>
  <c r="R31"/>
  <c r="S31"/>
  <c r="T31"/>
  <c r="U31"/>
  <c r="V31"/>
  <c r="W31"/>
  <c r="M32"/>
  <c r="N32"/>
  <c r="O32"/>
  <c r="P32"/>
  <c r="Q32"/>
  <c r="R32"/>
  <c r="S32"/>
  <c r="T32"/>
  <c r="U32"/>
  <c r="V32"/>
  <c r="W32"/>
  <c r="M33"/>
  <c r="N33"/>
  <c r="O33"/>
  <c r="P33"/>
  <c r="Q33"/>
  <c r="R33"/>
  <c r="S33"/>
  <c r="T33"/>
  <c r="U33"/>
  <c r="V33"/>
  <c r="W33"/>
  <c r="M34"/>
  <c r="N34"/>
  <c r="O34"/>
  <c r="P34"/>
  <c r="Q34"/>
  <c r="R34"/>
  <c r="S34"/>
  <c r="T34"/>
  <c r="U34"/>
  <c r="V34"/>
  <c r="W34"/>
  <c r="M35"/>
  <c r="N35"/>
  <c r="O35"/>
  <c r="P35"/>
  <c r="Q35"/>
  <c r="R35"/>
  <c r="S35"/>
  <c r="T35"/>
  <c r="U35"/>
  <c r="V35"/>
  <c r="W35"/>
  <c r="M36"/>
  <c r="N36"/>
  <c r="O36"/>
  <c r="P36"/>
  <c r="Q36"/>
  <c r="S36"/>
  <c r="T36"/>
  <c r="U36"/>
  <c r="V36"/>
  <c r="W36"/>
  <c r="M37"/>
  <c r="N37"/>
  <c r="O37"/>
  <c r="P37"/>
  <c r="Q37"/>
  <c r="R37"/>
  <c r="S37"/>
  <c r="T37"/>
  <c r="U37"/>
  <c r="V37"/>
  <c r="W37"/>
  <c r="M38"/>
  <c r="N38"/>
  <c r="O38"/>
  <c r="P38"/>
  <c r="Q38"/>
  <c r="S38"/>
  <c r="T38"/>
  <c r="U38"/>
  <c r="V38"/>
  <c r="W38"/>
  <c r="M40"/>
  <c r="N40"/>
  <c r="O40"/>
  <c r="P40"/>
  <c r="Q40"/>
  <c r="R40"/>
  <c r="S40"/>
  <c r="T40"/>
  <c r="U40"/>
  <c r="V40"/>
  <c r="W40"/>
  <c r="M41"/>
  <c r="P41"/>
  <c r="Q41"/>
  <c r="S41"/>
  <c r="T41"/>
  <c r="U41"/>
  <c r="V41"/>
  <c r="W41"/>
  <c r="M43"/>
  <c r="N43"/>
  <c r="O43"/>
  <c r="P43"/>
  <c r="Q43"/>
  <c r="R43"/>
  <c r="S43"/>
  <c r="T43"/>
  <c r="U43"/>
  <c r="V43"/>
  <c r="W43"/>
  <c r="M44"/>
  <c r="N44"/>
  <c r="O44"/>
  <c r="P44"/>
  <c r="Q44"/>
  <c r="R44"/>
  <c r="S44"/>
  <c r="T44"/>
  <c r="U44"/>
  <c r="V44"/>
  <c r="W44"/>
  <c r="M45"/>
  <c r="N45"/>
  <c r="O45"/>
  <c r="P45"/>
  <c r="Q45"/>
  <c r="R45"/>
  <c r="S45"/>
  <c r="T45"/>
  <c r="U45"/>
  <c r="V45"/>
  <c r="W45"/>
  <c r="M46"/>
  <c r="N46"/>
  <c r="O46"/>
  <c r="P46"/>
  <c r="Q46"/>
  <c r="R46"/>
  <c r="S46"/>
  <c r="T46"/>
  <c r="U46"/>
  <c r="V46"/>
  <c r="W46"/>
  <c r="M48"/>
  <c r="N48"/>
  <c r="O48"/>
  <c r="P48"/>
  <c r="Q48"/>
  <c r="R48"/>
  <c r="S48"/>
  <c r="T48"/>
  <c r="U48"/>
  <c r="V48"/>
  <c r="W48"/>
  <c r="M49"/>
  <c r="N49"/>
  <c r="O49"/>
  <c r="P49"/>
  <c r="Q49"/>
  <c r="R49"/>
  <c r="S49"/>
  <c r="T49"/>
  <c r="U49"/>
  <c r="V49"/>
  <c r="W49"/>
  <c r="M50"/>
  <c r="N50"/>
  <c r="O50"/>
  <c r="P50"/>
  <c r="Q50"/>
  <c r="R50"/>
  <c r="S50"/>
  <c r="T50"/>
  <c r="U50"/>
  <c r="V50"/>
  <c r="W50"/>
  <c r="M52"/>
  <c r="N52"/>
  <c r="O52"/>
  <c r="P52"/>
  <c r="Q52"/>
  <c r="R52"/>
  <c r="S52"/>
  <c r="T52"/>
  <c r="U52"/>
  <c r="V52"/>
  <c r="W52"/>
  <c r="M54"/>
  <c r="N54"/>
  <c r="O54"/>
  <c r="P54"/>
  <c r="Q54"/>
  <c r="R54"/>
  <c r="S54"/>
  <c r="T54"/>
  <c r="U54"/>
  <c r="V54"/>
  <c r="W54"/>
  <c r="M55"/>
  <c r="N55"/>
  <c r="O55"/>
  <c r="P55"/>
  <c r="Q55"/>
  <c r="R55"/>
  <c r="S55"/>
  <c r="T55"/>
  <c r="U55"/>
  <c r="V55"/>
  <c r="W55"/>
  <c r="M57"/>
  <c r="N57"/>
  <c r="O57"/>
  <c r="P57"/>
  <c r="Q57"/>
  <c r="R57"/>
  <c r="S57"/>
  <c r="T57"/>
  <c r="U57"/>
  <c r="V57"/>
  <c r="W57"/>
  <c r="M59"/>
  <c r="N59"/>
  <c r="O59"/>
  <c r="P59"/>
  <c r="Q59"/>
  <c r="R59"/>
  <c r="S59"/>
  <c r="T59"/>
  <c r="U59"/>
  <c r="V59"/>
  <c r="W59"/>
  <c r="M60"/>
  <c r="N60"/>
  <c r="O60"/>
  <c r="P60"/>
  <c r="Q60"/>
  <c r="R60"/>
  <c r="S60"/>
  <c r="T60"/>
  <c r="U60"/>
  <c r="V60"/>
  <c r="W60"/>
  <c r="M61"/>
  <c r="N61"/>
  <c r="O61"/>
  <c r="P61"/>
  <c r="Q61"/>
  <c r="R61"/>
  <c r="S61"/>
  <c r="T61"/>
  <c r="U61"/>
  <c r="V61"/>
  <c r="W61"/>
  <c r="M62"/>
  <c r="N62"/>
  <c r="O62"/>
  <c r="P62"/>
  <c r="Q62"/>
  <c r="R62"/>
  <c r="S62"/>
  <c r="T62"/>
  <c r="U62"/>
  <c r="V62"/>
  <c r="W62"/>
  <c r="M63"/>
  <c r="N63"/>
  <c r="O63"/>
  <c r="P63"/>
  <c r="Q63"/>
  <c r="R63"/>
  <c r="S63"/>
  <c r="T63"/>
  <c r="U63"/>
  <c r="V63"/>
  <c r="W63"/>
  <c r="M65"/>
  <c r="N65"/>
  <c r="O65"/>
  <c r="P65"/>
  <c r="Q65"/>
  <c r="R65"/>
  <c r="S65"/>
  <c r="T65"/>
  <c r="U65"/>
  <c r="V65"/>
  <c r="W65"/>
  <c r="M67"/>
  <c r="N67"/>
  <c r="O67"/>
  <c r="P67"/>
  <c r="Q67"/>
  <c r="R67"/>
  <c r="S67"/>
  <c r="T67"/>
  <c r="U67"/>
  <c r="V67"/>
  <c r="W67"/>
  <c r="M68"/>
  <c r="N68"/>
  <c r="O68"/>
  <c r="P68"/>
  <c r="Q68"/>
  <c r="R68"/>
  <c r="S68"/>
  <c r="T68"/>
  <c r="U68"/>
  <c r="V68"/>
  <c r="W68"/>
  <c r="M70"/>
  <c r="N70"/>
  <c r="O70"/>
  <c r="P70"/>
  <c r="Q70"/>
  <c r="R70"/>
  <c r="S70"/>
  <c r="T70"/>
  <c r="U70"/>
  <c r="V70"/>
  <c r="W70"/>
  <c r="M72"/>
  <c r="N72"/>
  <c r="O72"/>
  <c r="P72"/>
  <c r="Q72"/>
  <c r="R72"/>
  <c r="S72"/>
  <c r="T72"/>
  <c r="U72"/>
  <c r="V72"/>
  <c r="W72"/>
  <c r="M73"/>
  <c r="N73"/>
  <c r="O73"/>
  <c r="P73"/>
  <c r="Q73"/>
  <c r="R73"/>
  <c r="S73"/>
  <c r="T73"/>
  <c r="U73"/>
  <c r="V73"/>
  <c r="W73"/>
  <c r="M76"/>
  <c r="N76"/>
  <c r="O76"/>
  <c r="P76"/>
  <c r="Q76"/>
  <c r="R76"/>
  <c r="S76"/>
  <c r="T76"/>
  <c r="U76"/>
  <c r="V76"/>
  <c r="W76"/>
  <c r="M78"/>
  <c r="N78"/>
  <c r="O78"/>
  <c r="P78"/>
  <c r="Q78"/>
  <c r="R78"/>
  <c r="S78"/>
  <c r="T78"/>
  <c r="U78"/>
  <c r="V78"/>
  <c r="W78"/>
  <c r="M79"/>
  <c r="N79"/>
  <c r="O79"/>
  <c r="P79"/>
  <c r="Q79"/>
  <c r="R79"/>
  <c r="S79"/>
  <c r="T79"/>
  <c r="U79"/>
  <c r="V79"/>
  <c r="W79"/>
  <c r="M80"/>
  <c r="N80"/>
  <c r="O80"/>
  <c r="P80"/>
  <c r="Q80"/>
  <c r="R80"/>
  <c r="S80"/>
  <c r="T80"/>
  <c r="U80"/>
  <c r="V80"/>
  <c r="W80"/>
  <c r="M82"/>
  <c r="N82"/>
  <c r="O82"/>
  <c r="P82"/>
  <c r="Q82"/>
  <c r="R82"/>
  <c r="S82"/>
  <c r="T82"/>
  <c r="U82"/>
  <c r="V82"/>
  <c r="W82"/>
  <c r="M84"/>
  <c r="N84"/>
  <c r="O84"/>
  <c r="P84"/>
  <c r="Q84"/>
  <c r="R84"/>
  <c r="S84"/>
  <c r="T84"/>
  <c r="U84"/>
  <c r="V84"/>
  <c r="W84"/>
  <c r="M85"/>
  <c r="N85"/>
  <c r="O85"/>
  <c r="P85"/>
  <c r="Q85"/>
  <c r="R85"/>
  <c r="S85"/>
  <c r="T85"/>
  <c r="U85"/>
  <c r="V85"/>
  <c r="W85"/>
  <c r="M86"/>
  <c r="N86"/>
  <c r="O86"/>
  <c r="P86"/>
  <c r="Q86"/>
  <c r="R86"/>
  <c r="S86"/>
  <c r="T86"/>
  <c r="U86"/>
  <c r="V86"/>
  <c r="W86"/>
  <c r="M87"/>
  <c r="N87"/>
  <c r="O87"/>
  <c r="P87"/>
  <c r="Q87"/>
  <c r="R87"/>
  <c r="S87"/>
  <c r="T87"/>
  <c r="U87"/>
  <c r="V87"/>
  <c r="W87"/>
  <c r="P22"/>
  <c r="P21" s="1"/>
  <c r="U22"/>
  <c r="U21" s="1"/>
  <c r="T22"/>
  <c r="T21" s="1"/>
  <c r="S22"/>
  <c r="S21" s="1"/>
  <c r="R22"/>
  <c r="R21" s="1"/>
  <c r="Q22"/>
  <c r="Q21" s="1"/>
  <c r="P89"/>
  <c r="M89"/>
  <c r="N89"/>
  <c r="M22"/>
  <c r="M21" s="1"/>
  <c r="N22"/>
  <c r="N21" s="1"/>
  <c r="O89"/>
  <c r="O22"/>
  <c r="O21" s="1"/>
  <c r="L88"/>
  <c r="L83"/>
  <c r="L81"/>
  <c r="L77"/>
  <c r="L75"/>
  <c r="L71"/>
  <c r="L69"/>
  <c r="L66"/>
  <c r="L64"/>
  <c r="L58"/>
  <c r="L56"/>
  <c r="L53"/>
  <c r="L51"/>
  <c r="L47"/>
  <c r="L42"/>
  <c r="L39"/>
  <c r="L27"/>
  <c r="L23"/>
  <c r="L21"/>
  <c r="L19"/>
  <c r="D20" i="17"/>
  <c r="E20" l="1"/>
  <c r="H20" s="1"/>
  <c r="D11"/>
  <c r="K20"/>
  <c r="J20" s="1"/>
  <c r="L26" i="23"/>
  <c r="L74"/>
  <c r="L18" l="1"/>
  <c r="D24" i="17"/>
  <c r="D28"/>
  <c r="X73" i="23"/>
  <c r="D24" i="31"/>
  <c r="E24" s="1"/>
  <c r="M13" i="17"/>
  <c r="M14"/>
  <c r="M15"/>
  <c r="M16"/>
  <c r="M17"/>
  <c r="M18"/>
  <c r="M19"/>
  <c r="M20"/>
  <c r="M21"/>
  <c r="M22"/>
  <c r="M23"/>
  <c r="M12"/>
  <c r="M25" l="1"/>
  <c r="F23"/>
  <c r="N27" i="23" l="1"/>
  <c r="N77"/>
  <c r="N83"/>
  <c r="R41"/>
  <c r="R38"/>
  <c r="R36"/>
  <c r="N69" l="1"/>
  <c r="N56"/>
  <c r="N75"/>
  <c r="N71"/>
  <c r="N58"/>
  <c r="N42"/>
  <c r="N41"/>
  <c r="N88"/>
  <c r="N53"/>
  <c r="N47"/>
  <c r="N64"/>
  <c r="N81"/>
  <c r="N66"/>
  <c r="N51"/>
  <c r="E11" i="17"/>
  <c r="N74" i="23" l="1"/>
  <c r="N39"/>
  <c r="O41"/>
  <c r="D29" i="17" l="1"/>
  <c r="N26" i="23"/>
  <c r="X89" l="1"/>
  <c r="X87"/>
  <c r="X86"/>
  <c r="X85"/>
  <c r="X84"/>
  <c r="X82"/>
  <c r="X80"/>
  <c r="X79"/>
  <c r="X78"/>
  <c r="X76"/>
  <c r="X75"/>
  <c r="X72"/>
  <c r="X71"/>
  <c r="X70"/>
  <c r="X68"/>
  <c r="X67"/>
  <c r="X65"/>
  <c r="X63"/>
  <c r="X62"/>
  <c r="X61"/>
  <c r="X60"/>
  <c r="X59"/>
  <c r="X58"/>
  <c r="X57"/>
  <c r="X55"/>
  <c r="X54"/>
  <c r="X53"/>
  <c r="X52"/>
  <c r="X50"/>
  <c r="X49"/>
  <c r="X48"/>
  <c r="X47"/>
  <c r="X46"/>
  <c r="X45"/>
  <c r="X44"/>
  <c r="X43"/>
  <c r="X41"/>
  <c r="X40"/>
  <c r="X39"/>
  <c r="X38"/>
  <c r="X37"/>
  <c r="X36"/>
  <c r="X35"/>
  <c r="X34"/>
  <c r="X33"/>
  <c r="X32"/>
  <c r="X31"/>
  <c r="X30"/>
  <c r="X29"/>
  <c r="X28"/>
  <c r="X24"/>
  <c r="W83"/>
  <c r="W81"/>
  <c r="W77"/>
  <c r="W69"/>
  <c r="W58"/>
  <c r="W53"/>
  <c r="W51"/>
  <c r="W39"/>
  <c r="W27"/>
  <c r="V88"/>
  <c r="V75"/>
  <c r="V66"/>
  <c r="V64"/>
  <c r="V58"/>
  <c r="V56"/>
  <c r="V42"/>
  <c r="U83"/>
  <c r="U81"/>
  <c r="U77"/>
  <c r="U75"/>
  <c r="U71"/>
  <c r="U69"/>
  <c r="U66"/>
  <c r="U64"/>
  <c r="U58"/>
  <c r="U56"/>
  <c r="U39"/>
  <c r="U23"/>
  <c r="U19" s="1"/>
  <c r="T83"/>
  <c r="T81"/>
  <c r="T53"/>
  <c r="T51"/>
  <c r="T27"/>
  <c r="T23"/>
  <c r="T19" s="1"/>
  <c r="S88"/>
  <c r="S66"/>
  <c r="S64"/>
  <c r="S58"/>
  <c r="S56"/>
  <c r="S42"/>
  <c r="S27"/>
  <c r="R83"/>
  <c r="R81"/>
  <c r="R71"/>
  <c r="R66"/>
  <c r="R64"/>
  <c r="R42"/>
  <c r="R23"/>
  <c r="R19" s="1"/>
  <c r="Q88"/>
  <c r="Q66"/>
  <c r="Q64"/>
  <c r="Q58"/>
  <c r="Q56"/>
  <c r="Q42"/>
  <c r="P88"/>
  <c r="P83"/>
  <c r="P81"/>
  <c r="P77"/>
  <c r="P71"/>
  <c r="P64"/>
  <c r="P56"/>
  <c r="P53"/>
  <c r="P51"/>
  <c r="P47"/>
  <c r="P42"/>
  <c r="P39"/>
  <c r="P27"/>
  <c r="O81"/>
  <c r="O77"/>
  <c r="O75"/>
  <c r="O71"/>
  <c r="O69"/>
  <c r="O53"/>
  <c r="O47"/>
  <c r="O39"/>
  <c r="O27"/>
  <c r="W42" l="1"/>
  <c r="W23"/>
  <c r="U74"/>
  <c r="R74"/>
  <c r="O51"/>
  <c r="O88"/>
  <c r="T47"/>
  <c r="O56"/>
  <c r="Q27"/>
  <c r="Q51"/>
  <c r="R53"/>
  <c r="S39"/>
  <c r="T75"/>
  <c r="U88"/>
  <c r="P23"/>
  <c r="P19" s="1"/>
  <c r="P66"/>
  <c r="Q39"/>
  <c r="R58"/>
  <c r="S83"/>
  <c r="T56"/>
  <c r="T88"/>
  <c r="Q77"/>
  <c r="Q83"/>
  <c r="R27"/>
  <c r="R39"/>
  <c r="R47"/>
  <c r="R51"/>
  <c r="R77"/>
  <c r="S47"/>
  <c r="S53"/>
  <c r="S71"/>
  <c r="S75"/>
  <c r="S81"/>
  <c r="T66"/>
  <c r="T69"/>
  <c r="V47"/>
  <c r="V53"/>
  <c r="V71"/>
  <c r="O42"/>
  <c r="O64"/>
  <c r="Q23"/>
  <c r="Q19" s="1"/>
  <c r="Q69"/>
  <c r="R88"/>
  <c r="T58"/>
  <c r="U51"/>
  <c r="O58"/>
  <c r="O66"/>
  <c r="O83"/>
  <c r="P69"/>
  <c r="S77"/>
  <c r="T71"/>
  <c r="U42"/>
  <c r="O23"/>
  <c r="O19" s="1"/>
  <c r="P58"/>
  <c r="P75"/>
  <c r="Q47"/>
  <c r="Q53"/>
  <c r="Q71"/>
  <c r="Q75"/>
  <c r="Q81"/>
  <c r="R56"/>
  <c r="R69"/>
  <c r="R75"/>
  <c r="S23"/>
  <c r="S19" s="1"/>
  <c r="S51"/>
  <c r="S69"/>
  <c r="T39"/>
  <c r="T42"/>
  <c r="T64"/>
  <c r="T77"/>
  <c r="U53"/>
  <c r="V23"/>
  <c r="V51"/>
  <c r="V69"/>
  <c r="V39"/>
  <c r="V83"/>
  <c r="V77"/>
  <c r="V81"/>
  <c r="V27"/>
  <c r="U47"/>
  <c r="U27"/>
  <c r="X56"/>
  <c r="X77"/>
  <c r="X83"/>
  <c r="X66"/>
  <c r="X81"/>
  <c r="X23"/>
  <c r="X27"/>
  <c r="X51"/>
  <c r="X64"/>
  <c r="X69"/>
  <c r="W56"/>
  <c r="W64"/>
  <c r="W88"/>
  <c r="W47"/>
  <c r="W75"/>
  <c r="W66"/>
  <c r="W71"/>
  <c r="C24" i="17"/>
  <c r="E24" s="1"/>
  <c r="R26" i="23"/>
  <c r="R18" s="1"/>
  <c r="X74"/>
  <c r="X42"/>
  <c r="X88"/>
  <c r="X26"/>
  <c r="W74"/>
  <c r="V26"/>
  <c r="T74"/>
  <c r="P74"/>
  <c r="O74"/>
  <c r="O26"/>
  <c r="R20" i="1"/>
  <c r="N20" i="42" s="1"/>
  <c r="R20" s="1"/>
  <c r="S20" s="1"/>
  <c r="T20" s="1"/>
  <c r="R21" i="1"/>
  <c r="N21" i="42" s="1"/>
  <c r="R21" s="1"/>
  <c r="S21" s="1"/>
  <c r="R22" i="1"/>
  <c r="N22" i="42" s="1"/>
  <c r="R22" s="1"/>
  <c r="S22" s="1"/>
  <c r="T22" s="1"/>
  <c r="R23" i="1"/>
  <c r="N23" i="42" s="1"/>
  <c r="R23" s="1"/>
  <c r="S23" s="1"/>
  <c r="R24" i="1"/>
  <c r="N24" i="42" s="1"/>
  <c r="R24" s="1"/>
  <c r="S24" s="1"/>
  <c r="R25" i="1"/>
  <c r="N25" i="42" s="1"/>
  <c r="R25" s="1"/>
  <c r="S25" s="1"/>
  <c r="R26" i="1"/>
  <c r="N26" i="42" s="1"/>
  <c r="R26" s="1"/>
  <c r="S26" s="1"/>
  <c r="R27" i="1"/>
  <c r="N27" i="42" s="1"/>
  <c r="R27" s="1"/>
  <c r="S27" s="1"/>
  <c r="R28" i="1"/>
  <c r="N28" i="42" s="1"/>
  <c r="R28" s="1"/>
  <c r="S28" s="1"/>
  <c r="R30" i="1"/>
  <c r="N30" i="42" s="1"/>
  <c r="R30" s="1"/>
  <c r="S30" s="1"/>
  <c r="R31" i="1"/>
  <c r="N31" i="42" s="1"/>
  <c r="R31" s="1"/>
  <c r="S31" s="1"/>
  <c r="R34" i="1"/>
  <c r="N34" i="42" s="1"/>
  <c r="R36" i="1"/>
  <c r="N36" i="42" s="1"/>
  <c r="R36" s="1"/>
  <c r="S36" s="1"/>
  <c r="R37" i="1"/>
  <c r="N37" i="42" s="1"/>
  <c r="R38" i="1"/>
  <c r="N38" i="42" s="1"/>
  <c r="R38" s="1"/>
  <c r="S38" s="1"/>
  <c r="R39" i="1"/>
  <c r="N39" i="42" s="1"/>
  <c r="R39" s="1"/>
  <c r="S39" s="1"/>
  <c r="R47" i="1"/>
  <c r="N47" i="42" s="1"/>
  <c r="R47" s="1"/>
  <c r="S47" s="1"/>
  <c r="R48" i="1"/>
  <c r="N48" i="42" s="1"/>
  <c r="R49" i="1"/>
  <c r="N49" i="42" s="1"/>
  <c r="R49" s="1"/>
  <c r="S49" s="1"/>
  <c r="R53" i="1"/>
  <c r="N53" i="42" s="1"/>
  <c r="R55" i="1"/>
  <c r="N55" i="42" s="1"/>
  <c r="R55" s="1"/>
  <c r="S55" s="1"/>
  <c r="R56" i="1"/>
  <c r="N56" i="42" s="1"/>
  <c r="R56" s="1"/>
  <c r="S56" s="1"/>
  <c r="R58" i="1"/>
  <c r="N58" i="42" s="1"/>
  <c r="R60" i="1"/>
  <c r="N60" i="42" s="1"/>
  <c r="R60" s="1"/>
  <c r="S60" s="1"/>
  <c r="R61" i="1"/>
  <c r="N61" i="42" s="1"/>
  <c r="R61" s="1"/>
  <c r="S61" s="1"/>
  <c r="R62" i="1"/>
  <c r="N62" i="42" s="1"/>
  <c r="R62" s="1"/>
  <c r="S62" s="1"/>
  <c r="R63" i="1"/>
  <c r="N63" i="42" s="1"/>
  <c r="R63" s="1"/>
  <c r="S63" s="1"/>
  <c r="R67" i="1"/>
  <c r="N67" i="42" s="1"/>
  <c r="R69" i="1"/>
  <c r="N69" i="42" s="1"/>
  <c r="R69" s="1"/>
  <c r="S69" s="1"/>
  <c r="R70" i="1"/>
  <c r="N70" i="42" s="1"/>
  <c r="R70" s="1"/>
  <c r="S70" s="1"/>
  <c r="R74" i="1"/>
  <c r="N74" i="42" s="1"/>
  <c r="R78" i="1"/>
  <c r="N78" i="42" s="1"/>
  <c r="R80" i="1"/>
  <c r="N80" i="42" s="1"/>
  <c r="R80" s="1"/>
  <c r="S80" s="1"/>
  <c r="R81" i="1"/>
  <c r="N81" i="42" s="1"/>
  <c r="R81" s="1"/>
  <c r="S81" s="1"/>
  <c r="R83" i="1"/>
  <c r="N83" i="42" s="1"/>
  <c r="R85" i="1"/>
  <c r="N85" i="42" s="1"/>
  <c r="R89" i="1"/>
  <c r="N89" i="42" s="1"/>
  <c r="R16" i="1"/>
  <c r="N16" i="42" s="1"/>
  <c r="R16" s="1"/>
  <c r="S16" s="1"/>
  <c r="N68" i="1"/>
  <c r="T18" i="42" l="1"/>
  <c r="T12" s="1"/>
  <c r="N46"/>
  <c r="R46" s="1"/>
  <c r="S46" s="1"/>
  <c r="R48"/>
  <c r="S48" s="1"/>
  <c r="N35"/>
  <c r="R35" s="1"/>
  <c r="S35" s="1"/>
  <c r="R37"/>
  <c r="S37" s="1"/>
  <c r="N84"/>
  <c r="R84" s="1"/>
  <c r="S84" s="1"/>
  <c r="R85"/>
  <c r="S85" s="1"/>
  <c r="N77"/>
  <c r="R77" s="1"/>
  <c r="S77" s="1"/>
  <c r="R78"/>
  <c r="S78" s="1"/>
  <c r="N64"/>
  <c r="R64" s="1"/>
  <c r="S64" s="1"/>
  <c r="R67"/>
  <c r="S67" s="1"/>
  <c r="N52"/>
  <c r="R52" s="1"/>
  <c r="S52" s="1"/>
  <c r="R53"/>
  <c r="S53" s="1"/>
  <c r="N32"/>
  <c r="R32" s="1"/>
  <c r="S32" s="1"/>
  <c r="R34"/>
  <c r="S34" s="1"/>
  <c r="N86"/>
  <c r="R86" s="1"/>
  <c r="S86" s="1"/>
  <c r="R89"/>
  <c r="S89" s="1"/>
  <c r="N82"/>
  <c r="R82" s="1"/>
  <c r="S82" s="1"/>
  <c r="R83"/>
  <c r="S83" s="1"/>
  <c r="N73"/>
  <c r="R73" s="1"/>
  <c r="S73" s="1"/>
  <c r="R74"/>
  <c r="S74" s="1"/>
  <c r="N57"/>
  <c r="R57" s="1"/>
  <c r="S57" s="1"/>
  <c r="R58"/>
  <c r="S58" s="1"/>
  <c r="O21"/>
  <c r="N79"/>
  <c r="N68"/>
  <c r="R68" s="1"/>
  <c r="S68" s="1"/>
  <c r="N54"/>
  <c r="R54" s="1"/>
  <c r="S54" s="1"/>
  <c r="O20"/>
  <c r="N59"/>
  <c r="R59" s="1"/>
  <c r="S59" s="1"/>
  <c r="N15"/>
  <c r="R15" s="1"/>
  <c r="O16"/>
  <c r="O18" i="23"/>
  <c r="O81" i="42"/>
  <c r="O62"/>
  <c r="O56"/>
  <c r="O48"/>
  <c r="O37"/>
  <c r="O30"/>
  <c r="O25"/>
  <c r="O80"/>
  <c r="O55"/>
  <c r="O47"/>
  <c r="O36"/>
  <c r="O28"/>
  <c r="O24"/>
  <c r="O70"/>
  <c r="O61"/>
  <c r="O85"/>
  <c r="O78"/>
  <c r="O67"/>
  <c r="O60"/>
  <c r="O53"/>
  <c r="O39"/>
  <c r="O34"/>
  <c r="O27"/>
  <c r="O23"/>
  <c r="O89"/>
  <c r="O69"/>
  <c r="O83"/>
  <c r="O74"/>
  <c r="O63"/>
  <c r="O58"/>
  <c r="O49"/>
  <c r="O38"/>
  <c r="O31"/>
  <c r="O26"/>
  <c r="O22"/>
  <c r="N19"/>
  <c r="R19" s="1"/>
  <c r="S19" s="1"/>
  <c r="F22" i="17"/>
  <c r="T26" i="23"/>
  <c r="T18" s="1"/>
  <c r="Q26"/>
  <c r="S26"/>
  <c r="S74"/>
  <c r="Q74"/>
  <c r="P26"/>
  <c r="P18" s="1"/>
  <c r="N23"/>
  <c r="N19" s="1"/>
  <c r="N18" s="1"/>
  <c r="V74"/>
  <c r="U26"/>
  <c r="U18" s="1"/>
  <c r="W26"/>
  <c r="O16" i="1"/>
  <c r="S16"/>
  <c r="S20"/>
  <c r="S21"/>
  <c r="S22"/>
  <c r="T22" s="1"/>
  <c r="T18" s="1"/>
  <c r="T12" s="1"/>
  <c r="S23"/>
  <c r="S24"/>
  <c r="S25"/>
  <c r="S26"/>
  <c r="S27"/>
  <c r="S28"/>
  <c r="S30"/>
  <c r="S31"/>
  <c r="S34"/>
  <c r="S36"/>
  <c r="S37"/>
  <c r="S38"/>
  <c r="S39"/>
  <c r="S47"/>
  <c r="S48"/>
  <c r="S49"/>
  <c r="S53"/>
  <c r="S55"/>
  <c r="S56"/>
  <c r="S58"/>
  <c r="S60"/>
  <c r="S61"/>
  <c r="S62"/>
  <c r="S63"/>
  <c r="S67"/>
  <c r="S69"/>
  <c r="S70"/>
  <c r="S74"/>
  <c r="S78"/>
  <c r="S80"/>
  <c r="S81"/>
  <c r="S83"/>
  <c r="S85"/>
  <c r="S89"/>
  <c r="Q16"/>
  <c r="Q20"/>
  <c r="Q21"/>
  <c r="Q22"/>
  <c r="Q23"/>
  <c r="Q24"/>
  <c r="Q25"/>
  <c r="Q26"/>
  <c r="Q27"/>
  <c r="Q28"/>
  <c r="Q30"/>
  <c r="Q31"/>
  <c r="Q34"/>
  <c r="Q36"/>
  <c r="Q37"/>
  <c r="Q38"/>
  <c r="Q39"/>
  <c r="Q47"/>
  <c r="Q48"/>
  <c r="Q49"/>
  <c r="Q53"/>
  <c r="Q55"/>
  <c r="Q56"/>
  <c r="Q58"/>
  <c r="Q60"/>
  <c r="Q61"/>
  <c r="Q62"/>
  <c r="Q63"/>
  <c r="Q67"/>
  <c r="Q69"/>
  <c r="Q70"/>
  <c r="Q74"/>
  <c r="Q78"/>
  <c r="Q80"/>
  <c r="Q81"/>
  <c r="Q83"/>
  <c r="Q85"/>
  <c r="Q89"/>
  <c r="O20"/>
  <c r="O21"/>
  <c r="O22"/>
  <c r="O23"/>
  <c r="O24"/>
  <c r="O25"/>
  <c r="O26"/>
  <c r="O27"/>
  <c r="O28"/>
  <c r="O30"/>
  <c r="O31"/>
  <c r="O34"/>
  <c r="O36"/>
  <c r="O37"/>
  <c r="O38"/>
  <c r="O39"/>
  <c r="O47"/>
  <c r="O48"/>
  <c r="O49"/>
  <c r="O53"/>
  <c r="O55"/>
  <c r="O56"/>
  <c r="O58"/>
  <c r="O60"/>
  <c r="O61"/>
  <c r="O62"/>
  <c r="O63"/>
  <c r="O67"/>
  <c r="O69"/>
  <c r="O70"/>
  <c r="O74"/>
  <c r="O78"/>
  <c r="O80"/>
  <c r="O81"/>
  <c r="O83"/>
  <c r="O85"/>
  <c r="O89"/>
  <c r="N86"/>
  <c r="P86"/>
  <c r="M88" i="23" s="1"/>
  <c r="N84" i="1"/>
  <c r="P84"/>
  <c r="M83" i="23" s="1"/>
  <c r="N82" i="1"/>
  <c r="P82"/>
  <c r="M81" i="23" s="1"/>
  <c r="N79" i="1"/>
  <c r="P79"/>
  <c r="M77" i="23" s="1"/>
  <c r="N77" i="1"/>
  <c r="P77"/>
  <c r="M75" i="23" s="1"/>
  <c r="N73" i="1"/>
  <c r="P73"/>
  <c r="M71" i="23" s="1"/>
  <c r="M69"/>
  <c r="P68" i="1"/>
  <c r="N64"/>
  <c r="P64"/>
  <c r="M64" i="23" s="1"/>
  <c r="N59" i="1"/>
  <c r="P59"/>
  <c r="M58" i="23" s="1"/>
  <c r="N57" i="1"/>
  <c r="P57"/>
  <c r="M56" i="23" s="1"/>
  <c r="N54" i="1"/>
  <c r="P54"/>
  <c r="M53" i="23" s="1"/>
  <c r="N52" i="1"/>
  <c r="P52"/>
  <c r="M51" i="23" s="1"/>
  <c r="N46" i="1"/>
  <c r="P46"/>
  <c r="M47" i="23" s="1"/>
  <c r="N35" i="1"/>
  <c r="P35"/>
  <c r="N32"/>
  <c r="M39" i="23"/>
  <c r="N19" i="1"/>
  <c r="P15"/>
  <c r="M82"/>
  <c r="M79"/>
  <c r="M59"/>
  <c r="M35"/>
  <c r="N76" i="42" l="1"/>
  <c r="R76" s="1"/>
  <c r="S76" s="1"/>
  <c r="R79"/>
  <c r="S79" s="1"/>
  <c r="S15"/>
  <c r="R13"/>
  <c r="N89" i="43"/>
  <c r="R89" s="1"/>
  <c r="S89" s="1"/>
  <c r="T89" s="1"/>
  <c r="T76" s="1"/>
  <c r="N18" i="1"/>
  <c r="R19"/>
  <c r="N74" i="43"/>
  <c r="R74" s="1"/>
  <c r="S74" s="1"/>
  <c r="N53"/>
  <c r="R53" s="1"/>
  <c r="S53" s="1"/>
  <c r="N49"/>
  <c r="R49" s="1"/>
  <c r="S49" s="1"/>
  <c r="N39"/>
  <c r="R39" s="1"/>
  <c r="S39" s="1"/>
  <c r="N60"/>
  <c r="R60" s="1"/>
  <c r="S60" s="1"/>
  <c r="N78"/>
  <c r="R78" s="1"/>
  <c r="S78" s="1"/>
  <c r="N61"/>
  <c r="R61" s="1"/>
  <c r="S61" s="1"/>
  <c r="N55"/>
  <c r="R55" s="1"/>
  <c r="S55" s="1"/>
  <c r="N25"/>
  <c r="R25" s="1"/>
  <c r="S25" s="1"/>
  <c r="N81"/>
  <c r="R81" s="1"/>
  <c r="S81" s="1"/>
  <c r="N30"/>
  <c r="R30" s="1"/>
  <c r="S30" s="1"/>
  <c r="N31"/>
  <c r="R31" s="1"/>
  <c r="S31" s="1"/>
  <c r="N63"/>
  <c r="R63" s="1"/>
  <c r="S63" s="1"/>
  <c r="N83"/>
  <c r="R83" s="1"/>
  <c r="S83" s="1"/>
  <c r="N27"/>
  <c r="R27" s="1"/>
  <c r="S27" s="1"/>
  <c r="N24"/>
  <c r="R24" s="1"/>
  <c r="S24" s="1"/>
  <c r="N36"/>
  <c r="R36" s="1"/>
  <c r="S36" s="1"/>
  <c r="N56"/>
  <c r="R56" s="1"/>
  <c r="S56" s="1"/>
  <c r="N20"/>
  <c r="R20" s="1"/>
  <c r="S20" s="1"/>
  <c r="N58"/>
  <c r="R58" s="1"/>
  <c r="S58" s="1"/>
  <c r="N67"/>
  <c r="R67" s="1"/>
  <c r="S67" s="1"/>
  <c r="M42" i="23"/>
  <c r="P18" i="1"/>
  <c r="M26" i="23" s="1"/>
  <c r="N38" i="43"/>
  <c r="R38" s="1"/>
  <c r="S38" s="1"/>
  <c r="N85"/>
  <c r="R85" s="1"/>
  <c r="S85" s="1"/>
  <c r="N70"/>
  <c r="R70" s="1"/>
  <c r="S70" s="1"/>
  <c r="N47"/>
  <c r="R47" s="1"/>
  <c r="S47" s="1"/>
  <c r="N80"/>
  <c r="R80" s="1"/>
  <c r="S80" s="1"/>
  <c r="N62"/>
  <c r="R62" s="1"/>
  <c r="S62" s="1"/>
  <c r="N21"/>
  <c r="R21" s="1"/>
  <c r="S21" s="1"/>
  <c r="N69"/>
  <c r="R69" s="1"/>
  <c r="S69" s="1"/>
  <c r="N28"/>
  <c r="R28" s="1"/>
  <c r="S28" s="1"/>
  <c r="N26"/>
  <c r="R26" s="1"/>
  <c r="S26" s="1"/>
  <c r="Q18" i="23"/>
  <c r="S18"/>
  <c r="N48" i="43"/>
  <c r="R48" s="1"/>
  <c r="S48" s="1"/>
  <c r="N37"/>
  <c r="R37" s="1"/>
  <c r="S37" s="1"/>
  <c r="N34"/>
  <c r="R34" s="1"/>
  <c r="S34" s="1"/>
  <c r="N22"/>
  <c r="R22" s="1"/>
  <c r="S22" s="1"/>
  <c r="T22" s="1"/>
  <c r="T18" s="1"/>
  <c r="N23"/>
  <c r="R23" s="1"/>
  <c r="S23" s="1"/>
  <c r="O15" i="42"/>
  <c r="N13"/>
  <c r="O13" s="1"/>
  <c r="N16" i="43"/>
  <c r="R16" s="1"/>
  <c r="S16" s="1"/>
  <c r="O19" i="42"/>
  <c r="O86"/>
  <c r="O84"/>
  <c r="M27" i="23"/>
  <c r="M23"/>
  <c r="M19" s="1"/>
  <c r="P14" i="1"/>
  <c r="R68"/>
  <c r="M66" i="23"/>
  <c r="F18" i="17"/>
  <c r="Q82" i="1"/>
  <c r="Q79"/>
  <c r="R46"/>
  <c r="O35"/>
  <c r="R35"/>
  <c r="R52"/>
  <c r="R57"/>
  <c r="R64"/>
  <c r="R77"/>
  <c r="R82"/>
  <c r="R86"/>
  <c r="R32"/>
  <c r="Q35"/>
  <c r="Q59"/>
  <c r="O82"/>
  <c r="R54"/>
  <c r="O59"/>
  <c r="R59"/>
  <c r="R73"/>
  <c r="O79"/>
  <c r="R79"/>
  <c r="R84"/>
  <c r="P76"/>
  <c r="M74" i="23" s="1"/>
  <c r="N15" i="1"/>
  <c r="N14" s="1"/>
  <c r="N76"/>
  <c r="S13" i="42" l="1"/>
  <c r="T12" i="43"/>
  <c r="E7" i="21" s="1"/>
  <c r="O89" i="43"/>
  <c r="N86"/>
  <c r="R86" s="1"/>
  <c r="S86" s="1"/>
  <c r="O80"/>
  <c r="N79"/>
  <c r="R79" s="1"/>
  <c r="S79" s="1"/>
  <c r="O38"/>
  <c r="O20"/>
  <c r="O27"/>
  <c r="O63"/>
  <c r="O30"/>
  <c r="O25"/>
  <c r="O61"/>
  <c r="N59"/>
  <c r="R59" s="1"/>
  <c r="S59" s="1"/>
  <c r="O60"/>
  <c r="O49"/>
  <c r="N73"/>
  <c r="R73" s="1"/>
  <c r="S73" s="1"/>
  <c r="O74"/>
  <c r="O21"/>
  <c r="O67"/>
  <c r="N64"/>
  <c r="R64" s="1"/>
  <c r="S64" s="1"/>
  <c r="O62"/>
  <c r="O47"/>
  <c r="O85"/>
  <c r="N84"/>
  <c r="R84" s="1"/>
  <c r="S84" s="1"/>
  <c r="O58"/>
  <c r="N57"/>
  <c r="R57" s="1"/>
  <c r="S57" s="1"/>
  <c r="O56"/>
  <c r="O24"/>
  <c r="O83"/>
  <c r="N82"/>
  <c r="R82" s="1"/>
  <c r="S82" s="1"/>
  <c r="O31"/>
  <c r="O81"/>
  <c r="N54"/>
  <c r="R54" s="1"/>
  <c r="S54" s="1"/>
  <c r="O55"/>
  <c r="N77"/>
  <c r="R77" s="1"/>
  <c r="S77" s="1"/>
  <c r="O78"/>
  <c r="O39"/>
  <c r="N52"/>
  <c r="R52" s="1"/>
  <c r="S52" s="1"/>
  <c r="O53"/>
  <c r="O70"/>
  <c r="O36"/>
  <c r="N68"/>
  <c r="R68" s="1"/>
  <c r="S68" s="1"/>
  <c r="O69"/>
  <c r="O28"/>
  <c r="O26"/>
  <c r="O48"/>
  <c r="N46"/>
  <c r="R46" s="1"/>
  <c r="S46" s="1"/>
  <c r="N35"/>
  <c r="R35" s="1"/>
  <c r="S35" s="1"/>
  <c r="O37"/>
  <c r="O34"/>
  <c r="N32"/>
  <c r="R32" s="1"/>
  <c r="S32" s="1"/>
  <c r="O23"/>
  <c r="O22"/>
  <c r="N19"/>
  <c r="R19" s="1"/>
  <c r="S19" s="1"/>
  <c r="N15"/>
  <c r="R15" s="1"/>
  <c r="O16"/>
  <c r="O57" i="42"/>
  <c r="O68"/>
  <c r="O52"/>
  <c r="O46"/>
  <c r="O73"/>
  <c r="O79"/>
  <c r="O77"/>
  <c r="S35" i="1"/>
  <c r="N18" i="42"/>
  <c r="R18" s="1"/>
  <c r="S18" s="1"/>
  <c r="S59" i="1"/>
  <c r="O82" i="42"/>
  <c r="O54"/>
  <c r="O32"/>
  <c r="O64"/>
  <c r="M18" i="23"/>
  <c r="S79" i="1"/>
  <c r="S82"/>
  <c r="F13" i="17"/>
  <c r="R18" i="1"/>
  <c r="R15"/>
  <c r="R14" s="1"/>
  <c r="R76"/>
  <c r="P12"/>
  <c r="F12" i="17" s="1"/>
  <c r="S15" i="43" l="1"/>
  <c r="R13"/>
  <c r="S13" s="1"/>
  <c r="R12" i="42"/>
  <c r="S12" s="1"/>
  <c r="O86" i="43"/>
  <c r="N89" i="44"/>
  <c r="R89" s="1"/>
  <c r="S89" s="1"/>
  <c r="N48"/>
  <c r="R48" s="1"/>
  <c r="S48" s="1"/>
  <c r="O54" i="43"/>
  <c r="N24" i="44"/>
  <c r="R24" s="1"/>
  <c r="S24" s="1"/>
  <c r="O73" i="43"/>
  <c r="N30" i="44"/>
  <c r="R30" s="1"/>
  <c r="S30" s="1"/>
  <c r="N38"/>
  <c r="R38" s="1"/>
  <c r="S38" s="1"/>
  <c r="R12" i="1"/>
  <c r="N23" i="44"/>
  <c r="R23" s="1"/>
  <c r="S23" s="1"/>
  <c r="N70"/>
  <c r="R70" s="1"/>
  <c r="S70" s="1"/>
  <c r="N39"/>
  <c r="R39" s="1"/>
  <c r="S39" s="1"/>
  <c r="N76" i="43"/>
  <c r="R76" s="1"/>
  <c r="S76" s="1"/>
  <c r="O77"/>
  <c r="N81" i="44"/>
  <c r="R81" s="1"/>
  <c r="S81" s="1"/>
  <c r="N83"/>
  <c r="R83" s="1"/>
  <c r="S83" s="1"/>
  <c r="O57" i="43"/>
  <c r="N62" i="44"/>
  <c r="R62" s="1"/>
  <c r="S62" s="1"/>
  <c r="N74"/>
  <c r="R74" s="1"/>
  <c r="S74" s="1"/>
  <c r="O59" i="43"/>
  <c r="N25" i="44"/>
  <c r="R25" s="1"/>
  <c r="S25" s="1"/>
  <c r="N63"/>
  <c r="R63" s="1"/>
  <c r="S63" s="1"/>
  <c r="N20"/>
  <c r="R20" s="1"/>
  <c r="S20" s="1"/>
  <c r="N80"/>
  <c r="R80" s="1"/>
  <c r="S80" s="1"/>
  <c r="O84" i="43"/>
  <c r="N27" i="44"/>
  <c r="R27" s="1"/>
  <c r="S27" s="1"/>
  <c r="N55"/>
  <c r="R55" s="1"/>
  <c r="S55" s="1"/>
  <c r="O82" i="43"/>
  <c r="N56" i="44"/>
  <c r="R56" s="1"/>
  <c r="S56" s="1"/>
  <c r="O64" i="43"/>
  <c r="N21" i="44"/>
  <c r="R21" s="1"/>
  <c r="S21" s="1"/>
  <c r="N49"/>
  <c r="R49" s="1"/>
  <c r="S49" s="1"/>
  <c r="N60"/>
  <c r="R60" s="1"/>
  <c r="S60" s="1"/>
  <c r="O79" i="43"/>
  <c r="O52"/>
  <c r="N58" i="44"/>
  <c r="R58" s="1"/>
  <c r="S58" s="1"/>
  <c r="N67"/>
  <c r="R67" s="1"/>
  <c r="S67" s="1"/>
  <c r="N61"/>
  <c r="R61" s="1"/>
  <c r="S61" s="1"/>
  <c r="N22"/>
  <c r="R22" s="1"/>
  <c r="S22" s="1"/>
  <c r="T22" s="1"/>
  <c r="T18" s="1"/>
  <c r="T12" s="1"/>
  <c r="N36"/>
  <c r="R36" s="1"/>
  <c r="S36" s="1"/>
  <c r="N53"/>
  <c r="R53" s="1"/>
  <c r="S53" s="1"/>
  <c r="N78"/>
  <c r="R78" s="1"/>
  <c r="S78" s="1"/>
  <c r="N31"/>
  <c r="R31" s="1"/>
  <c r="S31" s="1"/>
  <c r="N85"/>
  <c r="R85" s="1"/>
  <c r="S85" s="1"/>
  <c r="N47"/>
  <c r="R47" s="1"/>
  <c r="S47" s="1"/>
  <c r="N34"/>
  <c r="R34" s="1"/>
  <c r="S34" s="1"/>
  <c r="O68" i="43"/>
  <c r="N69" i="44"/>
  <c r="R69" s="1"/>
  <c r="S69" s="1"/>
  <c r="N37"/>
  <c r="R37" s="1"/>
  <c r="S37" s="1"/>
  <c r="N28"/>
  <c r="R28" s="1"/>
  <c r="S28" s="1"/>
  <c r="N26"/>
  <c r="R26" s="1"/>
  <c r="S26" s="1"/>
  <c r="N16"/>
  <c r="R16" s="1"/>
  <c r="S16" s="1"/>
  <c r="O46" i="43"/>
  <c r="O35"/>
  <c r="O32"/>
  <c r="O19"/>
  <c r="R18"/>
  <c r="O15"/>
  <c r="N13"/>
  <c r="O18" i="42"/>
  <c r="N12"/>
  <c r="O12" s="1"/>
  <c r="O76"/>
  <c r="O35"/>
  <c r="O59"/>
  <c r="N12" i="1"/>
  <c r="K30" i="29"/>
  <c r="L30"/>
  <c r="J30"/>
  <c r="S18" i="43" l="1"/>
  <c r="R12"/>
  <c r="O89" i="44"/>
  <c r="N86"/>
  <c r="R86" s="1"/>
  <c r="S86" s="1"/>
  <c r="O31"/>
  <c r="O22"/>
  <c r="N59"/>
  <c r="R59" s="1"/>
  <c r="S59" s="1"/>
  <c r="O60"/>
  <c r="O56"/>
  <c r="O20"/>
  <c r="O39"/>
  <c r="O23"/>
  <c r="O67"/>
  <c r="N64"/>
  <c r="R64" s="1"/>
  <c r="S64" s="1"/>
  <c r="N54"/>
  <c r="R54" s="1"/>
  <c r="S54" s="1"/>
  <c r="O55"/>
  <c r="O38"/>
  <c r="N77"/>
  <c r="R77" s="1"/>
  <c r="S77" s="1"/>
  <c r="O78"/>
  <c r="O36"/>
  <c r="O61"/>
  <c r="O58"/>
  <c r="N57"/>
  <c r="R57" s="1"/>
  <c r="S57" s="1"/>
  <c r="O49"/>
  <c r="O27"/>
  <c r="O80"/>
  <c r="N79"/>
  <c r="R79" s="1"/>
  <c r="S79" s="1"/>
  <c r="O63"/>
  <c r="O62"/>
  <c r="N82"/>
  <c r="R82" s="1"/>
  <c r="S82" s="1"/>
  <c r="O83"/>
  <c r="O30"/>
  <c r="O24"/>
  <c r="O48"/>
  <c r="N46"/>
  <c r="R46" s="1"/>
  <c r="S46" s="1"/>
  <c r="O47"/>
  <c r="N52"/>
  <c r="R52" s="1"/>
  <c r="S52" s="1"/>
  <c r="O53"/>
  <c r="O21"/>
  <c r="O25"/>
  <c r="N73"/>
  <c r="R73" s="1"/>
  <c r="S73" s="1"/>
  <c r="O74"/>
  <c r="O81"/>
  <c r="O85"/>
  <c r="N84"/>
  <c r="R84" s="1"/>
  <c r="S84" s="1"/>
  <c r="O76" i="43"/>
  <c r="O70" i="44"/>
  <c r="O34"/>
  <c r="N32"/>
  <c r="R32" s="1"/>
  <c r="S32" s="1"/>
  <c r="N68"/>
  <c r="R68" s="1"/>
  <c r="S68" s="1"/>
  <c r="O69"/>
  <c r="N35"/>
  <c r="R35" s="1"/>
  <c r="S35" s="1"/>
  <c r="O37"/>
  <c r="O28"/>
  <c r="O26"/>
  <c r="N19"/>
  <c r="R19" s="1"/>
  <c r="S19" s="1"/>
  <c r="N15"/>
  <c r="R15" s="1"/>
  <c r="O16"/>
  <c r="O18" i="43"/>
  <c r="O13"/>
  <c r="N12"/>
  <c r="O12" s="1"/>
  <c r="M14" i="29"/>
  <c r="AD82"/>
  <c r="AC82"/>
  <c r="AB82"/>
  <c r="AA82"/>
  <c r="Z82"/>
  <c r="Y82"/>
  <c r="X82"/>
  <c r="W82"/>
  <c r="V82"/>
  <c r="U82"/>
  <c r="S82"/>
  <c r="AE81"/>
  <c r="AE80"/>
  <c r="AE79"/>
  <c r="T78"/>
  <c r="AE78" s="1"/>
  <c r="AE77"/>
  <c r="T76"/>
  <c r="AD74"/>
  <c r="AC74"/>
  <c r="AB74"/>
  <c r="AA74"/>
  <c r="Z74"/>
  <c r="Y74"/>
  <c r="X74"/>
  <c r="W74"/>
  <c r="U74"/>
  <c r="S74"/>
  <c r="AE73"/>
  <c r="AE72"/>
  <c r="AE71"/>
  <c r="AE70"/>
  <c r="AE69"/>
  <c r="V68"/>
  <c r="V74" s="1"/>
  <c r="T68"/>
  <c r="T74" s="1"/>
  <c r="AD66"/>
  <c r="AC66"/>
  <c r="AB66"/>
  <c r="AA66"/>
  <c r="Z66"/>
  <c r="Y66"/>
  <c r="X66"/>
  <c r="W66"/>
  <c r="V66"/>
  <c r="U66"/>
  <c r="T66"/>
  <c r="S66"/>
  <c r="AE65"/>
  <c r="AE64"/>
  <c r="AE63"/>
  <c r="AE62"/>
  <c r="AE61"/>
  <c r="AE60"/>
  <c r="AD58"/>
  <c r="AC58"/>
  <c r="AB58"/>
  <c r="AA58"/>
  <c r="Z58"/>
  <c r="Y58"/>
  <c r="X58"/>
  <c r="W58"/>
  <c r="U58"/>
  <c r="S58"/>
  <c r="AE57"/>
  <c r="AE56"/>
  <c r="AE55"/>
  <c r="AE54"/>
  <c r="AE53"/>
  <c r="V52"/>
  <c r="V58" s="1"/>
  <c r="T52"/>
  <c r="T58" s="1"/>
  <c r="AD50"/>
  <c r="AC50"/>
  <c r="AB50"/>
  <c r="AA50"/>
  <c r="Z50"/>
  <c r="Y50"/>
  <c r="X50"/>
  <c r="W50"/>
  <c r="V50"/>
  <c r="T50"/>
  <c r="AE49"/>
  <c r="AE48"/>
  <c r="AE47"/>
  <c r="AE46"/>
  <c r="AE45"/>
  <c r="U44"/>
  <c r="U50" s="1"/>
  <c r="AD42"/>
  <c r="AC42"/>
  <c r="AB42"/>
  <c r="AA42"/>
  <c r="Z42"/>
  <c r="Y42"/>
  <c r="X42"/>
  <c r="W42"/>
  <c r="U42"/>
  <c r="AE41"/>
  <c r="AG40"/>
  <c r="AE40"/>
  <c r="AG39"/>
  <c r="AE39"/>
  <c r="AG38"/>
  <c r="AE38"/>
  <c r="AG37"/>
  <c r="AE37"/>
  <c r="AG36"/>
  <c r="V36"/>
  <c r="V42" s="1"/>
  <c r="T36"/>
  <c r="T42" s="1"/>
  <c r="AD33"/>
  <c r="AC33"/>
  <c r="AB33"/>
  <c r="AA33"/>
  <c r="Z33"/>
  <c r="Y33"/>
  <c r="X33"/>
  <c r="W33"/>
  <c r="V33"/>
  <c r="U33"/>
  <c r="T33"/>
  <c r="AE32"/>
  <c r="AE31"/>
  <c r="AE30"/>
  <c r="AH29"/>
  <c r="AE29"/>
  <c r="M29"/>
  <c r="AE28"/>
  <c r="M28"/>
  <c r="AH27"/>
  <c r="AE27"/>
  <c r="M27"/>
  <c r="U14"/>
  <c r="M11"/>
  <c r="M10"/>
  <c r="Q9"/>
  <c r="M9"/>
  <c r="K8"/>
  <c r="S15" i="44" l="1"/>
  <c r="R13"/>
  <c r="S13" s="1"/>
  <c r="S12" i="43"/>
  <c r="L8" i="21"/>
  <c r="O86" i="44"/>
  <c r="N89" i="45"/>
  <c r="R89" s="1"/>
  <c r="S89" s="1"/>
  <c r="N81"/>
  <c r="R81" s="1"/>
  <c r="S81" s="1"/>
  <c r="N27"/>
  <c r="R27" s="1"/>
  <c r="S27" s="1"/>
  <c r="N78"/>
  <c r="R78" s="1"/>
  <c r="S78" s="1"/>
  <c r="N56"/>
  <c r="R56" s="1"/>
  <c r="S56" s="1"/>
  <c r="N22"/>
  <c r="R22" s="1"/>
  <c r="S22" s="1"/>
  <c r="T22" s="1"/>
  <c r="T18" s="1"/>
  <c r="T12" s="1"/>
  <c r="N70"/>
  <c r="R70" s="1"/>
  <c r="S70" s="1"/>
  <c r="N85"/>
  <c r="R85" s="1"/>
  <c r="S85" s="1"/>
  <c r="N25"/>
  <c r="R25" s="1"/>
  <c r="S25" s="1"/>
  <c r="N47"/>
  <c r="R47" s="1"/>
  <c r="S47" s="1"/>
  <c r="N24"/>
  <c r="R24" s="1"/>
  <c r="S24" s="1"/>
  <c r="N83"/>
  <c r="R83" s="1"/>
  <c r="S83" s="1"/>
  <c r="N49"/>
  <c r="R49" s="1"/>
  <c r="S49" s="1"/>
  <c r="N36"/>
  <c r="R36" s="1"/>
  <c r="S36" s="1"/>
  <c r="N38"/>
  <c r="R38" s="1"/>
  <c r="S38" s="1"/>
  <c r="O54" i="44"/>
  <c r="N20" i="45"/>
  <c r="R20" s="1"/>
  <c r="S20" s="1"/>
  <c r="O84" i="44"/>
  <c r="N53" i="45"/>
  <c r="R53" s="1"/>
  <c r="S53" s="1"/>
  <c r="O46" i="44"/>
  <c r="N63" i="45"/>
  <c r="R63" s="1"/>
  <c r="S63" s="1"/>
  <c r="N80"/>
  <c r="R80" s="1"/>
  <c r="S80" s="1"/>
  <c r="O64" i="44"/>
  <c r="N23" i="45"/>
  <c r="R23" s="1"/>
  <c r="S23" s="1"/>
  <c r="N60"/>
  <c r="R60" s="1"/>
  <c r="S60" s="1"/>
  <c r="N31"/>
  <c r="R31" s="1"/>
  <c r="S31" s="1"/>
  <c r="N74"/>
  <c r="R74" s="1"/>
  <c r="S74" s="1"/>
  <c r="N48"/>
  <c r="R48" s="1"/>
  <c r="S48" s="1"/>
  <c r="N62"/>
  <c r="R62" s="1"/>
  <c r="S62" s="1"/>
  <c r="O79" i="44"/>
  <c r="O57"/>
  <c r="N67" i="45"/>
  <c r="R67" s="1"/>
  <c r="S67" s="1"/>
  <c r="O73" i="44"/>
  <c r="N21" i="45"/>
  <c r="R21" s="1"/>
  <c r="S21" s="1"/>
  <c r="O52" i="44"/>
  <c r="N30" i="45"/>
  <c r="R30" s="1"/>
  <c r="S30" s="1"/>
  <c r="O82" i="44"/>
  <c r="N58" i="45"/>
  <c r="R58" s="1"/>
  <c r="S58" s="1"/>
  <c r="N61"/>
  <c r="R61" s="1"/>
  <c r="S61" s="1"/>
  <c r="O77" i="44"/>
  <c r="N76"/>
  <c r="R76" s="1"/>
  <c r="S76" s="1"/>
  <c r="N55" i="45"/>
  <c r="R55" s="1"/>
  <c r="S55" s="1"/>
  <c r="N39"/>
  <c r="R39" s="1"/>
  <c r="S39" s="1"/>
  <c r="O59" i="44"/>
  <c r="N34" i="45"/>
  <c r="R34" s="1"/>
  <c r="S34" s="1"/>
  <c r="O32" i="44"/>
  <c r="O68"/>
  <c r="N69" i="45"/>
  <c r="R69" s="1"/>
  <c r="S69" s="1"/>
  <c r="O35" i="44"/>
  <c r="N37" i="45"/>
  <c r="R37" s="1"/>
  <c r="S37" s="1"/>
  <c r="N28"/>
  <c r="R28" s="1"/>
  <c r="S28" s="1"/>
  <c r="O19" i="44"/>
  <c r="R18"/>
  <c r="N26" i="45"/>
  <c r="R26" s="1"/>
  <c r="S26" s="1"/>
  <c r="N16"/>
  <c r="R16" s="1"/>
  <c r="S16" s="1"/>
  <c r="N13" i="44"/>
  <c r="O15"/>
  <c r="AE44" i="29"/>
  <c r="AE50" s="1"/>
  <c r="AF40"/>
  <c r="AH40" s="1"/>
  <c r="AF38"/>
  <c r="AH38" s="1"/>
  <c r="AF39"/>
  <c r="AH39" s="1"/>
  <c r="AE66"/>
  <c r="AE68"/>
  <c r="AE74" s="1"/>
  <c r="AF37"/>
  <c r="AH37" s="1"/>
  <c r="AE52"/>
  <c r="AE58" s="1"/>
  <c r="T82"/>
  <c r="M30"/>
  <c r="AE33"/>
  <c r="AE76"/>
  <c r="AE82" s="1"/>
  <c r="M13"/>
  <c r="AG76"/>
  <c r="AE36"/>
  <c r="L26" i="25"/>
  <c r="L27"/>
  <c r="L28"/>
  <c r="S18" i="44" l="1"/>
  <c r="R12"/>
  <c r="S12" s="1"/>
  <c r="O89" i="45"/>
  <c r="N86"/>
  <c r="R86" s="1"/>
  <c r="S86" s="1"/>
  <c r="N52"/>
  <c r="R52" s="1"/>
  <c r="S52" s="1"/>
  <c r="O53"/>
  <c r="O49"/>
  <c r="O24"/>
  <c r="O70"/>
  <c r="O56"/>
  <c r="O27"/>
  <c r="O39"/>
  <c r="O61"/>
  <c r="O62"/>
  <c r="O38"/>
  <c r="N57"/>
  <c r="R57" s="1"/>
  <c r="S57" s="1"/>
  <c r="O58"/>
  <c r="O21"/>
  <c r="O67"/>
  <c r="N64"/>
  <c r="R64" s="1"/>
  <c r="S64" s="1"/>
  <c r="O48"/>
  <c r="O31"/>
  <c r="O23"/>
  <c r="N79"/>
  <c r="R79" s="1"/>
  <c r="S79" s="1"/>
  <c r="O80"/>
  <c r="O36"/>
  <c r="O83"/>
  <c r="N82"/>
  <c r="R82" s="1"/>
  <c r="S82" s="1"/>
  <c r="O47"/>
  <c r="N46"/>
  <c r="R46" s="1"/>
  <c r="S46" s="1"/>
  <c r="N84"/>
  <c r="R84" s="1"/>
  <c r="S84" s="1"/>
  <c r="O85"/>
  <c r="O22"/>
  <c r="N77"/>
  <c r="R77" s="1"/>
  <c r="S77" s="1"/>
  <c r="O78"/>
  <c r="O81"/>
  <c r="N73"/>
  <c r="R73" s="1"/>
  <c r="S73" s="1"/>
  <c r="O74"/>
  <c r="O60"/>
  <c r="N59"/>
  <c r="R59" s="1"/>
  <c r="S59" s="1"/>
  <c r="O63"/>
  <c r="O20"/>
  <c r="O25"/>
  <c r="O76" i="44"/>
  <c r="O30" i="45"/>
  <c r="O55"/>
  <c r="N54"/>
  <c r="R54" s="1"/>
  <c r="S54" s="1"/>
  <c r="N32"/>
  <c r="R32" s="1"/>
  <c r="S32" s="1"/>
  <c r="O34"/>
  <c r="N68"/>
  <c r="R68" s="1"/>
  <c r="S68" s="1"/>
  <c r="O69"/>
  <c r="N35"/>
  <c r="R35" s="1"/>
  <c r="S35" s="1"/>
  <c r="O37"/>
  <c r="O28"/>
  <c r="O18" i="44"/>
  <c r="O26" i="45"/>
  <c r="N19"/>
  <c r="R19" s="1"/>
  <c r="S19" s="1"/>
  <c r="O13" i="44"/>
  <c r="N12"/>
  <c r="O12" s="1"/>
  <c r="O16" i="45"/>
  <c r="N15"/>
  <c r="R15" s="1"/>
  <c r="L29" i="25"/>
  <c r="AF36" i="29"/>
  <c r="AH36" s="1"/>
  <c r="AE42"/>
  <c r="E6" i="28"/>
  <c r="C6"/>
  <c r="B6"/>
  <c r="F5"/>
  <c r="D5"/>
  <c r="F4"/>
  <c r="D4"/>
  <c r="F6" l="1"/>
  <c r="S15" i="45"/>
  <c r="R13"/>
  <c r="S13" s="1"/>
  <c r="O86"/>
  <c r="N89" i="46"/>
  <c r="R89" s="1"/>
  <c r="S89" s="1"/>
  <c r="N25"/>
  <c r="R25" s="1"/>
  <c r="S25" s="1"/>
  <c r="N36"/>
  <c r="R36" s="1"/>
  <c r="S36" s="1"/>
  <c r="N38"/>
  <c r="R38" s="1"/>
  <c r="S38" s="1"/>
  <c r="N61"/>
  <c r="R61" s="1"/>
  <c r="S61" s="1"/>
  <c r="N70"/>
  <c r="R70" s="1"/>
  <c r="S70" s="1"/>
  <c r="N55"/>
  <c r="R55" s="1"/>
  <c r="S55" s="1"/>
  <c r="N30"/>
  <c r="R30" s="1"/>
  <c r="S30" s="1"/>
  <c r="N81"/>
  <c r="R81" s="1"/>
  <c r="S81" s="1"/>
  <c r="N22"/>
  <c r="R22" s="1"/>
  <c r="S22" s="1"/>
  <c r="T22" s="1"/>
  <c r="T18" s="1"/>
  <c r="T12" s="1"/>
  <c r="O84" i="45"/>
  <c r="N83" i="46"/>
  <c r="R83" s="1"/>
  <c r="S83" s="1"/>
  <c r="N23"/>
  <c r="R23" s="1"/>
  <c r="S23" s="1"/>
  <c r="N67"/>
  <c r="R67" s="1"/>
  <c r="S67" s="1"/>
  <c r="N39"/>
  <c r="R39" s="1"/>
  <c r="S39" s="1"/>
  <c r="N56"/>
  <c r="R56" s="1"/>
  <c r="S56" s="1"/>
  <c r="N31"/>
  <c r="R31" s="1"/>
  <c r="S31" s="1"/>
  <c r="N60"/>
  <c r="R60" s="1"/>
  <c r="S60" s="1"/>
  <c r="N74"/>
  <c r="R74" s="1"/>
  <c r="S74" s="1"/>
  <c r="N47"/>
  <c r="R47" s="1"/>
  <c r="S47" s="1"/>
  <c r="O82" i="45"/>
  <c r="N48" i="46"/>
  <c r="R48" s="1"/>
  <c r="S48" s="1"/>
  <c r="O57" i="45"/>
  <c r="N62" i="46"/>
  <c r="R62" s="1"/>
  <c r="S62" s="1"/>
  <c r="N24"/>
  <c r="R24" s="1"/>
  <c r="S24" s="1"/>
  <c r="O52" i="45"/>
  <c r="N63" i="46"/>
  <c r="R63" s="1"/>
  <c r="S63" s="1"/>
  <c r="N78"/>
  <c r="R78" s="1"/>
  <c r="S78" s="1"/>
  <c r="N80"/>
  <c r="R80" s="1"/>
  <c r="S80" s="1"/>
  <c r="N58"/>
  <c r="R58" s="1"/>
  <c r="S58" s="1"/>
  <c r="N27"/>
  <c r="R27" s="1"/>
  <c r="S27" s="1"/>
  <c r="O54" i="45"/>
  <c r="N20" i="46"/>
  <c r="R20" s="1"/>
  <c r="S20" s="1"/>
  <c r="O59" i="45"/>
  <c r="O73"/>
  <c r="N76"/>
  <c r="R76" s="1"/>
  <c r="S76" s="1"/>
  <c r="O77"/>
  <c r="N85" i="46"/>
  <c r="R85" s="1"/>
  <c r="S85" s="1"/>
  <c r="O46" i="45"/>
  <c r="O79"/>
  <c r="O64"/>
  <c r="N21" i="46"/>
  <c r="R21" s="1"/>
  <c r="S21" s="1"/>
  <c r="N49"/>
  <c r="R49" s="1"/>
  <c r="S49" s="1"/>
  <c r="N53"/>
  <c r="R53" s="1"/>
  <c r="S53" s="1"/>
  <c r="N34"/>
  <c r="R34" s="1"/>
  <c r="S34" s="1"/>
  <c r="O32" i="45"/>
  <c r="N69" i="46"/>
  <c r="R69" s="1"/>
  <c r="S69" s="1"/>
  <c r="O68" i="45"/>
  <c r="O35"/>
  <c r="N37" i="46"/>
  <c r="R37" s="1"/>
  <c r="S37" s="1"/>
  <c r="N28"/>
  <c r="R28" s="1"/>
  <c r="S28" s="1"/>
  <c r="N26"/>
  <c r="R26" s="1"/>
  <c r="S26" s="1"/>
  <c r="R18" i="45"/>
  <c r="O19"/>
  <c r="O15"/>
  <c r="N13"/>
  <c r="N16" i="46"/>
  <c r="R16" s="1"/>
  <c r="S16" s="1"/>
  <c r="D6" i="28"/>
  <c r="Y71" i="23"/>
  <c r="S18" i="45" l="1"/>
  <c r="R12"/>
  <c r="S12" s="1"/>
  <c r="O89" i="46"/>
  <c r="N86"/>
  <c r="R86" s="1"/>
  <c r="S86" s="1"/>
  <c r="N79"/>
  <c r="R79" s="1"/>
  <c r="S79" s="1"/>
  <c r="O80"/>
  <c r="O39"/>
  <c r="O81"/>
  <c r="N54"/>
  <c r="R54" s="1"/>
  <c r="S54" s="1"/>
  <c r="O55"/>
  <c r="O61"/>
  <c r="O36"/>
  <c r="O49"/>
  <c r="O27"/>
  <c r="N73"/>
  <c r="R73" s="1"/>
  <c r="S73" s="1"/>
  <c r="O74"/>
  <c r="O58"/>
  <c r="N57"/>
  <c r="R57" s="1"/>
  <c r="S57" s="1"/>
  <c r="N77"/>
  <c r="R77" s="1"/>
  <c r="S77" s="1"/>
  <c r="O78"/>
  <c r="O62"/>
  <c r="O48"/>
  <c r="N46"/>
  <c r="R46" s="1"/>
  <c r="S46" s="1"/>
  <c r="O47"/>
  <c r="N59"/>
  <c r="R59" s="1"/>
  <c r="S59" s="1"/>
  <c r="O60"/>
  <c r="O56"/>
  <c r="O67"/>
  <c r="N64"/>
  <c r="R64" s="1"/>
  <c r="S64" s="1"/>
  <c r="O83"/>
  <c r="N82"/>
  <c r="R82" s="1"/>
  <c r="S82" s="1"/>
  <c r="O22"/>
  <c r="O30"/>
  <c r="O70"/>
  <c r="O38"/>
  <c r="O25"/>
  <c r="O20"/>
  <c r="O63"/>
  <c r="O24"/>
  <c r="O31"/>
  <c r="O23"/>
  <c r="O53"/>
  <c r="N52"/>
  <c r="R52" s="1"/>
  <c r="S52" s="1"/>
  <c r="O21"/>
  <c r="O85"/>
  <c r="N84"/>
  <c r="R84" s="1"/>
  <c r="S84" s="1"/>
  <c r="O76" i="45"/>
  <c r="O34" i="46"/>
  <c r="N32"/>
  <c r="R32" s="1"/>
  <c r="S32" s="1"/>
  <c r="O69"/>
  <c r="N68"/>
  <c r="R68" s="1"/>
  <c r="S68" s="1"/>
  <c r="O37"/>
  <c r="N35"/>
  <c r="R35" s="1"/>
  <c r="S35" s="1"/>
  <c r="O28"/>
  <c r="O18" i="45"/>
  <c r="O26" i="46"/>
  <c r="N19"/>
  <c r="R19" s="1"/>
  <c r="S19" s="1"/>
  <c r="O13" i="45"/>
  <c r="N12"/>
  <c r="O12" s="1"/>
  <c r="N15" i="46"/>
  <c r="R15" s="1"/>
  <c r="O16"/>
  <c r="AA71" i="23"/>
  <c r="S15" i="46" l="1"/>
  <c r="R13"/>
  <c r="S13" s="1"/>
  <c r="O86"/>
  <c r="N89" i="47"/>
  <c r="R89" s="1"/>
  <c r="S89" s="1"/>
  <c r="N38"/>
  <c r="R38" s="1"/>
  <c r="S38" s="1"/>
  <c r="O46" i="46"/>
  <c r="N58" i="47"/>
  <c r="R58" s="1"/>
  <c r="S58" s="1"/>
  <c r="N55"/>
  <c r="R55" s="1"/>
  <c r="S55" s="1"/>
  <c r="N31"/>
  <c r="R31" s="1"/>
  <c r="S31" s="1"/>
  <c r="N22"/>
  <c r="R22" s="1"/>
  <c r="S22" s="1"/>
  <c r="T22" s="1"/>
  <c r="T18" s="1"/>
  <c r="T12" s="1"/>
  <c r="N56"/>
  <c r="R56" s="1"/>
  <c r="S56" s="1"/>
  <c r="O59" i="46"/>
  <c r="O57"/>
  <c r="N74" i="47"/>
  <c r="R74" s="1"/>
  <c r="S74" s="1"/>
  <c r="N49"/>
  <c r="R49" s="1"/>
  <c r="S49" s="1"/>
  <c r="N61"/>
  <c r="R61" s="1"/>
  <c r="S61" s="1"/>
  <c r="N24"/>
  <c r="R24" s="1"/>
  <c r="S24" s="1"/>
  <c r="N67"/>
  <c r="R67" s="1"/>
  <c r="S67" s="1"/>
  <c r="N63"/>
  <c r="R63" s="1"/>
  <c r="S63" s="1"/>
  <c r="N25"/>
  <c r="R25" s="1"/>
  <c r="S25" s="1"/>
  <c r="N70"/>
  <c r="R70" s="1"/>
  <c r="S70" s="1"/>
  <c r="O64" i="46"/>
  <c r="N48" i="47"/>
  <c r="R48" s="1"/>
  <c r="S48" s="1"/>
  <c r="N76" i="46"/>
  <c r="R76" s="1"/>
  <c r="S76" s="1"/>
  <c r="O77"/>
  <c r="N36" i="47"/>
  <c r="R36" s="1"/>
  <c r="S36" s="1"/>
  <c r="N81"/>
  <c r="R81" s="1"/>
  <c r="S81" s="1"/>
  <c r="O79" i="46"/>
  <c r="O84"/>
  <c r="O52"/>
  <c r="N20" i="47"/>
  <c r="R20" s="1"/>
  <c r="S20" s="1"/>
  <c r="N30"/>
  <c r="R30" s="1"/>
  <c r="S30" s="1"/>
  <c r="O82" i="46"/>
  <c r="N62" i="47"/>
  <c r="R62" s="1"/>
  <c r="S62" s="1"/>
  <c r="O73" i="46"/>
  <c r="N53" i="47"/>
  <c r="R53" s="1"/>
  <c r="S53" s="1"/>
  <c r="N85"/>
  <c r="R85" s="1"/>
  <c r="S85" s="1"/>
  <c r="N21"/>
  <c r="R21" s="1"/>
  <c r="S21" s="1"/>
  <c r="N23"/>
  <c r="R23" s="1"/>
  <c r="S23" s="1"/>
  <c r="N83"/>
  <c r="R83" s="1"/>
  <c r="S83" s="1"/>
  <c r="N60"/>
  <c r="R60" s="1"/>
  <c r="S60" s="1"/>
  <c r="N47"/>
  <c r="R47" s="1"/>
  <c r="S47" s="1"/>
  <c r="N78"/>
  <c r="R78" s="1"/>
  <c r="S78" s="1"/>
  <c r="N27"/>
  <c r="R27" s="1"/>
  <c r="S27" s="1"/>
  <c r="O54" i="46"/>
  <c r="N39" i="47"/>
  <c r="R39" s="1"/>
  <c r="S39" s="1"/>
  <c r="N80"/>
  <c r="R80" s="1"/>
  <c r="S80" s="1"/>
  <c r="O32" i="46"/>
  <c r="N34" i="47"/>
  <c r="R34" s="1"/>
  <c r="S34" s="1"/>
  <c r="N69"/>
  <c r="R69" s="1"/>
  <c r="S69" s="1"/>
  <c r="O68" i="46"/>
  <c r="N37" i="47"/>
  <c r="R37" s="1"/>
  <c r="S37" s="1"/>
  <c r="O35" i="46"/>
  <c r="N28" i="47"/>
  <c r="R28" s="1"/>
  <c r="S28" s="1"/>
  <c r="N26"/>
  <c r="R26" s="1"/>
  <c r="S26" s="1"/>
  <c r="O19" i="46"/>
  <c r="R18"/>
  <c r="R12" s="1"/>
  <c r="N16" i="47"/>
  <c r="R16" s="1"/>
  <c r="S16" s="1"/>
  <c r="N13" i="46"/>
  <c r="O15"/>
  <c r="L23" i="17"/>
  <c r="C11" i="26"/>
  <c r="L19" i="17"/>
  <c r="L20"/>
  <c r="L18"/>
  <c r="J12"/>
  <c r="J24" s="1"/>
  <c r="S18" i="46" l="1"/>
  <c r="S12"/>
  <c r="O89" i="47"/>
  <c r="N86"/>
  <c r="R86" s="1"/>
  <c r="S86" s="1"/>
  <c r="O61"/>
  <c r="O22"/>
  <c r="O39"/>
  <c r="O27"/>
  <c r="N46"/>
  <c r="R46" s="1"/>
  <c r="S46" s="1"/>
  <c r="O47"/>
  <c r="O83"/>
  <c r="N82"/>
  <c r="R82" s="1"/>
  <c r="S82" s="1"/>
  <c r="O21"/>
  <c r="N52"/>
  <c r="R52" s="1"/>
  <c r="S52" s="1"/>
  <c r="O53"/>
  <c r="O62"/>
  <c r="O30"/>
  <c r="O36"/>
  <c r="O76" i="46"/>
  <c r="O25" i="47"/>
  <c r="O48"/>
  <c r="O70"/>
  <c r="O63"/>
  <c r="O24"/>
  <c r="O49"/>
  <c r="O56"/>
  <c r="O31"/>
  <c r="N57"/>
  <c r="R57" s="1"/>
  <c r="S57" s="1"/>
  <c r="O58"/>
  <c r="O38"/>
  <c r="O67"/>
  <c r="N64"/>
  <c r="R64" s="1"/>
  <c r="S64" s="1"/>
  <c r="O74"/>
  <c r="N73"/>
  <c r="R73" s="1"/>
  <c r="S73" s="1"/>
  <c r="N54"/>
  <c r="R54" s="1"/>
  <c r="S54" s="1"/>
  <c r="O55"/>
  <c r="O80"/>
  <c r="N79"/>
  <c r="R79" s="1"/>
  <c r="S79" s="1"/>
  <c r="N77"/>
  <c r="R77" s="1"/>
  <c r="S77" s="1"/>
  <c r="O78"/>
  <c r="N59"/>
  <c r="R59" s="1"/>
  <c r="S59" s="1"/>
  <c r="O60"/>
  <c r="O23"/>
  <c r="O85"/>
  <c r="N84"/>
  <c r="R84" s="1"/>
  <c r="S84" s="1"/>
  <c r="O20"/>
  <c r="O81"/>
  <c r="N32"/>
  <c r="R32" s="1"/>
  <c r="S32" s="1"/>
  <c r="O34"/>
  <c r="O69"/>
  <c r="N68"/>
  <c r="R68" s="1"/>
  <c r="S68" s="1"/>
  <c r="N35"/>
  <c r="R35" s="1"/>
  <c r="S35" s="1"/>
  <c r="O37"/>
  <c r="O28"/>
  <c r="O26"/>
  <c r="N19"/>
  <c r="R19" s="1"/>
  <c r="S19" s="1"/>
  <c r="O18" i="46"/>
  <c r="O13"/>
  <c r="N12"/>
  <c r="O12" s="1"/>
  <c r="N15" i="47"/>
  <c r="R15" s="1"/>
  <c r="O16"/>
  <c r="E11" i="26"/>
  <c r="F11" s="1"/>
  <c r="H11" s="1"/>
  <c r="D9"/>
  <c r="E9" s="1"/>
  <c r="F9" s="1"/>
  <c r="G9" s="1"/>
  <c r="C9"/>
  <c r="S15" i="47" l="1"/>
  <c r="R13"/>
  <c r="S13" s="1"/>
  <c r="O86"/>
  <c r="N89" i="48"/>
  <c r="R89" s="1"/>
  <c r="S89" s="1"/>
  <c r="O59" i="47"/>
  <c r="N55" i="48"/>
  <c r="R55" s="1"/>
  <c r="S55" s="1"/>
  <c r="N58"/>
  <c r="R58" s="1"/>
  <c r="S58" s="1"/>
  <c r="N24"/>
  <c r="R24" s="1"/>
  <c r="S24" s="1"/>
  <c r="N85"/>
  <c r="R85" s="1"/>
  <c r="S85" s="1"/>
  <c r="O54" i="47"/>
  <c r="N49" i="48"/>
  <c r="R49" s="1"/>
  <c r="S49" s="1"/>
  <c r="N30"/>
  <c r="R30" s="1"/>
  <c r="S30" s="1"/>
  <c r="O84" i="47"/>
  <c r="N60" i="48"/>
  <c r="R60" s="1"/>
  <c r="S60" s="1"/>
  <c r="N76" i="47"/>
  <c r="R76" s="1"/>
  <c r="S76" s="1"/>
  <c r="O77"/>
  <c r="O73"/>
  <c r="N67" i="48"/>
  <c r="R67" s="1"/>
  <c r="S67" s="1"/>
  <c r="N48"/>
  <c r="R48" s="1"/>
  <c r="S48" s="1"/>
  <c r="N53"/>
  <c r="R53" s="1"/>
  <c r="S53" s="1"/>
  <c r="N83"/>
  <c r="R83" s="1"/>
  <c r="S83" s="1"/>
  <c r="N47"/>
  <c r="R47" s="1"/>
  <c r="S47" s="1"/>
  <c r="N39"/>
  <c r="R39" s="1"/>
  <c r="S39" s="1"/>
  <c r="N61"/>
  <c r="R61" s="1"/>
  <c r="S61" s="1"/>
  <c r="O79" i="47"/>
  <c r="N38" i="48"/>
  <c r="R38" s="1"/>
  <c r="S38" s="1"/>
  <c r="N56"/>
  <c r="R56" s="1"/>
  <c r="S56" s="1"/>
  <c r="N22"/>
  <c r="R22" s="1"/>
  <c r="S22" s="1"/>
  <c r="T22" s="1"/>
  <c r="T18" s="1"/>
  <c r="T12" s="1"/>
  <c r="N81"/>
  <c r="R81" s="1"/>
  <c r="S81" s="1"/>
  <c r="N23"/>
  <c r="R23" s="1"/>
  <c r="S23" s="1"/>
  <c r="N80"/>
  <c r="R80" s="1"/>
  <c r="S80" s="1"/>
  <c r="O64" i="47"/>
  <c r="N31" i="48"/>
  <c r="R31" s="1"/>
  <c r="S31" s="1"/>
  <c r="N63"/>
  <c r="R63" s="1"/>
  <c r="S63" s="1"/>
  <c r="N21"/>
  <c r="R21" s="1"/>
  <c r="S21" s="1"/>
  <c r="N27"/>
  <c r="R27" s="1"/>
  <c r="S27" s="1"/>
  <c r="N20"/>
  <c r="R20" s="1"/>
  <c r="S20" s="1"/>
  <c r="N78"/>
  <c r="R78" s="1"/>
  <c r="S78" s="1"/>
  <c r="N74"/>
  <c r="R74" s="1"/>
  <c r="S74" s="1"/>
  <c r="O57" i="47"/>
  <c r="N70" i="48"/>
  <c r="R70" s="1"/>
  <c r="S70" s="1"/>
  <c r="N25"/>
  <c r="R25" s="1"/>
  <c r="S25" s="1"/>
  <c r="N36"/>
  <c r="R36" s="1"/>
  <c r="S36" s="1"/>
  <c r="N62"/>
  <c r="R62" s="1"/>
  <c r="S62" s="1"/>
  <c r="O52" i="47"/>
  <c r="O82"/>
  <c r="O46"/>
  <c r="O32"/>
  <c r="N34" i="48"/>
  <c r="R34" s="1"/>
  <c r="S34" s="1"/>
  <c r="O68" i="47"/>
  <c r="N69" i="48"/>
  <c r="R69" s="1"/>
  <c r="S69" s="1"/>
  <c r="N37"/>
  <c r="R37" s="1"/>
  <c r="S37" s="1"/>
  <c r="O35" i="47"/>
  <c r="N28" i="48"/>
  <c r="R28" s="1"/>
  <c r="S28" s="1"/>
  <c r="R18" i="47"/>
  <c r="O19"/>
  <c r="N26" i="48"/>
  <c r="R26" s="1"/>
  <c r="S26" s="1"/>
  <c r="N16"/>
  <c r="R16" s="1"/>
  <c r="S16" s="1"/>
  <c r="N13" i="47"/>
  <c r="O15"/>
  <c r="I11" i="26"/>
  <c r="J11"/>
  <c r="I9"/>
  <c r="J9"/>
  <c r="S18" i="47" l="1"/>
  <c r="R12"/>
  <c r="S12" s="1"/>
  <c r="O89" i="48"/>
  <c r="N86"/>
  <c r="R86" s="1"/>
  <c r="S86" s="1"/>
  <c r="O24"/>
  <c r="O62"/>
  <c r="O25"/>
  <c r="N77"/>
  <c r="R77" s="1"/>
  <c r="S77" s="1"/>
  <c r="O78"/>
  <c r="O27"/>
  <c r="O63"/>
  <c r="O23"/>
  <c r="O22"/>
  <c r="O38"/>
  <c r="O61"/>
  <c r="N46"/>
  <c r="R46" s="1"/>
  <c r="S46" s="1"/>
  <c r="O47"/>
  <c r="O53"/>
  <c r="N52"/>
  <c r="R52" s="1"/>
  <c r="S52" s="1"/>
  <c r="O67"/>
  <c r="N64"/>
  <c r="R64" s="1"/>
  <c r="S64" s="1"/>
  <c r="N59"/>
  <c r="R59" s="1"/>
  <c r="S59" s="1"/>
  <c r="O60"/>
  <c r="O30"/>
  <c r="N54"/>
  <c r="R54" s="1"/>
  <c r="S54" s="1"/>
  <c r="O55"/>
  <c r="O49"/>
  <c r="O85"/>
  <c r="N84"/>
  <c r="R84" s="1"/>
  <c r="S84" s="1"/>
  <c r="O58"/>
  <c r="N57"/>
  <c r="R57" s="1"/>
  <c r="S57" s="1"/>
  <c r="O36"/>
  <c r="O70"/>
  <c r="O74"/>
  <c r="N73"/>
  <c r="R73" s="1"/>
  <c r="S73" s="1"/>
  <c r="O20"/>
  <c r="O21"/>
  <c r="O31"/>
  <c r="N79"/>
  <c r="R79" s="1"/>
  <c r="S79" s="1"/>
  <c r="O80"/>
  <c r="O81"/>
  <c r="O56"/>
  <c r="O39"/>
  <c r="N82"/>
  <c r="R82" s="1"/>
  <c r="S82" s="1"/>
  <c r="O83"/>
  <c r="O48"/>
  <c r="O76" i="47"/>
  <c r="O34" i="48"/>
  <c r="N32"/>
  <c r="R32" s="1"/>
  <c r="S32" s="1"/>
  <c r="N68"/>
  <c r="R68" s="1"/>
  <c r="S68" s="1"/>
  <c r="O69"/>
  <c r="O37"/>
  <c r="N35"/>
  <c r="R35" s="1"/>
  <c r="S35" s="1"/>
  <c r="O28"/>
  <c r="O18" i="47"/>
  <c r="O26" i="48"/>
  <c r="N19"/>
  <c r="O13" i="47"/>
  <c r="N12"/>
  <c r="O12" s="1"/>
  <c r="N15" i="48"/>
  <c r="R15" s="1"/>
  <c r="O16"/>
  <c r="E21" i="26"/>
  <c r="R19" i="48" l="1"/>
  <c r="S19" s="1"/>
  <c r="R18"/>
  <c r="S15"/>
  <c r="R13"/>
  <c r="S13" s="1"/>
  <c r="O86"/>
  <c r="N89" i="49"/>
  <c r="R89" s="1"/>
  <c r="S89" s="1"/>
  <c r="N48"/>
  <c r="R48" s="1"/>
  <c r="S48" s="1"/>
  <c r="N36"/>
  <c r="R36" s="1"/>
  <c r="S36" s="1"/>
  <c r="N20"/>
  <c r="R20" s="1"/>
  <c r="S20" s="1"/>
  <c r="N47"/>
  <c r="R47" s="1"/>
  <c r="S47" s="1"/>
  <c r="N78"/>
  <c r="R78" s="1"/>
  <c r="S78" s="1"/>
  <c r="N81"/>
  <c r="R81" s="1"/>
  <c r="S81" s="1"/>
  <c r="O73" i="48"/>
  <c r="N49" i="49"/>
  <c r="R49" s="1"/>
  <c r="S49" s="1"/>
  <c r="O77" i="48"/>
  <c r="N76"/>
  <c r="R76" s="1"/>
  <c r="S76" s="1"/>
  <c r="O84"/>
  <c r="N53" i="49"/>
  <c r="R53" s="1"/>
  <c r="S53" s="1"/>
  <c r="N83"/>
  <c r="R83" s="1"/>
  <c r="S83" s="1"/>
  <c r="N56"/>
  <c r="R56" s="1"/>
  <c r="S56" s="1"/>
  <c r="N31"/>
  <c r="R31" s="1"/>
  <c r="S31" s="1"/>
  <c r="N70"/>
  <c r="R70" s="1"/>
  <c r="S70" s="1"/>
  <c r="N58"/>
  <c r="R58" s="1"/>
  <c r="S58" s="1"/>
  <c r="N85"/>
  <c r="R85" s="1"/>
  <c r="S85" s="1"/>
  <c r="N55"/>
  <c r="R55" s="1"/>
  <c r="S55" s="1"/>
  <c r="N30"/>
  <c r="R30" s="1"/>
  <c r="S30" s="1"/>
  <c r="O64" i="48"/>
  <c r="O52"/>
  <c r="O46"/>
  <c r="N38" i="49"/>
  <c r="R38" s="1"/>
  <c r="S38" s="1"/>
  <c r="N23"/>
  <c r="R23" s="1"/>
  <c r="S23" s="1"/>
  <c r="N27"/>
  <c r="R27" s="1"/>
  <c r="S27" s="1"/>
  <c r="N39"/>
  <c r="R39" s="1"/>
  <c r="S39" s="1"/>
  <c r="N80"/>
  <c r="R80" s="1"/>
  <c r="S80" s="1"/>
  <c r="O54" i="48"/>
  <c r="N67" i="49"/>
  <c r="R67" s="1"/>
  <c r="S67" s="1"/>
  <c r="N61"/>
  <c r="R61" s="1"/>
  <c r="S61" s="1"/>
  <c r="N62"/>
  <c r="R62" s="1"/>
  <c r="S62" s="1"/>
  <c r="O59" i="48"/>
  <c r="O82"/>
  <c r="O79"/>
  <c r="N21" i="49"/>
  <c r="R21" s="1"/>
  <c r="S21" s="1"/>
  <c r="N74"/>
  <c r="R74" s="1"/>
  <c r="S74" s="1"/>
  <c r="O57" i="48"/>
  <c r="N60" i="49"/>
  <c r="R60" s="1"/>
  <c r="S60" s="1"/>
  <c r="N22"/>
  <c r="R22" s="1"/>
  <c r="S22" s="1"/>
  <c r="T22" s="1"/>
  <c r="T18" s="1"/>
  <c r="T12" s="1"/>
  <c r="N63"/>
  <c r="R63" s="1"/>
  <c r="S63" s="1"/>
  <c r="N25"/>
  <c r="R25" s="1"/>
  <c r="S25" s="1"/>
  <c r="N24"/>
  <c r="R24" s="1"/>
  <c r="S24" s="1"/>
  <c r="N34"/>
  <c r="R34" s="1"/>
  <c r="S34" s="1"/>
  <c r="O32" i="48"/>
  <c r="N69" i="49"/>
  <c r="R69" s="1"/>
  <c r="S69" s="1"/>
  <c r="O68" i="48"/>
  <c r="N37" i="49"/>
  <c r="R37" s="1"/>
  <c r="S37" s="1"/>
  <c r="O35" i="48"/>
  <c r="N28" i="49"/>
  <c r="R28" s="1"/>
  <c r="S28" s="1"/>
  <c r="N26"/>
  <c r="R26" s="1"/>
  <c r="S26" s="1"/>
  <c r="O19" i="48"/>
  <c r="N13"/>
  <c r="O15"/>
  <c r="N16" i="49"/>
  <c r="R16" s="1"/>
  <c r="S16" s="1"/>
  <c r="D24" i="27"/>
  <c r="D23"/>
  <c r="D22"/>
  <c r="D19" i="26"/>
  <c r="E19" s="1"/>
  <c r="D18"/>
  <c r="E18" s="1"/>
  <c r="D17"/>
  <c r="E17" s="1"/>
  <c r="D6"/>
  <c r="E6" s="1"/>
  <c r="E13"/>
  <c r="E14"/>
  <c r="F14" s="1"/>
  <c r="H14" s="1"/>
  <c r="E15"/>
  <c r="F15" s="1"/>
  <c r="H15" s="1"/>
  <c r="E16"/>
  <c r="D19" i="27"/>
  <c r="F53"/>
  <c r="G52"/>
  <c r="G51"/>
  <c r="H48"/>
  <c r="G45"/>
  <c r="H41" s="1"/>
  <c r="G44"/>
  <c r="G46" s="1"/>
  <c r="E41"/>
  <c r="D34" s="1"/>
  <c r="E40"/>
  <c r="F40" s="1"/>
  <c r="C38"/>
  <c r="D21"/>
  <c r="C21"/>
  <c r="C20"/>
  <c r="C19"/>
  <c r="C18"/>
  <c r="D17"/>
  <c r="D16"/>
  <c r="D15"/>
  <c r="C12"/>
  <c r="C11"/>
  <c r="D10"/>
  <c r="C10"/>
  <c r="D9"/>
  <c r="C9"/>
  <c r="D8"/>
  <c r="C8"/>
  <c r="S18" i="48" l="1"/>
  <c r="R12"/>
  <c r="S12" s="1"/>
  <c r="O89" i="49"/>
  <c r="N86"/>
  <c r="R86" s="1"/>
  <c r="S86" s="1"/>
  <c r="O81"/>
  <c r="O62"/>
  <c r="O67"/>
  <c r="N64"/>
  <c r="R64" s="1"/>
  <c r="S64" s="1"/>
  <c r="O80"/>
  <c r="N79"/>
  <c r="R79" s="1"/>
  <c r="S79" s="1"/>
  <c r="O27"/>
  <c r="O38"/>
  <c r="O30"/>
  <c r="N84"/>
  <c r="R84" s="1"/>
  <c r="S84" s="1"/>
  <c r="O85"/>
  <c r="O70"/>
  <c r="O56"/>
  <c r="O53"/>
  <c r="N52"/>
  <c r="R52" s="1"/>
  <c r="S52" s="1"/>
  <c r="O76" i="48"/>
  <c r="O49" i="49"/>
  <c r="N46"/>
  <c r="R46" s="1"/>
  <c r="S46" s="1"/>
  <c r="O47"/>
  <c r="O25"/>
  <c r="N77"/>
  <c r="R77" s="1"/>
  <c r="S77" s="1"/>
  <c r="O78"/>
  <c r="O20"/>
  <c r="O48"/>
  <c r="O36"/>
  <c r="O22"/>
  <c r="O21"/>
  <c r="O24"/>
  <c r="O63"/>
  <c r="N59"/>
  <c r="R59" s="1"/>
  <c r="S59" s="1"/>
  <c r="O60"/>
  <c r="O74"/>
  <c r="N73"/>
  <c r="R73" s="1"/>
  <c r="S73" s="1"/>
  <c r="O61"/>
  <c r="O39"/>
  <c r="O23"/>
  <c r="O55"/>
  <c r="N54"/>
  <c r="R54" s="1"/>
  <c r="S54" s="1"/>
  <c r="N57"/>
  <c r="R57" s="1"/>
  <c r="S57" s="1"/>
  <c r="O58"/>
  <c r="O31"/>
  <c r="O83"/>
  <c r="N82"/>
  <c r="R82" s="1"/>
  <c r="S82" s="1"/>
  <c r="N32"/>
  <c r="R32" s="1"/>
  <c r="S32" s="1"/>
  <c r="O34"/>
  <c r="N68"/>
  <c r="R68" s="1"/>
  <c r="S68" s="1"/>
  <c r="O69"/>
  <c r="N35"/>
  <c r="R35" s="1"/>
  <c r="S35" s="1"/>
  <c r="O37"/>
  <c r="O28"/>
  <c r="O26"/>
  <c r="N19"/>
  <c r="O18" i="48"/>
  <c r="N12"/>
  <c r="O12" s="1"/>
  <c r="O13"/>
  <c r="O16" i="49"/>
  <c r="N15"/>
  <c r="R15" s="1"/>
  <c r="F19" i="26"/>
  <c r="H19" s="1"/>
  <c r="F17"/>
  <c r="G17" s="1"/>
  <c r="I17" s="1"/>
  <c r="I14"/>
  <c r="F18"/>
  <c r="G18" s="1"/>
  <c r="J18" s="1"/>
  <c r="F16"/>
  <c r="I15"/>
  <c r="F6"/>
  <c r="J14"/>
  <c r="J15"/>
  <c r="F13"/>
  <c r="G13" s="1"/>
  <c r="J13" s="1"/>
  <c r="G53" i="27"/>
  <c r="H47"/>
  <c r="H49" s="1"/>
  <c r="F41"/>
  <c r="F42" s="1"/>
  <c r="E42"/>
  <c r="E34"/>
  <c r="F34" s="1"/>
  <c r="D33"/>
  <c r="H40"/>
  <c r="H42" s="1"/>
  <c r="N18" i="49" l="1"/>
  <c r="R19"/>
  <c r="S19" s="1"/>
  <c r="S15"/>
  <c r="R13"/>
  <c r="S13" s="1"/>
  <c r="O86"/>
  <c r="N89" i="50"/>
  <c r="R89" s="1"/>
  <c r="S89" s="1"/>
  <c r="N36"/>
  <c r="R36" s="1"/>
  <c r="S36" s="1"/>
  <c r="O46" i="49"/>
  <c r="N30" i="50"/>
  <c r="R30" s="1"/>
  <c r="S30" s="1"/>
  <c r="N83"/>
  <c r="R83" s="1"/>
  <c r="S83" s="1"/>
  <c r="N55"/>
  <c r="R55" s="1"/>
  <c r="S55" s="1"/>
  <c r="N23"/>
  <c r="R23" s="1"/>
  <c r="S23" s="1"/>
  <c r="N61"/>
  <c r="R61" s="1"/>
  <c r="S61" s="1"/>
  <c r="N60"/>
  <c r="R60" s="1"/>
  <c r="S60" s="1"/>
  <c r="N63"/>
  <c r="R63" s="1"/>
  <c r="S63" s="1"/>
  <c r="N20"/>
  <c r="R20" s="1"/>
  <c r="S20" s="1"/>
  <c r="N25"/>
  <c r="R25" s="1"/>
  <c r="S25" s="1"/>
  <c r="N47"/>
  <c r="R47" s="1"/>
  <c r="S47" s="1"/>
  <c r="N56"/>
  <c r="R56" s="1"/>
  <c r="S56" s="1"/>
  <c r="N85"/>
  <c r="R85" s="1"/>
  <c r="S85" s="1"/>
  <c r="N27"/>
  <c r="R27" s="1"/>
  <c r="S27" s="1"/>
  <c r="O64" i="49"/>
  <c r="N62" i="50"/>
  <c r="R62" s="1"/>
  <c r="S62" s="1"/>
  <c r="N31"/>
  <c r="R31" s="1"/>
  <c r="S31" s="1"/>
  <c r="O57" i="49"/>
  <c r="N21" i="50"/>
  <c r="R21" s="1"/>
  <c r="S21" s="1"/>
  <c r="O77" i="49"/>
  <c r="N76"/>
  <c r="R76" s="1"/>
  <c r="S76" s="1"/>
  <c r="N70" i="50"/>
  <c r="R70" s="1"/>
  <c r="S70" s="1"/>
  <c r="O82" i="49"/>
  <c r="N58" i="50"/>
  <c r="R58" s="1"/>
  <c r="S58" s="1"/>
  <c r="O54" i="49"/>
  <c r="N39" i="50"/>
  <c r="R39" s="1"/>
  <c r="S39" s="1"/>
  <c r="N74"/>
  <c r="R74" s="1"/>
  <c r="S74" s="1"/>
  <c r="N24"/>
  <c r="R24" s="1"/>
  <c r="S24" s="1"/>
  <c r="N22"/>
  <c r="R22" s="1"/>
  <c r="S22" s="1"/>
  <c r="T22" s="1"/>
  <c r="T18" s="1"/>
  <c r="T12" s="1"/>
  <c r="N48"/>
  <c r="R48" s="1"/>
  <c r="S48" s="1"/>
  <c r="N78"/>
  <c r="R78" s="1"/>
  <c r="S78" s="1"/>
  <c r="N49"/>
  <c r="R49" s="1"/>
  <c r="S49" s="1"/>
  <c r="O52" i="49"/>
  <c r="N38" i="50"/>
  <c r="R38" s="1"/>
  <c r="S38" s="1"/>
  <c r="N80"/>
  <c r="R80" s="1"/>
  <c r="S80" s="1"/>
  <c r="N81"/>
  <c r="R81" s="1"/>
  <c r="S81" s="1"/>
  <c r="O73" i="49"/>
  <c r="O59"/>
  <c r="N53" i="50"/>
  <c r="R53" s="1"/>
  <c r="S53" s="1"/>
  <c r="O84" i="49"/>
  <c r="O79"/>
  <c r="N67" i="50"/>
  <c r="R67" s="1"/>
  <c r="S67" s="1"/>
  <c r="N34"/>
  <c r="R34" s="1"/>
  <c r="S34" s="1"/>
  <c r="O32" i="49"/>
  <c r="N69" i="50"/>
  <c r="R69" s="1"/>
  <c r="S69" s="1"/>
  <c r="O68" i="49"/>
  <c r="O35"/>
  <c r="N37" i="50"/>
  <c r="R37" s="1"/>
  <c r="S37" s="1"/>
  <c r="N28"/>
  <c r="R28" s="1"/>
  <c r="S28" s="1"/>
  <c r="O19" i="49"/>
  <c r="R18"/>
  <c r="N26" i="50"/>
  <c r="R26" s="1"/>
  <c r="S26" s="1"/>
  <c r="N16"/>
  <c r="R16" s="1"/>
  <c r="S16" s="1"/>
  <c r="N13" i="49"/>
  <c r="O15"/>
  <c r="I16" i="26"/>
  <c r="H16"/>
  <c r="I19"/>
  <c r="J19"/>
  <c r="G6"/>
  <c r="J16"/>
  <c r="J17"/>
  <c r="I13"/>
  <c r="I18"/>
  <c r="D35" i="27"/>
  <c r="E33"/>
  <c r="E35" s="1"/>
  <c r="S18" i="49" l="1"/>
  <c r="R12"/>
  <c r="S12" s="1"/>
  <c r="O89" i="50"/>
  <c r="N86"/>
  <c r="R86" s="1"/>
  <c r="S86" s="1"/>
  <c r="O20"/>
  <c r="N77"/>
  <c r="R77" s="1"/>
  <c r="S77" s="1"/>
  <c r="O78"/>
  <c r="N46"/>
  <c r="R46" s="1"/>
  <c r="S46" s="1"/>
  <c r="O47"/>
  <c r="O53"/>
  <c r="N52"/>
  <c r="R52" s="1"/>
  <c r="S52" s="1"/>
  <c r="N79"/>
  <c r="R79" s="1"/>
  <c r="S79" s="1"/>
  <c r="O80"/>
  <c r="O74"/>
  <c r="N73"/>
  <c r="R73" s="1"/>
  <c r="S73" s="1"/>
  <c r="O76" i="49"/>
  <c r="O62" i="50"/>
  <c r="O27"/>
  <c r="O56"/>
  <c r="O25"/>
  <c r="O63"/>
  <c r="O61"/>
  <c r="O55"/>
  <c r="N54"/>
  <c r="R54" s="1"/>
  <c r="S54" s="1"/>
  <c r="O30"/>
  <c r="O36"/>
  <c r="O21"/>
  <c r="O31"/>
  <c r="O85"/>
  <c r="N84"/>
  <c r="R84" s="1"/>
  <c r="S84" s="1"/>
  <c r="N59"/>
  <c r="R59" s="1"/>
  <c r="S59" s="1"/>
  <c r="O60"/>
  <c r="O23"/>
  <c r="O83"/>
  <c r="N82"/>
  <c r="R82" s="1"/>
  <c r="S82" s="1"/>
  <c r="O22"/>
  <c r="O67"/>
  <c r="N64"/>
  <c r="R64" s="1"/>
  <c r="S64" s="1"/>
  <c r="O81"/>
  <c r="O38"/>
  <c r="O49"/>
  <c r="O48"/>
  <c r="O24"/>
  <c r="O39"/>
  <c r="O58"/>
  <c r="N57"/>
  <c r="R57" s="1"/>
  <c r="S57" s="1"/>
  <c r="O70"/>
  <c r="O34"/>
  <c r="N32"/>
  <c r="R32" s="1"/>
  <c r="S32" s="1"/>
  <c r="N68"/>
  <c r="R68" s="1"/>
  <c r="S68" s="1"/>
  <c r="O69"/>
  <c r="N35"/>
  <c r="R35" s="1"/>
  <c r="S35" s="1"/>
  <c r="O37"/>
  <c r="O28"/>
  <c r="O18" i="49"/>
  <c r="O26" i="50"/>
  <c r="N19"/>
  <c r="N15"/>
  <c r="R15" s="1"/>
  <c r="O16"/>
  <c r="O13" i="49"/>
  <c r="N12"/>
  <c r="O12" s="1"/>
  <c r="J6" i="26"/>
  <c r="I6"/>
  <c r="F33" i="27"/>
  <c r="R19" i="50" l="1"/>
  <c r="S19" s="1"/>
  <c r="N18"/>
  <c r="S15"/>
  <c r="R13"/>
  <c r="S13" s="1"/>
  <c r="O86"/>
  <c r="N89" i="51"/>
  <c r="R89" s="1"/>
  <c r="S89" s="1"/>
  <c r="O57" i="50"/>
  <c r="N49" i="51"/>
  <c r="R49" s="1"/>
  <c r="S49" s="1"/>
  <c r="N67"/>
  <c r="R67" s="1"/>
  <c r="S67" s="1"/>
  <c r="N60"/>
  <c r="R60" s="1"/>
  <c r="S60" s="1"/>
  <c r="N55"/>
  <c r="R55" s="1"/>
  <c r="S55" s="1"/>
  <c r="O79" i="50"/>
  <c r="O77"/>
  <c r="N76"/>
  <c r="R76" s="1"/>
  <c r="S76" s="1"/>
  <c r="N70" i="51"/>
  <c r="R70" s="1"/>
  <c r="S70" s="1"/>
  <c r="N24"/>
  <c r="R24" s="1"/>
  <c r="S24" s="1"/>
  <c r="N22"/>
  <c r="R22" s="1"/>
  <c r="S22" s="1"/>
  <c r="T22" s="1"/>
  <c r="T18" s="1"/>
  <c r="T12" s="1"/>
  <c r="N21"/>
  <c r="R21" s="1"/>
  <c r="S21" s="1"/>
  <c r="N25"/>
  <c r="R25" s="1"/>
  <c r="S25" s="1"/>
  <c r="N53"/>
  <c r="R53" s="1"/>
  <c r="S53" s="1"/>
  <c r="N47"/>
  <c r="R47" s="1"/>
  <c r="S47" s="1"/>
  <c r="N78"/>
  <c r="R78" s="1"/>
  <c r="S78" s="1"/>
  <c r="N81"/>
  <c r="R81" s="1"/>
  <c r="S81" s="1"/>
  <c r="O82" i="50"/>
  <c r="N85" i="51"/>
  <c r="R85" s="1"/>
  <c r="S85" s="1"/>
  <c r="N30"/>
  <c r="R30" s="1"/>
  <c r="S30" s="1"/>
  <c r="N63"/>
  <c r="R63" s="1"/>
  <c r="S63" s="1"/>
  <c r="O73" i="50"/>
  <c r="N39" i="51"/>
  <c r="R39" s="1"/>
  <c r="S39" s="1"/>
  <c r="O64" i="50"/>
  <c r="O59"/>
  <c r="N36" i="51"/>
  <c r="R36" s="1"/>
  <c r="S36" s="1"/>
  <c r="O54" i="50"/>
  <c r="N61" i="51"/>
  <c r="R61" s="1"/>
  <c r="S61" s="1"/>
  <c r="N27"/>
  <c r="R27" s="1"/>
  <c r="S27" s="1"/>
  <c r="N80"/>
  <c r="R80" s="1"/>
  <c r="S80" s="1"/>
  <c r="O52" i="50"/>
  <c r="O46"/>
  <c r="N20" i="51"/>
  <c r="R20" s="1"/>
  <c r="S20" s="1"/>
  <c r="N58"/>
  <c r="R58" s="1"/>
  <c r="S58" s="1"/>
  <c r="N48"/>
  <c r="R48" s="1"/>
  <c r="S48" s="1"/>
  <c r="N38"/>
  <c r="R38" s="1"/>
  <c r="S38" s="1"/>
  <c r="N83"/>
  <c r="R83" s="1"/>
  <c r="S83" s="1"/>
  <c r="N23"/>
  <c r="R23" s="1"/>
  <c r="S23" s="1"/>
  <c r="O84" i="50"/>
  <c r="N31" i="51"/>
  <c r="R31" s="1"/>
  <c r="S31" s="1"/>
  <c r="N56"/>
  <c r="R56" s="1"/>
  <c r="S56" s="1"/>
  <c r="N62"/>
  <c r="R62" s="1"/>
  <c r="S62" s="1"/>
  <c r="N74"/>
  <c r="R74" s="1"/>
  <c r="S74" s="1"/>
  <c r="N34"/>
  <c r="R34" s="1"/>
  <c r="S34" s="1"/>
  <c r="O32" i="50"/>
  <c r="N69" i="51"/>
  <c r="R69" s="1"/>
  <c r="S69" s="1"/>
  <c r="O68" i="50"/>
  <c r="O35"/>
  <c r="N37" i="51"/>
  <c r="R37" s="1"/>
  <c r="S37" s="1"/>
  <c r="N28"/>
  <c r="R28" s="1"/>
  <c r="S28" s="1"/>
  <c r="N26"/>
  <c r="R26" s="1"/>
  <c r="S26" s="1"/>
  <c r="R18" i="50"/>
  <c r="O19"/>
  <c r="N16" i="51"/>
  <c r="R16" s="1"/>
  <c r="S16" s="1"/>
  <c r="N13" i="50"/>
  <c r="O15"/>
  <c r="F35" i="27"/>
  <c r="S18" i="50" l="1"/>
  <c r="R12"/>
  <c r="S12" s="1"/>
  <c r="O89" i="51"/>
  <c r="N86"/>
  <c r="R86" s="1"/>
  <c r="S86" s="1"/>
  <c r="O62"/>
  <c r="O58"/>
  <c r="N57"/>
  <c r="R57" s="1"/>
  <c r="S57" s="1"/>
  <c r="O61"/>
  <c r="O36"/>
  <c r="O30"/>
  <c r="O78"/>
  <c r="N77"/>
  <c r="R77" s="1"/>
  <c r="S77" s="1"/>
  <c r="O53"/>
  <c r="N52"/>
  <c r="R52" s="1"/>
  <c r="S52" s="1"/>
  <c r="O21"/>
  <c r="O24"/>
  <c r="O49"/>
  <c r="O23"/>
  <c r="O76" i="50"/>
  <c r="N54" i="51"/>
  <c r="R54" s="1"/>
  <c r="S54" s="1"/>
  <c r="O55"/>
  <c r="O67"/>
  <c r="N64"/>
  <c r="R64" s="1"/>
  <c r="S64" s="1"/>
  <c r="N59"/>
  <c r="R59" s="1"/>
  <c r="S59" s="1"/>
  <c r="O60"/>
  <c r="O31"/>
  <c r="O38"/>
  <c r="O80"/>
  <c r="N79"/>
  <c r="R79" s="1"/>
  <c r="S79" s="1"/>
  <c r="N73"/>
  <c r="R73" s="1"/>
  <c r="S73" s="1"/>
  <c r="O74"/>
  <c r="O56"/>
  <c r="O83"/>
  <c r="N82"/>
  <c r="R82" s="1"/>
  <c r="S82" s="1"/>
  <c r="O48"/>
  <c r="O20"/>
  <c r="O27"/>
  <c r="O39"/>
  <c r="O63"/>
  <c r="O85"/>
  <c r="N84"/>
  <c r="R84" s="1"/>
  <c r="S84" s="1"/>
  <c r="O81"/>
  <c r="N46"/>
  <c r="R46" s="1"/>
  <c r="S46" s="1"/>
  <c r="O47"/>
  <c r="O25"/>
  <c r="O22"/>
  <c r="O70"/>
  <c r="N32"/>
  <c r="R32" s="1"/>
  <c r="S32" s="1"/>
  <c r="O34"/>
  <c r="N68"/>
  <c r="R68" s="1"/>
  <c r="S68" s="1"/>
  <c r="O69"/>
  <c r="N35"/>
  <c r="R35" s="1"/>
  <c r="S35" s="1"/>
  <c r="O37"/>
  <c r="O28"/>
  <c r="O18" i="50"/>
  <c r="O26" i="51"/>
  <c r="N19"/>
  <c r="O16"/>
  <c r="N15"/>
  <c r="R15" s="1"/>
  <c r="O13" i="50"/>
  <c r="N12"/>
  <c r="O12" s="1"/>
  <c r="D12" i="26"/>
  <c r="C12"/>
  <c r="D8"/>
  <c r="E8" s="1"/>
  <c r="D7"/>
  <c r="C13"/>
  <c r="D20"/>
  <c r="E20" s="1"/>
  <c r="D22"/>
  <c r="C22"/>
  <c r="D4"/>
  <c r="D5"/>
  <c r="C4"/>
  <c r="C5"/>
  <c r="C21"/>
  <c r="E23"/>
  <c r="C23"/>
  <c r="D24"/>
  <c r="C24"/>
  <c r="N18" i="51" l="1"/>
  <c r="R18" s="1"/>
  <c r="R19"/>
  <c r="S19" s="1"/>
  <c r="S15"/>
  <c r="R13"/>
  <c r="S13" s="1"/>
  <c r="O86"/>
  <c r="N89" i="52"/>
  <c r="R89" s="1"/>
  <c r="S89" s="1"/>
  <c r="N85"/>
  <c r="R85" s="1"/>
  <c r="S85" s="1"/>
  <c r="N48"/>
  <c r="R48" s="1"/>
  <c r="S48" s="1"/>
  <c r="O54" i="51"/>
  <c r="N78" i="52"/>
  <c r="R78" s="1"/>
  <c r="S78" s="1"/>
  <c r="O57" i="51"/>
  <c r="N70" i="52"/>
  <c r="R70" s="1"/>
  <c r="S70" s="1"/>
  <c r="N25"/>
  <c r="R25" s="1"/>
  <c r="S25" s="1"/>
  <c r="N47"/>
  <c r="R47" s="1"/>
  <c r="S47" s="1"/>
  <c r="O84" i="51"/>
  <c r="N39" i="52"/>
  <c r="R39" s="1"/>
  <c r="S39" s="1"/>
  <c r="N20"/>
  <c r="R20" s="1"/>
  <c r="S20" s="1"/>
  <c r="N83"/>
  <c r="R83" s="1"/>
  <c r="S83" s="1"/>
  <c r="N80"/>
  <c r="R80" s="1"/>
  <c r="S80" s="1"/>
  <c r="N38"/>
  <c r="R38" s="1"/>
  <c r="S38" s="1"/>
  <c r="O59" i="51"/>
  <c r="N67" i="52"/>
  <c r="R67" s="1"/>
  <c r="S67" s="1"/>
  <c r="N49"/>
  <c r="R49" s="1"/>
  <c r="S49" s="1"/>
  <c r="N21"/>
  <c r="R21" s="1"/>
  <c r="S21" s="1"/>
  <c r="N30"/>
  <c r="R30" s="1"/>
  <c r="S30" s="1"/>
  <c r="O46" i="51"/>
  <c r="N27" i="52"/>
  <c r="R27" s="1"/>
  <c r="S27" s="1"/>
  <c r="N56"/>
  <c r="R56" s="1"/>
  <c r="S56" s="1"/>
  <c r="N23"/>
  <c r="R23" s="1"/>
  <c r="S23" s="1"/>
  <c r="O52" i="51"/>
  <c r="N36" i="52"/>
  <c r="R36" s="1"/>
  <c r="S36" s="1"/>
  <c r="N81"/>
  <c r="R81" s="1"/>
  <c r="S81" s="1"/>
  <c r="O82" i="51"/>
  <c r="O79"/>
  <c r="N31" i="52"/>
  <c r="R31" s="1"/>
  <c r="S31" s="1"/>
  <c r="N60"/>
  <c r="R60" s="1"/>
  <c r="S60" s="1"/>
  <c r="N55"/>
  <c r="R55" s="1"/>
  <c r="S55" s="1"/>
  <c r="O77" i="51"/>
  <c r="N76"/>
  <c r="R76" s="1"/>
  <c r="S76" s="1"/>
  <c r="N61" i="52"/>
  <c r="R61" s="1"/>
  <c r="S61" s="1"/>
  <c r="N74"/>
  <c r="R74" s="1"/>
  <c r="S74" s="1"/>
  <c r="N22"/>
  <c r="R22" s="1"/>
  <c r="S22" s="1"/>
  <c r="T22" s="1"/>
  <c r="T18" s="1"/>
  <c r="T12" s="1"/>
  <c r="N63"/>
  <c r="R63" s="1"/>
  <c r="S63" s="1"/>
  <c r="O73" i="51"/>
  <c r="O64"/>
  <c r="N24" i="52"/>
  <c r="R24" s="1"/>
  <c r="S24" s="1"/>
  <c r="N53"/>
  <c r="R53" s="1"/>
  <c r="S53" s="1"/>
  <c r="N58"/>
  <c r="R58" s="1"/>
  <c r="S58" s="1"/>
  <c r="N62"/>
  <c r="R62" s="1"/>
  <c r="S62" s="1"/>
  <c r="N34"/>
  <c r="R34" s="1"/>
  <c r="S34" s="1"/>
  <c r="O32" i="51"/>
  <c r="O68"/>
  <c r="N69" i="52"/>
  <c r="R69" s="1"/>
  <c r="S69" s="1"/>
  <c r="O35" i="51"/>
  <c r="N37" i="52"/>
  <c r="R37" s="1"/>
  <c r="S37" s="1"/>
  <c r="N28"/>
  <c r="R28" s="1"/>
  <c r="S28" s="1"/>
  <c r="N26"/>
  <c r="R26" s="1"/>
  <c r="S26" s="1"/>
  <c r="O19" i="51"/>
  <c r="N16" i="52"/>
  <c r="R16" s="1"/>
  <c r="S16" s="1"/>
  <c r="N13" i="51"/>
  <c r="O15"/>
  <c r="D31" i="26"/>
  <c r="F8"/>
  <c r="G8" s="1"/>
  <c r="I8" s="1"/>
  <c r="E24"/>
  <c r="F24" s="1"/>
  <c r="G24" s="1"/>
  <c r="F23"/>
  <c r="G23" s="1"/>
  <c r="I23" s="1"/>
  <c r="F20"/>
  <c r="G20" s="1"/>
  <c r="I20" s="1"/>
  <c r="E5"/>
  <c r="E12"/>
  <c r="E4"/>
  <c r="E7"/>
  <c r="E22"/>
  <c r="F21"/>
  <c r="G21" s="1"/>
  <c r="J8"/>
  <c r="S18" i="51" l="1"/>
  <c r="R12"/>
  <c r="S12" s="1"/>
  <c r="O89" i="52"/>
  <c r="N86"/>
  <c r="R86" s="1"/>
  <c r="S86" s="1"/>
  <c r="O38"/>
  <c r="O56"/>
  <c r="O67"/>
  <c r="N64"/>
  <c r="R64" s="1"/>
  <c r="S64" s="1"/>
  <c r="O39"/>
  <c r="O70"/>
  <c r="N77"/>
  <c r="R77" s="1"/>
  <c r="S77" s="1"/>
  <c r="O78"/>
  <c r="O58"/>
  <c r="N57"/>
  <c r="R57" s="1"/>
  <c r="S57" s="1"/>
  <c r="O22"/>
  <c r="N54"/>
  <c r="R54" s="1"/>
  <c r="S54" s="1"/>
  <c r="O55"/>
  <c r="O31"/>
  <c r="O36"/>
  <c r="O23"/>
  <c r="O27"/>
  <c r="O30"/>
  <c r="O49"/>
  <c r="N79"/>
  <c r="R79" s="1"/>
  <c r="S79" s="1"/>
  <c r="O80"/>
  <c r="O20"/>
  <c r="O25"/>
  <c r="O85"/>
  <c r="N84"/>
  <c r="R84" s="1"/>
  <c r="S84" s="1"/>
  <c r="O60"/>
  <c r="N59"/>
  <c r="R59" s="1"/>
  <c r="S59" s="1"/>
  <c r="O81"/>
  <c r="O21"/>
  <c r="N82"/>
  <c r="R82" s="1"/>
  <c r="S82" s="1"/>
  <c r="O83"/>
  <c r="N46"/>
  <c r="R46" s="1"/>
  <c r="S46" s="1"/>
  <c r="O47"/>
  <c r="O48"/>
  <c r="O24"/>
  <c r="O61"/>
  <c r="O62"/>
  <c r="N52"/>
  <c r="R52" s="1"/>
  <c r="S52" s="1"/>
  <c r="O53"/>
  <c r="O63"/>
  <c r="O74"/>
  <c r="N73"/>
  <c r="R73" s="1"/>
  <c r="S73" s="1"/>
  <c r="O76" i="51"/>
  <c r="N32" i="52"/>
  <c r="R32" s="1"/>
  <c r="S32" s="1"/>
  <c r="O34"/>
  <c r="N68"/>
  <c r="R68" s="1"/>
  <c r="S68" s="1"/>
  <c r="O69"/>
  <c r="O37"/>
  <c r="N35"/>
  <c r="R35" s="1"/>
  <c r="S35" s="1"/>
  <c r="O28"/>
  <c r="O18" i="51"/>
  <c r="O26" i="52"/>
  <c r="N19"/>
  <c r="N15"/>
  <c r="R15" s="1"/>
  <c r="O16"/>
  <c r="O13" i="51"/>
  <c r="N12"/>
  <c r="O12" s="1"/>
  <c r="AB71" i="23"/>
  <c r="AC71" s="1"/>
  <c r="E28" i="17"/>
  <c r="F7" i="18"/>
  <c r="E30" i="17"/>
  <c r="E31" i="26"/>
  <c r="J23"/>
  <c r="J20"/>
  <c r="J21"/>
  <c r="I21"/>
  <c r="I24"/>
  <c r="F12"/>
  <c r="H12" s="1"/>
  <c r="H31" s="1"/>
  <c r="F22"/>
  <c r="G22" s="1"/>
  <c r="I22" s="1"/>
  <c r="F5"/>
  <c r="G5" s="1"/>
  <c r="I5" s="1"/>
  <c r="F4"/>
  <c r="F7"/>
  <c r="J24"/>
  <c r="N18" i="52" l="1"/>
  <c r="R18" s="1"/>
  <c r="R19"/>
  <c r="S19" s="1"/>
  <c r="S15"/>
  <c r="R13"/>
  <c r="S13" s="1"/>
  <c r="O86"/>
  <c r="O82"/>
  <c r="O84"/>
  <c r="O79"/>
  <c r="O52"/>
  <c r="O46"/>
  <c r="O64"/>
  <c r="O54"/>
  <c r="O57"/>
  <c r="O59"/>
  <c r="O73"/>
  <c r="O77"/>
  <c r="N76"/>
  <c r="R76" s="1"/>
  <c r="S76" s="1"/>
  <c r="O32"/>
  <c r="O68"/>
  <c r="O35"/>
  <c r="O19"/>
  <c r="N13"/>
  <c r="O15"/>
  <c r="E7" i="25"/>
  <c r="J5" i="26"/>
  <c r="G7"/>
  <c r="F31"/>
  <c r="J22"/>
  <c r="G4"/>
  <c r="I4" s="1"/>
  <c r="S18" i="52" l="1"/>
  <c r="R12"/>
  <c r="S12" s="1"/>
  <c r="O76"/>
  <c r="O18"/>
  <c r="O13"/>
  <c r="N12"/>
  <c r="O12" s="1"/>
  <c r="J7" i="26"/>
  <c r="G31"/>
  <c r="I7"/>
  <c r="I12"/>
  <c r="J12"/>
  <c r="J4"/>
  <c r="I31" l="1"/>
  <c r="J31"/>
  <c r="L8" i="25" l="1"/>
  <c r="AA20" i="23"/>
  <c r="X22" l="1"/>
  <c r="X21" s="1"/>
  <c r="X19" s="1"/>
  <c r="X18" s="1"/>
  <c r="X12" l="1"/>
  <c r="AD81" i="25" l="1"/>
  <c r="AC81"/>
  <c r="AB81"/>
  <c r="AA81"/>
  <c r="Z81"/>
  <c r="Y81"/>
  <c r="X81"/>
  <c r="W81"/>
  <c r="V81"/>
  <c r="U81"/>
  <c r="S81"/>
  <c r="AE80"/>
  <c r="AE79"/>
  <c r="AE78"/>
  <c r="T77"/>
  <c r="AE77" s="1"/>
  <c r="AE76"/>
  <c r="T75"/>
  <c r="AD73"/>
  <c r="AC73"/>
  <c r="AB73"/>
  <c r="AA73"/>
  <c r="Z73"/>
  <c r="Y73"/>
  <c r="X73"/>
  <c r="W73"/>
  <c r="U73"/>
  <c r="S73"/>
  <c r="AE72"/>
  <c r="AE71"/>
  <c r="AE70"/>
  <c r="AE69"/>
  <c r="AE68"/>
  <c r="V67"/>
  <c r="V73" s="1"/>
  <c r="T67"/>
  <c r="T73" s="1"/>
  <c r="AD65"/>
  <c r="AC65"/>
  <c r="AB65"/>
  <c r="AA65"/>
  <c r="Z65"/>
  <c r="Y65"/>
  <c r="X65"/>
  <c r="W65"/>
  <c r="V65"/>
  <c r="U65"/>
  <c r="T65"/>
  <c r="S65"/>
  <c r="AE64"/>
  <c r="AE63"/>
  <c r="AE62"/>
  <c r="AE61"/>
  <c r="AE60"/>
  <c r="AE59"/>
  <c r="AD57"/>
  <c r="AC57"/>
  <c r="AB57"/>
  <c r="AA57"/>
  <c r="Z57"/>
  <c r="Y57"/>
  <c r="X57"/>
  <c r="W57"/>
  <c r="U57"/>
  <c r="S57"/>
  <c r="AE56"/>
  <c r="AE55"/>
  <c r="AE54"/>
  <c r="AE53"/>
  <c r="AE52"/>
  <c r="V51"/>
  <c r="V57" s="1"/>
  <c r="T51"/>
  <c r="T57" s="1"/>
  <c r="AD49"/>
  <c r="AC49"/>
  <c r="AB49"/>
  <c r="AA49"/>
  <c r="Z49"/>
  <c r="Y49"/>
  <c r="X49"/>
  <c r="W49"/>
  <c r="V49"/>
  <c r="T49"/>
  <c r="AE48"/>
  <c r="AE47"/>
  <c r="AE46"/>
  <c r="AE45"/>
  <c r="AE44"/>
  <c r="U43"/>
  <c r="U49" s="1"/>
  <c r="AD41"/>
  <c r="AC41"/>
  <c r="AB41"/>
  <c r="AA41"/>
  <c r="Z41"/>
  <c r="Y41"/>
  <c r="X41"/>
  <c r="W41"/>
  <c r="U41"/>
  <c r="AE40"/>
  <c r="AG39"/>
  <c r="AE39"/>
  <c r="AG38"/>
  <c r="AE38"/>
  <c r="AG37"/>
  <c r="AE37"/>
  <c r="AG36"/>
  <c r="AE36"/>
  <c r="AG35"/>
  <c r="V35"/>
  <c r="V41" s="1"/>
  <c r="T35"/>
  <c r="T41" s="1"/>
  <c r="AD32"/>
  <c r="AC32"/>
  <c r="AB32"/>
  <c r="AA32"/>
  <c r="Z32"/>
  <c r="Y32"/>
  <c r="X32"/>
  <c r="W32"/>
  <c r="V32"/>
  <c r="U32"/>
  <c r="T32"/>
  <c r="AE31"/>
  <c r="AE30"/>
  <c r="AE29"/>
  <c r="AH28"/>
  <c r="AE28"/>
  <c r="AE27"/>
  <c r="AH26"/>
  <c r="AE26"/>
  <c r="U14"/>
  <c r="M11"/>
  <c r="M10"/>
  <c r="Q9"/>
  <c r="M9"/>
  <c r="AF37" l="1"/>
  <c r="AH37" s="1"/>
  <c r="AE43"/>
  <c r="AE49" s="1"/>
  <c r="T81"/>
  <c r="AE35"/>
  <c r="AE41" s="1"/>
  <c r="AF36"/>
  <c r="AH36" s="1"/>
  <c r="AF38"/>
  <c r="AH38" s="1"/>
  <c r="AE65"/>
  <c r="AE75"/>
  <c r="AE81" s="1"/>
  <c r="AE32"/>
  <c r="AF39"/>
  <c r="AH39" s="1"/>
  <c r="AE51"/>
  <c r="AE57" s="1"/>
  <c r="AE67"/>
  <c r="AE73" s="1"/>
  <c r="AG75"/>
  <c r="AF35" l="1"/>
  <c r="AH35" s="1"/>
  <c r="W22" i="23" l="1"/>
  <c r="W21" s="1"/>
  <c r="W19" s="1"/>
  <c r="W18" s="1"/>
  <c r="V22"/>
  <c r="V21" s="1"/>
  <c r="V19" s="1"/>
  <c r="V18" s="1"/>
  <c r="V17"/>
  <c r="S17"/>
  <c r="Q17"/>
  <c r="P17"/>
  <c r="O17"/>
  <c r="N17"/>
  <c r="M5" i="24" l="1"/>
  <c r="G86" l="1"/>
  <c r="J86" s="1"/>
  <c r="G85"/>
  <c r="J85" s="1"/>
  <c r="G84"/>
  <c r="J84" s="1"/>
  <c r="G79"/>
  <c r="J79" s="1"/>
  <c r="J78" s="1"/>
  <c r="G78"/>
  <c r="G77"/>
  <c r="J77" s="1"/>
  <c r="J76" s="1"/>
  <c r="G76"/>
  <c r="G75"/>
  <c r="J75" s="1"/>
  <c r="J74" s="1"/>
  <c r="G58"/>
  <c r="J58" s="1"/>
  <c r="G59"/>
  <c r="J59" s="1"/>
  <c r="G60"/>
  <c r="J60" s="1"/>
  <c r="G61"/>
  <c r="J61" s="1"/>
  <c r="G62"/>
  <c r="J62" s="1"/>
  <c r="G63"/>
  <c r="J63" s="1"/>
  <c r="G64"/>
  <c r="J64" s="1"/>
  <c r="G65"/>
  <c r="J65" s="1"/>
  <c r="G66"/>
  <c r="J66" s="1"/>
  <c r="G67"/>
  <c r="J67" s="1"/>
  <c r="G68"/>
  <c r="J68" s="1"/>
  <c r="G57"/>
  <c r="J57" s="1"/>
  <c r="E56"/>
  <c r="J54"/>
  <c r="J73" l="1"/>
  <c r="J83"/>
  <c r="J56"/>
  <c r="AB81" i="23" l="1"/>
  <c r="J47" i="24"/>
  <c r="J46"/>
  <c r="J41"/>
  <c r="J38"/>
  <c r="J36"/>
  <c r="J35"/>
  <c r="L6"/>
  <c r="J25"/>
  <c r="G8"/>
  <c r="J8" s="1"/>
  <c r="G9"/>
  <c r="J9" s="1"/>
  <c r="G10"/>
  <c r="J10" s="1"/>
  <c r="G11"/>
  <c r="J11" s="1"/>
  <c r="G12"/>
  <c r="J12" s="1"/>
  <c r="G13"/>
  <c r="J13" s="1"/>
  <c r="G14"/>
  <c r="J14" s="1"/>
  <c r="G15"/>
  <c r="J15" s="1"/>
  <c r="G16"/>
  <c r="J16" s="1"/>
  <c r="G17"/>
  <c r="J17" s="1"/>
  <c r="G18"/>
  <c r="J18" s="1"/>
  <c r="G19"/>
  <c r="J19" s="1"/>
  <c r="G20"/>
  <c r="J20" s="1"/>
  <c r="G21"/>
  <c r="J21" s="1"/>
  <c r="G22"/>
  <c r="J22" s="1"/>
  <c r="G7"/>
  <c r="J7" s="1"/>
  <c r="J45" l="1"/>
  <c r="J34"/>
  <c r="J49" s="1"/>
  <c r="J23"/>
  <c r="J27" s="1"/>
  <c r="M6" s="1"/>
  <c r="M7" l="1"/>
  <c r="L9" i="23" l="1"/>
  <c r="X10"/>
  <c r="W10"/>
  <c r="V10"/>
  <c r="U10"/>
  <c r="T10"/>
  <c r="S10"/>
  <c r="R10"/>
  <c r="Q10"/>
  <c r="P10"/>
  <c r="O10"/>
  <c r="N10"/>
  <c r="M10"/>
  <c r="M11" s="1"/>
  <c r="N11" l="1"/>
  <c r="O11" s="1"/>
  <c r="P11" s="1"/>
  <c r="Q11" s="1"/>
  <c r="R11" s="1"/>
  <c r="Y10"/>
  <c r="S11" l="1"/>
  <c r="T11" s="1"/>
  <c r="U11" s="1"/>
  <c r="V11" s="1"/>
  <c r="W11" s="1"/>
  <c r="X11" s="1"/>
  <c r="Y75" l="1"/>
  <c r="AA75" s="1"/>
  <c r="Y63"/>
  <c r="AA63" s="1"/>
  <c r="Y78"/>
  <c r="AA78" s="1"/>
  <c r="Y81"/>
  <c r="AA81" s="1"/>
  <c r="AB20"/>
  <c r="AC20" s="1"/>
  <c r="AC81" l="1"/>
  <c r="W17"/>
  <c r="AB78" l="1"/>
  <c r="AC78" s="1"/>
  <c r="Y65" l="1"/>
  <c r="AA65" s="1"/>
  <c r="Y48"/>
  <c r="AA48" s="1"/>
  <c r="Y35"/>
  <c r="Z35" s="1"/>
  <c r="Y31"/>
  <c r="Z31" s="1"/>
  <c r="Y30"/>
  <c r="Z30" s="1"/>
  <c r="Y26"/>
  <c r="Z26" s="1"/>
  <c r="Y22"/>
  <c r="Y84"/>
  <c r="AA84" s="1"/>
  <c r="Y66"/>
  <c r="AA66" s="1"/>
  <c r="Y53"/>
  <c r="AA53" s="1"/>
  <c r="Y47"/>
  <c r="AA47" s="1"/>
  <c r="Y46"/>
  <c r="AA46" s="1"/>
  <c r="Y44"/>
  <c r="Y39"/>
  <c r="Y34"/>
  <c r="Y29"/>
  <c r="Y58"/>
  <c r="AA58" s="1"/>
  <c r="Y52"/>
  <c r="AA52" s="1"/>
  <c r="Y43"/>
  <c r="Y38"/>
  <c r="Z38" s="1"/>
  <c r="Y33"/>
  <c r="Y28"/>
  <c r="Y57"/>
  <c r="AA57" s="1"/>
  <c r="Y42"/>
  <c r="Y37"/>
  <c r="AA37" s="1"/>
  <c r="Y32"/>
  <c r="Z32" s="1"/>
  <c r="Y27"/>
  <c r="Y83"/>
  <c r="Y60"/>
  <c r="AA60" s="1"/>
  <c r="Y74"/>
  <c r="Y80"/>
  <c r="Z80" s="1"/>
  <c r="Y70"/>
  <c r="AA70" s="1"/>
  <c r="Y50"/>
  <c r="AA50" s="1"/>
  <c r="Y68"/>
  <c r="AA68" s="1"/>
  <c r="Y62"/>
  <c r="Z62" s="1"/>
  <c r="Y55"/>
  <c r="AA55" s="1"/>
  <c r="K8" i="25"/>
  <c r="W16" i="23"/>
  <c r="V12"/>
  <c r="Y77"/>
  <c r="AA77" s="1"/>
  <c r="Y41"/>
  <c r="AA41" s="1"/>
  <c r="K14" i="25" l="1"/>
  <c r="M14" s="1"/>
  <c r="M8"/>
  <c r="F7" s="1"/>
  <c r="Z65" i="23"/>
  <c r="Z52"/>
  <c r="AA22"/>
  <c r="AA21" s="1"/>
  <c r="AA19" s="1"/>
  <c r="Y21"/>
  <c r="Y19" s="1"/>
  <c r="Y18" s="1"/>
  <c r="AA26"/>
  <c r="AA30"/>
  <c r="Z57"/>
  <c r="Z58"/>
  <c r="Z47"/>
  <c r="AA38"/>
  <c r="AA35"/>
  <c r="Z37"/>
  <c r="Z70"/>
  <c r="Y25"/>
  <c r="AA25" s="1"/>
  <c r="AA32"/>
  <c r="Z66"/>
  <c r="Z48"/>
  <c r="AA31"/>
  <c r="AA33"/>
  <c r="Z33"/>
  <c r="AA42"/>
  <c r="Z42"/>
  <c r="AA34"/>
  <c r="Z34"/>
  <c r="AA27"/>
  <c r="Z27"/>
  <c r="O16"/>
  <c r="AA43"/>
  <c r="Z43"/>
  <c r="AA39"/>
  <c r="Z39"/>
  <c r="AA28"/>
  <c r="E5" i="24" s="1"/>
  <c r="Z28" i="23"/>
  <c r="AA44"/>
  <c r="Z44"/>
  <c r="AA29"/>
  <c r="Z29"/>
  <c r="Z60"/>
  <c r="Z68"/>
  <c r="Z55"/>
  <c r="AA74"/>
  <c r="Y73"/>
  <c r="AA73" s="1"/>
  <c r="Z74"/>
  <c r="Z50"/>
  <c r="AA83"/>
  <c r="AA62"/>
  <c r="Y61"/>
  <c r="AA61" s="1"/>
  <c r="Y79"/>
  <c r="AA79" s="1"/>
  <c r="AA80"/>
  <c r="W12"/>
  <c r="Z22"/>
  <c r="Z21" s="1"/>
  <c r="Z19" s="1"/>
  <c r="Z77"/>
  <c r="Y76"/>
  <c r="AA76" s="1"/>
  <c r="V16"/>
  <c r="Z46"/>
  <c r="G56" i="24"/>
  <c r="Z84" i="23"/>
  <c r="Z53"/>
  <c r="Q16"/>
  <c r="Y51"/>
  <c r="AA51" s="1"/>
  <c r="Y54"/>
  <c r="AA54" s="1"/>
  <c r="Y69"/>
  <c r="AA69" s="1"/>
  <c r="Y59"/>
  <c r="AA59" s="1"/>
  <c r="Y40"/>
  <c r="AA40" s="1"/>
  <c r="Y67"/>
  <c r="AA67" s="1"/>
  <c r="Y56"/>
  <c r="AA56" s="1"/>
  <c r="Y64"/>
  <c r="AA64" s="1"/>
  <c r="Y49"/>
  <c r="AA49" s="1"/>
  <c r="Y36"/>
  <c r="AA36" s="1"/>
  <c r="Y45"/>
  <c r="AA45" s="1"/>
  <c r="Z18" l="1"/>
  <c r="AA18"/>
  <c r="Z25"/>
  <c r="Z73"/>
  <c r="Z79"/>
  <c r="Z61"/>
  <c r="R16"/>
  <c r="Z76"/>
  <c r="O12"/>
  <c r="J81" i="24"/>
  <c r="M8" s="1"/>
  <c r="M12" s="1"/>
  <c r="M13" s="1"/>
  <c r="N16" i="23"/>
  <c r="P16"/>
  <c r="M12"/>
  <c r="M13" s="1"/>
  <c r="T16"/>
  <c r="Z59"/>
  <c r="Z54"/>
  <c r="Z45"/>
  <c r="Z67"/>
  <c r="Z69"/>
  <c r="Z49"/>
  <c r="Z64"/>
  <c r="Z56"/>
  <c r="Z51"/>
  <c r="Y24"/>
  <c r="Q12"/>
  <c r="N12"/>
  <c r="Z40"/>
  <c r="Z36"/>
  <c r="P12" l="1"/>
  <c r="AA24"/>
  <c r="N13"/>
  <c r="O13" s="1"/>
  <c r="M14"/>
  <c r="N14" s="1"/>
  <c r="O14" s="1"/>
  <c r="T12"/>
  <c r="R12"/>
  <c r="Z24"/>
  <c r="P14" l="1"/>
  <c r="Q14" s="1"/>
  <c r="R14" s="1"/>
  <c r="P13"/>
  <c r="Q13" s="1"/>
  <c r="R13" s="1"/>
  <c r="K13" i="18" l="1"/>
  <c r="L13" i="17"/>
  <c r="L14"/>
  <c r="L15"/>
  <c r="L16"/>
  <c r="L17"/>
  <c r="L21"/>
  <c r="L22"/>
  <c r="L12" l="1"/>
  <c r="K13" i="22"/>
  <c r="AD81"/>
  <c r="AC81"/>
  <c r="AB81"/>
  <c r="AA81"/>
  <c r="Z81"/>
  <c r="Y81"/>
  <c r="X81"/>
  <c r="W81"/>
  <c r="V81"/>
  <c r="U81"/>
  <c r="S81"/>
  <c r="AE80"/>
  <c r="AE79"/>
  <c r="AE78"/>
  <c r="T77"/>
  <c r="AE77" s="1"/>
  <c r="AE76"/>
  <c r="T75"/>
  <c r="AE75" s="1"/>
  <c r="AD73"/>
  <c r="AC73"/>
  <c r="AB73"/>
  <c r="AA73"/>
  <c r="Z73"/>
  <c r="Y73"/>
  <c r="X73"/>
  <c r="W73"/>
  <c r="U73"/>
  <c r="S73"/>
  <c r="AE72"/>
  <c r="AE71"/>
  <c r="AE70"/>
  <c r="AE69"/>
  <c r="AE68"/>
  <c r="V67"/>
  <c r="V73" s="1"/>
  <c r="T67"/>
  <c r="AD65"/>
  <c r="AC65"/>
  <c r="AB65"/>
  <c r="AA65"/>
  <c r="Z65"/>
  <c r="Y65"/>
  <c r="X65"/>
  <c r="W65"/>
  <c r="V65"/>
  <c r="U65"/>
  <c r="T65"/>
  <c r="S65"/>
  <c r="AE64"/>
  <c r="AE63"/>
  <c r="AE62"/>
  <c r="AE61"/>
  <c r="AE60"/>
  <c r="AE59"/>
  <c r="AD57"/>
  <c r="AC57"/>
  <c r="AB57"/>
  <c r="AA57"/>
  <c r="Z57"/>
  <c r="Y57"/>
  <c r="X57"/>
  <c r="W57"/>
  <c r="U57"/>
  <c r="S57"/>
  <c r="AE56"/>
  <c r="AE55"/>
  <c r="AE54"/>
  <c r="AE53"/>
  <c r="AE52"/>
  <c r="V51"/>
  <c r="V57" s="1"/>
  <c r="T51"/>
  <c r="AD49"/>
  <c r="AC49"/>
  <c r="AB49"/>
  <c r="AA49"/>
  <c r="Z49"/>
  <c r="Y49"/>
  <c r="X49"/>
  <c r="W49"/>
  <c r="V49"/>
  <c r="T49"/>
  <c r="AE48"/>
  <c r="AE47"/>
  <c r="AE46"/>
  <c r="AE45"/>
  <c r="AE44"/>
  <c r="U43"/>
  <c r="AE43" s="1"/>
  <c r="AD41"/>
  <c r="AC41"/>
  <c r="AB41"/>
  <c r="AA41"/>
  <c r="Z41"/>
  <c r="Y41"/>
  <c r="X41"/>
  <c r="W41"/>
  <c r="U41"/>
  <c r="AE40"/>
  <c r="AG39"/>
  <c r="AE39"/>
  <c r="AF39" s="1"/>
  <c r="AG38"/>
  <c r="AE38"/>
  <c r="AG37"/>
  <c r="AE37"/>
  <c r="AF37" s="1"/>
  <c r="AG36"/>
  <c r="AE36"/>
  <c r="AG35"/>
  <c r="V35"/>
  <c r="V41" s="1"/>
  <c r="T35"/>
  <c r="T41" s="1"/>
  <c r="AD32"/>
  <c r="AC32"/>
  <c r="AB32"/>
  <c r="AA32"/>
  <c r="Z32"/>
  <c r="Y32"/>
  <c r="X32"/>
  <c r="W32"/>
  <c r="V32"/>
  <c r="U32"/>
  <c r="T32"/>
  <c r="AE31"/>
  <c r="AE30"/>
  <c r="AE29"/>
  <c r="AH28"/>
  <c r="AE28"/>
  <c r="AE27"/>
  <c r="AH26"/>
  <c r="AE26"/>
  <c r="U14"/>
  <c r="M11"/>
  <c r="M10"/>
  <c r="Q9"/>
  <c r="M9"/>
  <c r="AD81" i="21"/>
  <c r="AC81"/>
  <c r="AB81"/>
  <c r="AA81"/>
  <c r="Z81"/>
  <c r="Y81"/>
  <c r="X81"/>
  <c r="W81"/>
  <c r="V81"/>
  <c r="U81"/>
  <c r="S81"/>
  <c r="AE80"/>
  <c r="AE79"/>
  <c r="AE78"/>
  <c r="T77"/>
  <c r="AE77" s="1"/>
  <c r="AE76"/>
  <c r="T75"/>
  <c r="AD73"/>
  <c r="AC73"/>
  <c r="AB73"/>
  <c r="AA73"/>
  <c r="Z73"/>
  <c r="Y73"/>
  <c r="X73"/>
  <c r="W73"/>
  <c r="U73"/>
  <c r="S73"/>
  <c r="AE72"/>
  <c r="AE71"/>
  <c r="AE70"/>
  <c r="AE69"/>
  <c r="AE68"/>
  <c r="V67"/>
  <c r="T67"/>
  <c r="T73" s="1"/>
  <c r="AD65"/>
  <c r="AC65"/>
  <c r="AB65"/>
  <c r="AA65"/>
  <c r="Z65"/>
  <c r="Y65"/>
  <c r="X65"/>
  <c r="W65"/>
  <c r="V65"/>
  <c r="U65"/>
  <c r="T65"/>
  <c r="S65"/>
  <c r="AE64"/>
  <c r="AE63"/>
  <c r="AE62"/>
  <c r="AE61"/>
  <c r="AE60"/>
  <c r="AE59"/>
  <c r="AD57"/>
  <c r="AC57"/>
  <c r="AB57"/>
  <c r="AA57"/>
  <c r="Z57"/>
  <c r="Y57"/>
  <c r="X57"/>
  <c r="W57"/>
  <c r="U57"/>
  <c r="S57"/>
  <c r="AE56"/>
  <c r="AE55"/>
  <c r="AE54"/>
  <c r="AE53"/>
  <c r="AE52"/>
  <c r="V51"/>
  <c r="V57" s="1"/>
  <c r="T51"/>
  <c r="T57" s="1"/>
  <c r="AD49"/>
  <c r="AC49"/>
  <c r="AB49"/>
  <c r="AA49"/>
  <c r="Z49"/>
  <c r="Y49"/>
  <c r="X49"/>
  <c r="W49"/>
  <c r="V49"/>
  <c r="T49"/>
  <c r="AE48"/>
  <c r="AE47"/>
  <c r="AE46"/>
  <c r="AE45"/>
  <c r="AE44"/>
  <c r="U43"/>
  <c r="AE43" s="1"/>
  <c r="AD41"/>
  <c r="AC41"/>
  <c r="AB41"/>
  <c r="AA41"/>
  <c r="Z41"/>
  <c r="Y41"/>
  <c r="X41"/>
  <c r="W41"/>
  <c r="U41"/>
  <c r="AE40"/>
  <c r="AG39"/>
  <c r="AE39"/>
  <c r="AG38"/>
  <c r="AE38"/>
  <c r="AG37"/>
  <c r="AE37"/>
  <c r="AG36"/>
  <c r="AE36"/>
  <c r="AG35"/>
  <c r="V35"/>
  <c r="V41" s="1"/>
  <c r="T35"/>
  <c r="AD32"/>
  <c r="AC32"/>
  <c r="AB32"/>
  <c r="AA32"/>
  <c r="Z32"/>
  <c r="Y32"/>
  <c r="X32"/>
  <c r="W32"/>
  <c r="V32"/>
  <c r="U32"/>
  <c r="T32"/>
  <c r="AE31"/>
  <c r="AE30"/>
  <c r="AE29"/>
  <c r="AH28"/>
  <c r="AE28"/>
  <c r="AE27"/>
  <c r="AH26"/>
  <c r="AE26"/>
  <c r="U14"/>
  <c r="M11"/>
  <c r="M10"/>
  <c r="Q9"/>
  <c r="M9"/>
  <c r="AF36" l="1"/>
  <c r="AH36" s="1"/>
  <c r="AF38"/>
  <c r="AH38" s="1"/>
  <c r="AF39"/>
  <c r="AH39" s="1"/>
  <c r="AE67"/>
  <c r="AE32"/>
  <c r="AE35"/>
  <c r="AE65" i="22"/>
  <c r="AE73" i="21"/>
  <c r="AF36" i="22"/>
  <c r="AH36" s="1"/>
  <c r="AF38"/>
  <c r="AH38" s="1"/>
  <c r="AE35"/>
  <c r="AH37"/>
  <c r="AH39"/>
  <c r="AE49"/>
  <c r="AE51"/>
  <c r="AE57" s="1"/>
  <c r="AE81"/>
  <c r="AE49" i="21"/>
  <c r="AF37"/>
  <c r="AH37" s="1"/>
  <c r="T41"/>
  <c r="AE65"/>
  <c r="T81"/>
  <c r="AE32" i="22"/>
  <c r="AE67"/>
  <c r="AE73" s="1"/>
  <c r="AG75"/>
  <c r="T81"/>
  <c r="AE41"/>
  <c r="U49"/>
  <c r="T57"/>
  <c r="T73"/>
  <c r="AE41" i="21"/>
  <c r="AE51"/>
  <c r="AE57" s="1"/>
  <c r="AE75"/>
  <c r="AE81" s="1"/>
  <c r="V73"/>
  <c r="AG75"/>
  <c r="U49"/>
  <c r="AF35" i="22" l="1"/>
  <c r="AH35" s="1"/>
  <c r="AB75" i="23"/>
  <c r="AC75" s="1"/>
  <c r="AF35" i="21"/>
  <c r="AH35" s="1"/>
  <c r="AB63" i="23" l="1"/>
  <c r="AC63" s="1"/>
  <c r="AD81" i="18"/>
  <c r="AC81"/>
  <c r="AB81"/>
  <c r="AA81"/>
  <c r="Z81"/>
  <c r="Y81"/>
  <c r="X81"/>
  <c r="W81"/>
  <c r="V81"/>
  <c r="U81"/>
  <c r="S81"/>
  <c r="AE80"/>
  <c r="AE79"/>
  <c r="AE78"/>
  <c r="T77"/>
  <c r="AE77" s="1"/>
  <c r="AE76"/>
  <c r="T75"/>
  <c r="AE75" s="1"/>
  <c r="AD73"/>
  <c r="AC73"/>
  <c r="AB73"/>
  <c r="AA73"/>
  <c r="Z73"/>
  <c r="Y73"/>
  <c r="X73"/>
  <c r="W73"/>
  <c r="U73"/>
  <c r="S73"/>
  <c r="AE72"/>
  <c r="AE71"/>
  <c r="AE70"/>
  <c r="AE69"/>
  <c r="AE68"/>
  <c r="V67"/>
  <c r="V73" s="1"/>
  <c r="T67"/>
  <c r="T73" s="1"/>
  <c r="AD65"/>
  <c r="AC65"/>
  <c r="AB65"/>
  <c r="AA65"/>
  <c r="Z65"/>
  <c r="Y65"/>
  <c r="X65"/>
  <c r="W65"/>
  <c r="V65"/>
  <c r="U65"/>
  <c r="T65"/>
  <c r="S65"/>
  <c r="AE64"/>
  <c r="AE63"/>
  <c r="AE62"/>
  <c r="AE61"/>
  <c r="AE60"/>
  <c r="AE59"/>
  <c r="AD57"/>
  <c r="AC57"/>
  <c r="AB57"/>
  <c r="AA57"/>
  <c r="Z57"/>
  <c r="Y57"/>
  <c r="X57"/>
  <c r="W57"/>
  <c r="U57"/>
  <c r="S57"/>
  <c r="AE56"/>
  <c r="AE55"/>
  <c r="AE54"/>
  <c r="AE53"/>
  <c r="AE52"/>
  <c r="V51"/>
  <c r="T51"/>
  <c r="T57" s="1"/>
  <c r="AD49"/>
  <c r="AC49"/>
  <c r="AB49"/>
  <c r="AA49"/>
  <c r="Z49"/>
  <c r="Y49"/>
  <c r="X49"/>
  <c r="W49"/>
  <c r="V49"/>
  <c r="T49"/>
  <c r="AE48"/>
  <c r="AE47"/>
  <c r="AE46"/>
  <c r="AE45"/>
  <c r="AE44"/>
  <c r="U43"/>
  <c r="U49" s="1"/>
  <c r="AD41"/>
  <c r="AC41"/>
  <c r="AB41"/>
  <c r="AA41"/>
  <c r="Z41"/>
  <c r="Y41"/>
  <c r="X41"/>
  <c r="W41"/>
  <c r="U41"/>
  <c r="AE40"/>
  <c r="AG39"/>
  <c r="AE39"/>
  <c r="AF39" s="1"/>
  <c r="AH39" s="1"/>
  <c r="AG38"/>
  <c r="AE38"/>
  <c r="AG37"/>
  <c r="AE37"/>
  <c r="AG36"/>
  <c r="AE36"/>
  <c r="AG35"/>
  <c r="V35"/>
  <c r="V41" s="1"/>
  <c r="T35"/>
  <c r="AD32"/>
  <c r="AC32"/>
  <c r="AB32"/>
  <c r="AA32"/>
  <c r="Z32"/>
  <c r="Y32"/>
  <c r="X32"/>
  <c r="W32"/>
  <c r="V32"/>
  <c r="U32"/>
  <c r="T32"/>
  <c r="AE31"/>
  <c r="AE30"/>
  <c r="AE29"/>
  <c r="AH28"/>
  <c r="AE28"/>
  <c r="AE27"/>
  <c r="AH26"/>
  <c r="AE26"/>
  <c r="U14"/>
  <c r="M11"/>
  <c r="M10"/>
  <c r="Q9"/>
  <c r="M9"/>
  <c r="AE35" l="1"/>
  <c r="T41"/>
  <c r="AE81"/>
  <c r="AF36"/>
  <c r="AH36" s="1"/>
  <c r="AF38"/>
  <c r="AH38" s="1"/>
  <c r="AE51"/>
  <c r="AE57" s="1"/>
  <c r="AE65"/>
  <c r="AE32"/>
  <c r="AF37"/>
  <c r="AH37" s="1"/>
  <c r="AE41"/>
  <c r="AE43"/>
  <c r="AE49" s="1"/>
  <c r="AE67"/>
  <c r="AE73" s="1"/>
  <c r="V57"/>
  <c r="AG75"/>
  <c r="T81"/>
  <c r="AF35" l="1"/>
  <c r="AH35" s="1"/>
  <c r="Y85" i="23" l="1"/>
  <c r="AA85" l="1"/>
  <c r="Y82"/>
  <c r="U17"/>
  <c r="Z85"/>
  <c r="E62" i="17"/>
  <c r="E64" s="1"/>
  <c r="J61" s="1"/>
  <c r="D60"/>
  <c r="D55"/>
  <c r="F50"/>
  <c r="F51" s="1"/>
  <c r="F52" s="1"/>
  <c r="F53" s="1"/>
  <c r="F54" s="1"/>
  <c r="F55" s="1"/>
  <c r="F56" s="1"/>
  <c r="F57" s="1"/>
  <c r="F58" s="1"/>
  <c r="F59" s="1"/>
  <c r="F60" l="1"/>
  <c r="F61" s="1"/>
  <c r="F20"/>
  <c r="D62"/>
  <c r="D64" s="1"/>
  <c r="F64" s="1"/>
  <c r="AA82" i="23"/>
  <c r="U16"/>
  <c r="U12"/>
  <c r="J59" i="17" l="1"/>
  <c r="Z83" i="23" l="1"/>
  <c r="S16" l="1"/>
  <c r="F19" i="17"/>
  <c r="E7" i="22"/>
  <c r="S12" i="23" l="1"/>
  <c r="S14" s="1"/>
  <c r="T14" s="1"/>
  <c r="U14" s="1"/>
  <c r="V14" s="1"/>
  <c r="W14" s="1"/>
  <c r="Z82"/>
  <c r="M14" i="21"/>
  <c r="K8" i="22"/>
  <c r="M14" s="1"/>
  <c r="K8" i="18"/>
  <c r="K14" s="1"/>
  <c r="M14" s="1"/>
  <c r="M19" i="1"/>
  <c r="M68"/>
  <c r="M77"/>
  <c r="S13" i="23" l="1"/>
  <c r="T13" s="1"/>
  <c r="U13" s="1"/>
  <c r="V13" s="1"/>
  <c r="W13" s="1"/>
  <c r="X13" s="1"/>
  <c r="O68" i="1"/>
  <c r="Q68"/>
  <c r="S68"/>
  <c r="O64"/>
  <c r="Q64"/>
  <c r="S64"/>
  <c r="O19"/>
  <c r="Q19"/>
  <c r="S19"/>
  <c r="O86"/>
  <c r="Q86"/>
  <c r="S86"/>
  <c r="Q32"/>
  <c r="O32"/>
  <c r="S32"/>
  <c r="Q77"/>
  <c r="O77"/>
  <c r="S77"/>
  <c r="F17" i="17"/>
  <c r="F16"/>
  <c r="F14" l="1"/>
  <c r="F11" s="1"/>
  <c r="F24" s="1"/>
  <c r="F15"/>
  <c r="Q22" i="15"/>
  <c r="Q24"/>
  <c r="Q23"/>
  <c r="P24"/>
  <c r="P23"/>
  <c r="P22"/>
  <c r="L17" i="16" l="1"/>
  <c r="K17"/>
  <c r="M6"/>
  <c r="M7"/>
  <c r="M8"/>
  <c r="M9"/>
  <c r="M10"/>
  <c r="M11"/>
  <c r="M12"/>
  <c r="M13"/>
  <c r="M14"/>
  <c r="M15"/>
  <c r="M16"/>
  <c r="M5"/>
  <c r="M17" l="1"/>
  <c r="M84" i="1"/>
  <c r="M73"/>
  <c r="M57"/>
  <c r="M54"/>
  <c r="M52"/>
  <c r="M15"/>
  <c r="M14" s="1"/>
  <c r="Q73" l="1"/>
  <c r="O73"/>
  <c r="S73"/>
  <c r="O52"/>
  <c r="Q52"/>
  <c r="S52"/>
  <c r="Q54"/>
  <c r="O54"/>
  <c r="S54"/>
  <c r="S14"/>
  <c r="Q15"/>
  <c r="O15"/>
  <c r="S15"/>
  <c r="M76"/>
  <c r="Q84"/>
  <c r="O84"/>
  <c r="S84"/>
  <c r="O57"/>
  <c r="Q57"/>
  <c r="S57"/>
  <c r="M46"/>
  <c r="M18" s="1"/>
  <c r="Q46" l="1"/>
  <c r="O46"/>
  <c r="S46"/>
  <c r="Q76"/>
  <c r="O76"/>
  <c r="S76"/>
  <c r="Q14"/>
  <c r="O14"/>
  <c r="O18" l="1"/>
  <c r="Q18"/>
  <c r="S18"/>
  <c r="M12"/>
  <c r="S12" s="1"/>
  <c r="Q12" l="1"/>
  <c r="O12"/>
  <c r="I12" i="17"/>
  <c r="I13" s="1"/>
  <c r="M17" i="23"/>
  <c r="M16" s="1"/>
  <c r="I14" i="17" l="1"/>
  <c r="I15" l="1"/>
  <c r="I16" l="1"/>
  <c r="I17" l="1"/>
  <c r="M8" i="21" l="1"/>
  <c r="F7" s="1"/>
  <c r="R8"/>
  <c r="I18" i="17"/>
  <c r="I19" l="1"/>
  <c r="I20" l="1"/>
  <c r="P20" s="1"/>
  <c r="I21" l="1"/>
  <c r="P21" s="1"/>
  <c r="I22" l="1"/>
  <c r="AB41" i="23" l="1"/>
  <c r="AC41" s="1"/>
  <c r="AB62"/>
  <c r="AC62" s="1"/>
  <c r="AB61"/>
  <c r="AC61" s="1"/>
  <c r="L8" i="22"/>
  <c r="AB53" i="23" l="1"/>
  <c r="AC53" s="1"/>
  <c r="AB52"/>
  <c r="AC52" s="1"/>
  <c r="R8" i="22"/>
  <c r="M8"/>
  <c r="F7" s="1"/>
  <c r="AB37" i="23" l="1"/>
  <c r="AC37" s="1"/>
  <c r="AB59"/>
  <c r="AC59" s="1"/>
  <c r="AB60"/>
  <c r="AC60" s="1"/>
  <c r="AB67"/>
  <c r="AC67" s="1"/>
  <c r="AB66"/>
  <c r="AC66" s="1"/>
  <c r="AB51"/>
  <c r="AC51" s="1"/>
  <c r="AB68" l="1"/>
  <c r="AC68" s="1"/>
  <c r="E7" i="18"/>
  <c r="AB83" i="23" l="1"/>
  <c r="AC83" s="1"/>
  <c r="AB73" l="1"/>
  <c r="AC73" s="1"/>
  <c r="AB28"/>
  <c r="AC28" s="1"/>
  <c r="AB34"/>
  <c r="AC34" s="1"/>
  <c r="AB43"/>
  <c r="AC43" s="1"/>
  <c r="AB30"/>
  <c r="AC30" s="1"/>
  <c r="AB38"/>
  <c r="AC38" s="1"/>
  <c r="AB36"/>
  <c r="AC36" s="1"/>
  <c r="AB29"/>
  <c r="AC29" s="1"/>
  <c r="AB54"/>
  <c r="AC54" s="1"/>
  <c r="AB55"/>
  <c r="AC55" s="1"/>
  <c r="AB42"/>
  <c r="AC42" s="1"/>
  <c r="AB58"/>
  <c r="AC58" s="1"/>
  <c r="AB44"/>
  <c r="AC44" s="1"/>
  <c r="AB35"/>
  <c r="AC35" s="1"/>
  <c r="AB46"/>
  <c r="AC46" s="1"/>
  <c r="AB47"/>
  <c r="AC47" s="1"/>
  <c r="AB39"/>
  <c r="AC39" s="1"/>
  <c r="AB80"/>
  <c r="AC80" s="1"/>
  <c r="AB79"/>
  <c r="AC79" s="1"/>
  <c r="AB48"/>
  <c r="AC48" s="1"/>
  <c r="AB45"/>
  <c r="AC45" s="1"/>
  <c r="AB77"/>
  <c r="AC77" s="1"/>
  <c r="AB31"/>
  <c r="AC31" s="1"/>
  <c r="AB32"/>
  <c r="AC32" s="1"/>
  <c r="AB27"/>
  <c r="AC27" s="1"/>
  <c r="AB33"/>
  <c r="AC33" s="1"/>
  <c r="AB70"/>
  <c r="AC70" s="1"/>
  <c r="AB69"/>
  <c r="AC69" s="1"/>
  <c r="AB50"/>
  <c r="AC50" s="1"/>
  <c r="AB49"/>
  <c r="AC49" s="1"/>
  <c r="AB57"/>
  <c r="AC57" s="1"/>
  <c r="AB21"/>
  <c r="AC21" s="1"/>
  <c r="AB22"/>
  <c r="AC22" s="1"/>
  <c r="AB40"/>
  <c r="AC40" s="1"/>
  <c r="AB74" l="1"/>
  <c r="AC74" s="1"/>
  <c r="F28" i="17"/>
  <c r="D30"/>
  <c r="AB76" i="23"/>
  <c r="AC76" s="1"/>
  <c r="AB25"/>
  <c r="AC25" s="1"/>
  <c r="AB26"/>
  <c r="AC26" s="1"/>
  <c r="AB56"/>
  <c r="AC56" s="1"/>
  <c r="L8" i="18"/>
  <c r="R8" s="1"/>
  <c r="D31" i="17" l="1"/>
  <c r="AB84" i="23"/>
  <c r="AC84" s="1"/>
  <c r="AB85"/>
  <c r="AC85" s="1"/>
  <c r="AB65"/>
  <c r="AC65" s="1"/>
  <c r="AB64"/>
  <c r="AC64" s="1"/>
  <c r="AB82"/>
  <c r="AC82" s="1"/>
  <c r="AB19"/>
  <c r="AC19" s="1"/>
  <c r="M8" i="18"/>
  <c r="E7" i="29" l="1"/>
  <c r="AB24" i="23" l="1"/>
  <c r="AC24" s="1"/>
  <c r="Y87" l="1"/>
  <c r="AB87" l="1"/>
  <c r="AC87" s="1"/>
  <c r="AA87"/>
  <c r="F30" i="17"/>
  <c r="I30" s="1"/>
  <c r="Z87" i="23"/>
  <c r="Y86"/>
  <c r="AA86" s="1"/>
  <c r="AB86" l="1"/>
  <c r="AC86" s="1"/>
  <c r="X14"/>
  <c r="Y12"/>
  <c r="AA14" s="1"/>
  <c r="Z86"/>
  <c r="Y72"/>
  <c r="I23" i="17" l="1"/>
  <c r="E29"/>
  <c r="AA72" i="23"/>
  <c r="X17"/>
  <c r="X16" s="1"/>
  <c r="Z72"/>
  <c r="AB72"/>
  <c r="AC72" s="1"/>
  <c r="L8" i="29"/>
  <c r="C25" i="17" l="1"/>
  <c r="H24"/>
  <c r="G24"/>
  <c r="R8" i="29"/>
  <c r="M8"/>
  <c r="F7" s="1"/>
  <c r="AB18" i="23"/>
  <c r="AC18" s="1"/>
  <c r="Y17"/>
  <c r="Y16" l="1"/>
  <c r="AA17"/>
  <c r="R8" i="25"/>
  <c r="I24" i="17" l="1"/>
  <c r="M13" i="21" l="1"/>
  <c r="M13" i="18"/>
  <c r="M13" i="22" l="1"/>
  <c r="F29" i="17" l="1"/>
  <c r="I29" s="1"/>
  <c r="E31"/>
  <c r="E33" s="1"/>
  <c r="F31" l="1"/>
</calcChain>
</file>

<file path=xl/sharedStrings.xml><?xml version="1.0" encoding="utf-8"?>
<sst xmlns="http://schemas.openxmlformats.org/spreadsheetml/2006/main" count="7168" uniqueCount="689">
  <si>
    <t>REALISASI FISIK DAN KEUANGAN</t>
  </si>
  <si>
    <t>PROGRAM UPAYA KESEHATAN MASYARAKAT</t>
  </si>
  <si>
    <t>KEGIATAN PELAYANAN KESEHATAN DASAR JAMINAN KESEHATAN NASIONAL DI PUSKESMAS CIMAHI TENGAH (16.31)</t>
  </si>
  <si>
    <t>KODE REKENING</t>
  </si>
  <si>
    <t>KEGIATAN</t>
  </si>
  <si>
    <t>LOKASI</t>
  </si>
  <si>
    <t>PAGU ANGGARAN (Rp)</t>
  </si>
  <si>
    <t>REALISASI</t>
  </si>
  <si>
    <t>KENDALA/ PERMASALAHAN</t>
  </si>
  <si>
    <t>SOLUSI</t>
  </si>
  <si>
    <t>SAMPAI DG BL LALU</t>
  </si>
  <si>
    <t>BULAN INI</t>
  </si>
  <si>
    <t>S/D BL INI</t>
  </si>
  <si>
    <t>FISIK</t>
  </si>
  <si>
    <t>KEUANGAN</t>
  </si>
  <si>
    <t>Rp.</t>
  </si>
  <si>
    <t>%</t>
  </si>
  <si>
    <t>02</t>
  </si>
  <si>
    <t>01</t>
  </si>
  <si>
    <t>Cimahi Tengah</t>
  </si>
  <si>
    <t>PELAYANAN KESEHATAN DASAR JAMINAN KESEHATAN NASIONAL DI PUSKESMAS CIMAHI TENGAH</t>
  </si>
  <si>
    <t>BELANJA LANGSUNG</t>
  </si>
  <si>
    <t>BELANJA PEGAWAI</t>
  </si>
  <si>
    <t>Honorarium PNS</t>
  </si>
  <si>
    <t>05</t>
  </si>
  <si>
    <t>06</t>
  </si>
  <si>
    <t>08</t>
  </si>
  <si>
    <t>Jasa Pelayanan</t>
  </si>
  <si>
    <t>Jasa Pelayanan Kesehatan</t>
  </si>
  <si>
    <t>BELANJA BARANG DAN JASA</t>
  </si>
  <si>
    <t>Belanja Bahan  Pakai Habis</t>
  </si>
  <si>
    <t>Belanja alat tulis kantor</t>
  </si>
  <si>
    <t>04</t>
  </si>
  <si>
    <t>Belanja perangko, materai dan benda pos lainnya</t>
  </si>
  <si>
    <t>Belanja Peralatan Kebersihan dan Badan Pembersih</t>
  </si>
  <si>
    <t>Belanja Pengisian tabung gas</t>
  </si>
  <si>
    <t>Belanja BBM dan Pelumas Kendaraan</t>
  </si>
  <si>
    <t>Belanja bahan habis pakai peralatan rumah tangga</t>
  </si>
  <si>
    <t>Belanja Kit Pelatihan</t>
  </si>
  <si>
    <t>Belanja Cinderamata</t>
  </si>
  <si>
    <t>Belanja dokumentasi dan media periklanan</t>
  </si>
  <si>
    <t>Belanja bahan /material</t>
  </si>
  <si>
    <t>Belanja bahan kimia</t>
  </si>
  <si>
    <t>Belanja bahan pokok natura</t>
  </si>
  <si>
    <t>03</t>
  </si>
  <si>
    <t>Belanja Jasa Kantor</t>
  </si>
  <si>
    <t>Belanja kawat / faksimili / internet</t>
  </si>
  <si>
    <t>09</t>
  </si>
  <si>
    <t>Belanja Jasa Transaksi Keuangan</t>
  </si>
  <si>
    <t>Belanja Jasa Pemeliharaan peralatan dan perlengkapan kantor</t>
  </si>
  <si>
    <t>Belanja cetak dan penggandaan</t>
  </si>
  <si>
    <t xml:space="preserve">Belanja cetak </t>
  </si>
  <si>
    <t>Belanja penggandaan</t>
  </si>
  <si>
    <t>Belanja penjilidan</t>
  </si>
  <si>
    <t>Belanja makanan dan minuman</t>
  </si>
  <si>
    <t>Belanja makanan dan minuman rapat</t>
  </si>
  <si>
    <t>Belanja Perjalanan Dinas</t>
  </si>
  <si>
    <t>Belanja Perjalanan Dinas Dalam Daerah</t>
  </si>
  <si>
    <t>Belanja Perjalanan Dinas Luar Daerah</t>
  </si>
  <si>
    <t>Belanja Kursus / Pelatihan</t>
  </si>
  <si>
    <t>Biaya Kursus</t>
  </si>
  <si>
    <t>Belanja Pemeliharaan Alat Kesehatan Puskesmas Cimahi Tengah</t>
  </si>
  <si>
    <t>Belanja Pemeliharaan Gedung Puskesmas</t>
  </si>
  <si>
    <t>Belanja Jasa Tenaga Ahli,Instruktur/Narasumber / Penceramah</t>
  </si>
  <si>
    <t>Jasa Narasumber / Widyaiswara</t>
  </si>
  <si>
    <t>Belanja Jasa Peserta Kegiatan</t>
  </si>
  <si>
    <t>Jasa peserta kegiatan Non PNS</t>
  </si>
  <si>
    <t>BELANJA MODAL</t>
  </si>
  <si>
    <t>Belanja modal Peralatan dan Mesin Alat Kantor</t>
  </si>
  <si>
    <t>Belanja modal pengadaan Alat Penyimpanan Perlengkapan Kantor</t>
  </si>
  <si>
    <t>Belanja modal Peralatan dan Mesin Rumah Tangga</t>
  </si>
  <si>
    <t>Belanja modal pengadaan Peralatan dan Mesin komputer</t>
  </si>
  <si>
    <t>Belanja modal pengadaan Printer</t>
  </si>
  <si>
    <t>Belanja modal peralatan dan alat studio</t>
  </si>
  <si>
    <t xml:space="preserve">Belanja modal pengadaan Alat Komunikasi </t>
  </si>
  <si>
    <t>Belanja modal pengadaan alat-alat kedokteran</t>
  </si>
  <si>
    <t>Belanja modal pengadaan alat-alat kedokteran umum</t>
  </si>
  <si>
    <t>Belanja modal pengadaan alat-alat kedokteran gigi</t>
  </si>
  <si>
    <t>Belanja modal pengadaan alat-alat kedokteran dan kebidanan dan penyakit kandungan</t>
  </si>
  <si>
    <t>PEJABAT PELAKSANA TEKNIS KEGIATAN</t>
  </si>
  <si>
    <t>Puskesmas Cimahi Tengah</t>
  </si>
  <si>
    <t xml:space="preserve">Belanja Penyedia Jasa </t>
  </si>
  <si>
    <t>Belanja Penyedia Jasa Even Organizer</t>
  </si>
  <si>
    <t>Belanja Penyedia Jasa Instalasi</t>
  </si>
  <si>
    <t>Belanja bahan /material (Obat, Bahan Kimia &amp; Natura)</t>
  </si>
  <si>
    <t>NO</t>
  </si>
  <si>
    <t>BULAN</t>
  </si>
  <si>
    <t>KAPITASI</t>
  </si>
  <si>
    <t>PENYERAPAN</t>
  </si>
  <si>
    <t>NON KAPITASI</t>
  </si>
  <si>
    <t>Januari</t>
  </si>
  <si>
    <t>146.694.000</t>
  </si>
  <si>
    <t>118.495.900</t>
  </si>
  <si>
    <t>-</t>
  </si>
  <si>
    <t>Februari</t>
  </si>
  <si>
    <t>145.890.000</t>
  </si>
  <si>
    <t>205.100.741</t>
  </si>
  <si>
    <t>140,59%</t>
  </si>
  <si>
    <t>Maret</t>
  </si>
  <si>
    <t>145.044.000</t>
  </si>
  <si>
    <t>244.508.985</t>
  </si>
  <si>
    <t>168,58%</t>
  </si>
  <si>
    <t>April</t>
  </si>
  <si>
    <t>145.988.000</t>
  </si>
  <si>
    <t>157.358.200</t>
  </si>
  <si>
    <t>107,79%</t>
  </si>
  <si>
    <t>Mei</t>
  </si>
  <si>
    <t>145.692.000</t>
  </si>
  <si>
    <t>153.441.260</t>
  </si>
  <si>
    <t>105,32%</t>
  </si>
  <si>
    <t>Juni</t>
  </si>
  <si>
    <t>146.418.000</t>
  </si>
  <si>
    <t>0,53%</t>
  </si>
  <si>
    <t>Juli</t>
  </si>
  <si>
    <t>175.592.700</t>
  </si>
  <si>
    <t>79,86%</t>
  </si>
  <si>
    <t>145.398.000</t>
  </si>
  <si>
    <t>Agustus</t>
  </si>
  <si>
    <t>144.480.000</t>
  </si>
  <si>
    <t>115.384.609</t>
  </si>
  <si>
    <t>September</t>
  </si>
  <si>
    <t>142.626.000</t>
  </si>
  <si>
    <t>124.131.642</t>
  </si>
  <si>
    <t>87,03%</t>
  </si>
  <si>
    <t>Oktober</t>
  </si>
  <si>
    <t>165.017.300</t>
  </si>
  <si>
    <t>115,70%</t>
  </si>
  <si>
    <t>November</t>
  </si>
  <si>
    <t>139.560.000</t>
  </si>
  <si>
    <t>343.306.950</t>
  </si>
  <si>
    <t>245,99%</t>
  </si>
  <si>
    <t>Desember</t>
  </si>
  <si>
    <t>141.594.000</t>
  </si>
  <si>
    <t>247.219.756</t>
  </si>
  <si>
    <t>174,60%</t>
  </si>
  <si>
    <t>TOTAL</t>
  </si>
  <si>
    <t>1.732.010.000</t>
  </si>
  <si>
    <t>2.050.327.543</t>
  </si>
  <si>
    <t>Total</t>
  </si>
  <si>
    <t>Belanja Barang dan Jasa</t>
  </si>
  <si>
    <t>Rp 353.361.987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</si>
  <si>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Belanja Bahan Habis Pakai</t>
    </r>
  </si>
  <si>
    <t xml:space="preserve">Rp. 171.586.677 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</si>
  <si>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Belanja Jasa Kantor</t>
    </r>
  </si>
  <si>
    <t>Rp. 14.677.000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</si>
  <si>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Belanja Makanan dan Minuman</t>
    </r>
  </si>
  <si>
    <t>Rp 29.850.000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</si>
  <si>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Belanja Cetak dan Penggandaan</t>
    </r>
  </si>
  <si>
    <t>Rp. 7.550.000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</si>
  <si>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Belanja Perjalanan Dinas</t>
    </r>
  </si>
  <si>
    <t>Rp. 4.500.000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</si>
  <si>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Belanja  Kursus</t>
    </r>
  </si>
  <si>
    <t>Rp. 3.580.000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</si>
  <si>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 xml:space="preserve">Belanja Pemeliharaan Alat Kesehatan </t>
    </r>
  </si>
  <si>
    <t>Rp. 10.000.000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</si>
  <si>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Belanja Jasa Tenaga Ahli, Instruktur/Narasumber/Penceramah</t>
    </r>
  </si>
  <si>
    <t>Rp. 21.450.000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</si>
  <si>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Belanja Jasa Peserta Kegiatan</t>
    </r>
  </si>
  <si>
    <t>Rp. 56.700.000</t>
  </si>
  <si>
    <t>Belanja Modal</t>
  </si>
  <si>
    <t>Rp. 88.271.799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</si>
  <si>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Belanja Modal Peralatan dan Mesin Alat Kantor</t>
    </r>
  </si>
  <si>
    <t>Rp. 2.915.000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</si>
  <si>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>Belanja Modal Pengadaan Alat- Alat Kedokteran</t>
    </r>
  </si>
  <si>
    <t>Rp. 35.856.799</t>
  </si>
  <si>
    <t>JUMLAH</t>
  </si>
  <si>
    <t>Rp 967.212.186</t>
  </si>
  <si>
    <t>No.</t>
  </si>
  <si>
    <t>Sub Kegiatan</t>
  </si>
  <si>
    <t>Pembiayaan</t>
  </si>
  <si>
    <r>
      <t xml:space="preserve">Belanja </t>
    </r>
    <r>
      <rPr>
        <i/>
        <sz val="12"/>
        <rFont val="Calibri"/>
        <family val="2"/>
        <scheme val="minor"/>
      </rPr>
      <t>fax machine</t>
    </r>
  </si>
  <si>
    <t>Jasa Penceramah</t>
  </si>
  <si>
    <t>Belanja Jasa Tenaga Pendukung</t>
  </si>
  <si>
    <t>Belanja modal Peralatan dan Mesin Unit-unit Laboratorium</t>
  </si>
  <si>
    <t>Belanja modal pengadaan alat laboratorium Kedokteran</t>
  </si>
  <si>
    <t>Belanja Penyedia Jasa</t>
  </si>
  <si>
    <t>Belanja modal pengadaan mebelair</t>
  </si>
  <si>
    <t>Siti Sopiah, SKM.,MM.</t>
  </si>
  <si>
    <t>NIP.19690620 199103 2 007</t>
  </si>
  <si>
    <t>Kuasa Pengguna Anggaran</t>
  </si>
  <si>
    <t>dr. Sri Utari</t>
  </si>
  <si>
    <t>NIP. 19770621 200604 2 022</t>
  </si>
  <si>
    <t>MENGETAHUI:</t>
  </si>
  <si>
    <t>KUASA PENGGUNA ANGGARAN</t>
  </si>
  <si>
    <t>NIP. 197706212006042022</t>
  </si>
  <si>
    <t>Cimahi, 2 Oktober  2018</t>
  </si>
  <si>
    <t>ANGGARAN</t>
  </si>
  <si>
    <t>DANA KAPITASI 
DITERIMA</t>
  </si>
  <si>
    <t>SALDO PKM</t>
  </si>
  <si>
    <t>JUMLAH
KEPESERTAAN</t>
  </si>
  <si>
    <t>ABSOLUT</t>
  </si>
  <si>
    <t>% thd Anggaran</t>
  </si>
  <si>
    <t>% thd Kapitasi</t>
  </si>
  <si>
    <t>A</t>
  </si>
  <si>
    <t>SILPA</t>
  </si>
  <si>
    <t>B</t>
  </si>
  <si>
    <t xml:space="preserve">Kapitasi 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</si>
  <si>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</si>
  <si>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</si>
  <si>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</si>
  <si>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</si>
  <si>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</si>
  <si>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</si>
  <si>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</si>
  <si>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</si>
  <si>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</si>
  <si>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</si>
  <si>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</si>
  <si>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</si>
  <si>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C</t>
  </si>
  <si>
    <t>SISA ANGGARAN</t>
  </si>
  <si>
    <t>Real</t>
  </si>
  <si>
    <t>Proporsi</t>
  </si>
  <si>
    <t>SALDO</t>
  </si>
  <si>
    <t>Realisasi</t>
  </si>
  <si>
    <t>Jaspel 60%</t>
  </si>
  <si>
    <t>BULAN   LAYANAN</t>
  </si>
  <si>
    <t>DANA KAPITASI YANKES JKN</t>
  </si>
  <si>
    <t>TERIMA</t>
  </si>
  <si>
    <t>BELANJA</t>
  </si>
  <si>
    <t xml:space="preserve">MONITORING DAN EVALUASI PENERIMAAN DAN PENGELUARAN DANA KAPITASI JKN </t>
  </si>
  <si>
    <t>PENGUKURAN KINERJA KEGIATAN</t>
  </si>
  <si>
    <t>PROGRAM DAN KEGIATAN</t>
  </si>
  <si>
    <t>KET.</t>
  </si>
  <si>
    <t>FISIK
(%)</t>
  </si>
  <si>
    <t>KEU 
(Rp.)</t>
  </si>
  <si>
    <t>INDIKATOR KINERJA</t>
  </si>
  <si>
    <t>SATUAN</t>
  </si>
  <si>
    <t>TARGET</t>
  </si>
  <si>
    <t xml:space="preserve">REALISASI </t>
  </si>
  <si>
    <t>CAPAIAN KINERJA (%)</t>
  </si>
  <si>
    <t>16</t>
  </si>
  <si>
    <t>29</t>
  </si>
  <si>
    <t>Masukan</t>
  </si>
  <si>
    <t>1</t>
  </si>
  <si>
    <t xml:space="preserve"> Dana</t>
  </si>
  <si>
    <t>Rupiah</t>
  </si>
  <si>
    <t>2</t>
  </si>
  <si>
    <t>Sumber Daya Manusia</t>
  </si>
  <si>
    <t>Orang</t>
  </si>
  <si>
    <t>3</t>
  </si>
  <si>
    <t>Tersedianya Waktu</t>
  </si>
  <si>
    <t>Bulan</t>
  </si>
  <si>
    <t>4</t>
  </si>
  <si>
    <t>Peraturan</t>
  </si>
  <si>
    <t>Dokumen</t>
  </si>
  <si>
    <t>Keluaran</t>
  </si>
  <si>
    <t>Hasil</t>
  </si>
  <si>
    <t>Peserta</t>
  </si>
  <si>
    <t>Pengadaan Alat Kesehatan</t>
  </si>
  <si>
    <t>NIP. 19690920 199103 2 007</t>
  </si>
  <si>
    <t>JAN</t>
  </si>
  <si>
    <t>FEB</t>
  </si>
  <si>
    <t>MAR</t>
  </si>
  <si>
    <t>APR</t>
  </si>
  <si>
    <t>JUN</t>
  </si>
  <si>
    <t>AGUST</t>
  </si>
  <si>
    <t>SEP</t>
  </si>
  <si>
    <t>OKT</t>
  </si>
  <si>
    <t>NOP</t>
  </si>
  <si>
    <t>DES</t>
  </si>
  <si>
    <t>JLH</t>
  </si>
  <si>
    <t xml:space="preserve">Pengadaan Bahan Medis Habis Pakai </t>
  </si>
  <si>
    <t xml:space="preserve">Honorarium Pejabat Pengadaan </t>
  </si>
  <si>
    <t xml:space="preserve">Honorarium Pejabat Penerima </t>
  </si>
  <si>
    <t>Honorarium PPK</t>
  </si>
  <si>
    <t>FGD Penyakit Hipertensi Peserta JKN</t>
  </si>
  <si>
    <t>ATK</t>
  </si>
  <si>
    <t>FC</t>
  </si>
  <si>
    <t>MAMIN</t>
  </si>
  <si>
    <t>NARSUM</t>
  </si>
  <si>
    <t>UANG SAKU</t>
  </si>
  <si>
    <t>FGD Penyakit DM Peserta JKN</t>
  </si>
  <si>
    <t>FGD Penyakit TB Peserta JKN</t>
  </si>
  <si>
    <t>FGD Penyakit Dislipidemia Peserta JKN</t>
  </si>
  <si>
    <t>FGD Kesehatan Jiwa Peserta JKN</t>
  </si>
  <si>
    <t>Sosialisasi JKN</t>
  </si>
  <si>
    <t xml:space="preserve">Terlayaninya peserta JKN yang memerlukan pelayanan kesehatan dasar di PKM Cimahi Tengah
</t>
  </si>
  <si>
    <t>Meningkatnya cakupan kepesertaan JKN di  Cimahi Tengah</t>
  </si>
  <si>
    <t>NAMA PUSKESMAS  : CIMAHI TENGAH</t>
  </si>
  <si>
    <t>Kegiatan Pelayanan Kesehatan Dasar Jaminan Kesehatan Nasional di Puskesmas Cimahi Tengah</t>
  </si>
  <si>
    <t>URAIAN</t>
  </si>
  <si>
    <t xml:space="preserve">Karbol </t>
  </si>
  <si>
    <t>Kanebo</t>
  </si>
  <si>
    <t>Sikat Kloset</t>
  </si>
  <si>
    <t>Kawat Pembersih</t>
  </si>
  <si>
    <t>Busa Pembersih</t>
  </si>
  <si>
    <t>Sapu Halaman</t>
  </si>
  <si>
    <t>Keset Kamar mandi</t>
  </si>
  <si>
    <t>Sabun Cuci Tangan</t>
  </si>
  <si>
    <t>Plastik Sampah</t>
  </si>
  <si>
    <t>Pengharum Ruangan Automac</t>
  </si>
  <si>
    <t>Refill pengharum ruangan</t>
  </si>
  <si>
    <t>Tempat sampah tertutup besar</t>
  </si>
  <si>
    <t>Tempat sampah tertutup kecil</t>
  </si>
  <si>
    <t>Kamper kamar mandi</t>
  </si>
  <si>
    <t>Alat pel dorong</t>
  </si>
  <si>
    <t>Tissue Dispenser</t>
  </si>
  <si>
    <t>Belanja Habis Pakai Peralatan Rumah Tangga</t>
  </si>
  <si>
    <t>Sprey dan sarung bantal</t>
  </si>
  <si>
    <t>Selimut Pasien</t>
  </si>
  <si>
    <t>gelas plastik pasien</t>
  </si>
  <si>
    <t xml:space="preserve">Belanja Kit Pembinaan kader KP JKN </t>
  </si>
  <si>
    <t>40 org x 1 pkt</t>
  </si>
  <si>
    <t xml:space="preserve">Belanja Kit Pembinaaan Kesehatan  balita kurang gizi  </t>
  </si>
  <si>
    <t>25 org x 1 pkt (tas:100rb, buku edukasi:25rb)</t>
  </si>
  <si>
    <t xml:space="preserve">Belanja Kit Kegiatan Prolanis Puskesmas Cimahi Tengah </t>
  </si>
  <si>
    <t>50 org x 1 pkt (baju olah raga)</t>
  </si>
  <si>
    <t xml:space="preserve">Belanja Cetak </t>
  </si>
  <si>
    <t xml:space="preserve">Cetak  Kartu Rekam Medis </t>
  </si>
  <si>
    <t>Cetak format pendataan keluarga sehat</t>
  </si>
  <si>
    <t>Cetak Stiker etiket obat</t>
  </si>
  <si>
    <t>Cetak Blanko hasil lab</t>
  </si>
  <si>
    <t>Cetak Blangko Rujukan Laboratorium</t>
  </si>
  <si>
    <t xml:space="preserve">Cetak Blangko Resep </t>
  </si>
  <si>
    <t>Cetak kertas etiket obat</t>
  </si>
  <si>
    <t>Cetak kartu stock obat</t>
  </si>
  <si>
    <t>Cetak inform consent</t>
  </si>
  <si>
    <t>Cetak Map Rekam Medik</t>
  </si>
  <si>
    <t>Cetak Form Rekam Medik</t>
  </si>
  <si>
    <t>Cetak buku kegiatan harian petugas</t>
  </si>
  <si>
    <t>Belanja Penyedian Jasa Instalasi</t>
  </si>
  <si>
    <t>Instalasi Listrik</t>
  </si>
  <si>
    <t>Instalasi Genset</t>
  </si>
  <si>
    <t>Belanja Lemari  Rekam Medis</t>
  </si>
  <si>
    <t>Belanja Modal Pengadaan Alat Pendingin</t>
  </si>
  <si>
    <t>Belanja AC 1 PK berikut Pasang</t>
  </si>
  <si>
    <t>Exhausted Fan</t>
  </si>
  <si>
    <t>Belanja Modal Pengadaan Komputer Puskesmas Cimahi Tengah</t>
  </si>
  <si>
    <t>Belanja Modal Pengadaan Printer Puskesmas Cimahi Tengah</t>
  </si>
  <si>
    <t xml:space="preserve">Belanja Modal Pengadaan Personal Komputer </t>
  </si>
  <si>
    <t>Belanja Modal Pengadaan Personal Komputer</t>
  </si>
  <si>
    <t>Alkes, reagen  BMHP obat</t>
  </si>
  <si>
    <t>Sapras dan Operasiaonal lainnya</t>
  </si>
  <si>
    <t>Belanja modal Pengadaan Alat Kantor Lainny</t>
  </si>
  <si>
    <t>SISA</t>
  </si>
  <si>
    <t xml:space="preserve">SILPA TAHUN LALU </t>
  </si>
  <si>
    <t xml:space="preserve">Pendapatan Bulan Ini </t>
  </si>
  <si>
    <t>Jumlah Pendapatan s.d. Bulan ini</t>
  </si>
  <si>
    <t>Jumlah Realisasi bulan ini</t>
  </si>
  <si>
    <t>Jumlah Realisasi s.d. bulan ini</t>
  </si>
  <si>
    <t>PENGADAAN OKTOBER - DESEMBER</t>
  </si>
  <si>
    <t>PENYEDIA</t>
  </si>
  <si>
    <t>LISA</t>
  </si>
  <si>
    <t>KODERING</t>
  </si>
  <si>
    <t>ALAT KEBERSIHAN</t>
  </si>
  <si>
    <t>galon</t>
  </si>
  <si>
    <t>buah</t>
  </si>
  <si>
    <t>pak</t>
  </si>
  <si>
    <t>bh</t>
  </si>
  <si>
    <t>Unit</t>
  </si>
  <si>
    <t>LUTFI</t>
  </si>
  <si>
    <t>unit</t>
  </si>
  <si>
    <t>Pkt</t>
  </si>
  <si>
    <t>WAWAN</t>
  </si>
  <si>
    <t>SUDAH</t>
  </si>
  <si>
    <t>PAPAN INFORMASI</t>
  </si>
  <si>
    <t>paket</t>
  </si>
  <si>
    <t>CETAK</t>
  </si>
  <si>
    <t>lembar</t>
  </si>
  <si>
    <t>rim</t>
  </si>
  <si>
    <t>buku</t>
  </si>
  <si>
    <t>lbr</t>
  </si>
  <si>
    <t>KAOS Kape JKN</t>
  </si>
  <si>
    <t>KAOS Prolanis</t>
  </si>
  <si>
    <t>,</t>
  </si>
  <si>
    <t xml:space="preserve">Jasa Tenaga Pendukung Kegiatan Non PNS </t>
  </si>
  <si>
    <t xml:space="preserve">Belanja Pemeliharaan Alat Kesehatan </t>
  </si>
  <si>
    <t xml:space="preserve"> TAHUN 2018</t>
  </si>
  <si>
    <t xml:space="preserve">Belanja bahan kebutuhan Medis </t>
  </si>
  <si>
    <t>Cimahi, 31 Desember 2018</t>
  </si>
  <si>
    <t>Cimahi, 31 Desember  2018</t>
  </si>
  <si>
    <t>TRIWULAN IV TAHUN 2018</t>
  </si>
  <si>
    <t>ppn</t>
  </si>
  <si>
    <t>pph</t>
  </si>
  <si>
    <t>HITUNG PAJAK</t>
  </si>
  <si>
    <t>PPN</t>
  </si>
  <si>
    <t>TRANSFER KE PERUSAHAAN</t>
  </si>
  <si>
    <t>TOTAL BELANJA</t>
  </si>
  <si>
    <t>TANGGAL</t>
  </si>
  <si>
    <t>17/12/2018</t>
  </si>
  <si>
    <t xml:space="preserve">Belanja modal pengadaan alat-alat kedokteran ( AUTOCLAVE) </t>
  </si>
  <si>
    <t>Belanja Instalasi Listrik</t>
  </si>
  <si>
    <t>Belanja Instalasi Genset</t>
  </si>
  <si>
    <t>Belanja modal pengadaan mebelair (pendaftaran)</t>
  </si>
  <si>
    <t>Belanja modal Pengadaan Alat Pendingin (AC)</t>
  </si>
  <si>
    <t>Belanja modal Pengadaan Alat Pendingin ( Exhaust Fan)</t>
  </si>
  <si>
    <t>PENGADAAN BARANG JASA</t>
  </si>
  <si>
    <t>METODA</t>
  </si>
  <si>
    <t>Pengadaan langsung</t>
  </si>
  <si>
    <t>Melalui ULP</t>
  </si>
  <si>
    <t>KETERANGAN</t>
  </si>
  <si>
    <t>E Purchasing</t>
  </si>
  <si>
    <t>Belanja Konsultan P erencana Penataan Ruang Pendaftaran dan Poli Gigi</t>
  </si>
  <si>
    <t>Belanja modal pengadaan mebelair (Poli Gigi)</t>
  </si>
  <si>
    <t>Belanja bahan kimia ( Reagen)</t>
  </si>
  <si>
    <t>October</t>
  </si>
  <si>
    <t>Belanja modal pengadaan mebelair Muja Rapat</t>
  </si>
  <si>
    <t>Belanja modal pengadaan mebelair Meja Kerja</t>
  </si>
  <si>
    <t xml:space="preserve">Belanja modal pengadaan alat-alat kedokteran (AUTOCLAVE) </t>
  </si>
  <si>
    <t>Belanja Kit Pelatihan ( Kaos Prolanis)</t>
  </si>
  <si>
    <t>18/12/2018</t>
  </si>
  <si>
    <t>KET</t>
  </si>
  <si>
    <t>13/12/2018</t>
  </si>
  <si>
    <t>13/12/2018.</t>
  </si>
  <si>
    <t>PPN+PPH</t>
  </si>
  <si>
    <t>PPH 22</t>
  </si>
  <si>
    <t>PPH 23</t>
  </si>
  <si>
    <t>Sepre</t>
  </si>
  <si>
    <t>tunai</t>
  </si>
  <si>
    <t>PKK belum, nunggu laporan kontak rate sp 31 Desember</t>
  </si>
  <si>
    <t xml:space="preserve">SELISIH </t>
  </si>
  <si>
    <t>5 (3-4)</t>
  </si>
  <si>
    <t>9 (4-6)</t>
  </si>
  <si>
    <t>SALDO BANK</t>
  </si>
  <si>
    <t>SASARAN</t>
  </si>
  <si>
    <t>SDH DIDATA</t>
  </si>
  <si>
    <t>SDH ENTRI</t>
  </si>
  <si>
    <t>KELURAHAN</t>
  </si>
  <si>
    <t>CIMAHI</t>
  </si>
  <si>
    <t>KARANG MEKAR</t>
  </si>
  <si>
    <t>PIS PK</t>
  </si>
  <si>
    <t>oktober</t>
  </si>
  <si>
    <t>november</t>
  </si>
  <si>
    <t>desember</t>
  </si>
  <si>
    <t>jumlah</t>
  </si>
  <si>
    <t>pbi</t>
  </si>
  <si>
    <t>ppu</t>
  </si>
  <si>
    <t>mandiri</t>
  </si>
  <si>
    <t>Persentase peserta JKN yang mendapat pelayanan kesehatan dasar di Puskesmas Cimahi Tengah</t>
  </si>
  <si>
    <t>Cakupan pelayanan kesehatan bagi peserta JKN di puskesmas Cimahi Tengah</t>
  </si>
  <si>
    <t>Uang Lembur PNS</t>
  </si>
  <si>
    <t xml:space="preserve"> Belanja alat listrik dan elektronik (lampu pijar, battery kering)</t>
  </si>
  <si>
    <t>07</t>
  </si>
  <si>
    <t xml:space="preserve">Belanja Pajak Barang Milik Daerah </t>
  </si>
  <si>
    <t>10</t>
  </si>
  <si>
    <t xml:space="preserve"> Belanja Pemeliharaan Jaringan WAN/LAN</t>
  </si>
  <si>
    <t>Belanja Pemeliharaan Drainase</t>
  </si>
  <si>
    <t>Belanja Pemeliharaan Penampung Air/Resevoir</t>
  </si>
  <si>
    <t>Belanja Penyedia Jasa Dokumentasi</t>
  </si>
  <si>
    <t xml:space="preserve"> Belanja modal Pengadaan Alat Pendingin </t>
  </si>
  <si>
    <t xml:space="preserve"> Belanja modal Pengadaan Alat Rumah Tangga Lainnya (Home Use)</t>
  </si>
  <si>
    <t>Belanja modal Pengadaan Alat Farmasi</t>
  </si>
  <si>
    <t>KEGIATAN PELAYANAN KESEHATAN DASAR JAMINAN KESEHATAN NASIONAL DI PUSKESMAS CIMAHI TENGAH (38.06)</t>
  </si>
  <si>
    <t>Belanja pengisian tabung pemadam kebakaran</t>
  </si>
  <si>
    <t xml:space="preserve">Cimahi,  1 April 2019 </t>
  </si>
  <si>
    <t>TAHUN 2019</t>
  </si>
  <si>
    <t>TRIWULAN II TAHUN 2019</t>
  </si>
  <si>
    <t>Cimahi,  1 Juli 2019</t>
  </si>
  <si>
    <t>NAMA KEGIATAN</t>
  </si>
  <si>
    <t>Pengadaan BMHP</t>
  </si>
  <si>
    <t>Pengadaan Reagen</t>
  </si>
  <si>
    <t>Pemeliharaan air</t>
  </si>
  <si>
    <t>Anggaran Kas</t>
  </si>
  <si>
    <t>Pemeliharaan Gedung</t>
  </si>
  <si>
    <t>Belanja peralatan kebersihan dan bahan
pembersih</t>
  </si>
  <si>
    <t>Pemeriharaan LAN</t>
  </si>
  <si>
    <t>Prolanis</t>
  </si>
  <si>
    <t>Senam Mamih</t>
  </si>
  <si>
    <t>Belanja Cetak</t>
  </si>
  <si>
    <t>REALISASI FISIK</t>
  </si>
  <si>
    <t>REALISASI KEUANGAN</t>
  </si>
  <si>
    <t>Belum Pembayaran</t>
  </si>
  <si>
    <t>Sudah Pembayaran</t>
  </si>
  <si>
    <t xml:space="preserve">Belanja Bahan Kebutuhan Medis Farmasi
</t>
  </si>
  <si>
    <t>Agustus dalam proses</t>
  </si>
  <si>
    <t>RTL</t>
  </si>
  <si>
    <t>Pembayaran di bulan September</t>
  </si>
  <si>
    <t>EVALUASI</t>
  </si>
  <si>
    <t>Kegiatan selesai
 tepat waktu sesuai denga RPK Agustus 2019</t>
  </si>
  <si>
    <t>Kegiatan selesai tetapi tidak
 sesuai dikarenakan gagalnya tambah ruang UGD</t>
  </si>
  <si>
    <t>Kegiatan selesai tetapi belum pembayaran karena perlengkapa SPJ masi ada revisi</t>
  </si>
  <si>
    <t>Kegiatan pengadaan masih dalam proses di ULP</t>
  </si>
  <si>
    <t>Kegiatan selesai tetapi belum pembayaran karena perlengkapa SPJ masih ada revisi</t>
  </si>
  <si>
    <t>Kegiatan masih dalam proses</t>
  </si>
  <si>
    <t>Uang Lembur</t>
  </si>
  <si>
    <t>Jan</t>
  </si>
  <si>
    <t>TRIWULAN III TAHUN 2019</t>
  </si>
  <si>
    <t>Kegiatan selesai tetapi tidak</t>
  </si>
  <si>
    <t xml:space="preserve"> sesuai dikarenakan gagalnya tambah ruang UGD</t>
  </si>
  <si>
    <t>Belanja peralatan kebersihan dan bahan</t>
  </si>
  <si>
    <t>pembersih</t>
  </si>
  <si>
    <t>Belanja Bahan Kebutuhan Medis Farmasi</t>
  </si>
  <si>
    <t>Kegiatan selesai</t>
  </si>
  <si>
    <t xml:space="preserve"> tepat waktu sesuai denga RPK Agustus 2019</t>
  </si>
  <si>
    <t>EVALUASI KEGIATAN BULAN SEPTEMBER 2019</t>
  </si>
  <si>
    <t>Kegiatan pengadaan sudah selesai dilaksanakan dengan metode Pengadaan Langsung melalui ULP</t>
  </si>
  <si>
    <t>Reagen dimanfaatkan untuk pemeriksaal Lab</t>
  </si>
  <si>
    <t xml:space="preserve">September </t>
  </si>
  <si>
    <t>Agustus - September</t>
  </si>
  <si>
    <t>RENCANA KEGIATAN BULAN OKTOBER 2019</t>
  </si>
  <si>
    <t xml:space="preserve">RENCANA PELAKSANAAN </t>
  </si>
  <si>
    <t>3 &amp; 6 Oktober 2019</t>
  </si>
  <si>
    <t>GHSL</t>
  </si>
  <si>
    <t>Simulasi Bencana</t>
  </si>
  <si>
    <t>Setiap Hari Jumat</t>
  </si>
  <si>
    <t>Belanja  ATK</t>
  </si>
  <si>
    <t>Lokmin Tribulanan</t>
  </si>
  <si>
    <t>Pemeriharaan Jaringan  LAN</t>
  </si>
  <si>
    <t>Pengadaan Alkes</t>
  </si>
  <si>
    <t>September-Oktober</t>
  </si>
  <si>
    <t>Selesai</t>
  </si>
  <si>
    <t>Pengadaan Partisi: Ruang Pendaptarad dan Rekam Medis</t>
  </si>
  <si>
    <t>Pengadaan Finger Prin</t>
  </si>
  <si>
    <t>Mulya Mandiri</t>
  </si>
  <si>
    <t>mebeler</t>
  </si>
  <si>
    <t>finger prin</t>
  </si>
  <si>
    <t>neon box</t>
  </si>
  <si>
    <t>alkes</t>
  </si>
  <si>
    <t>alarem bel tanda bahaya/bencana</t>
  </si>
  <si>
    <t>printer</t>
  </si>
  <si>
    <t>vakum cleaner</t>
  </si>
  <si>
    <t>helm merah putih kuning biru</t>
  </si>
  <si>
    <t>reagen</t>
  </si>
  <si>
    <t>alat kebersihan Mulya Mandiri</t>
  </si>
  <si>
    <t xml:space="preserve">ATK </t>
  </si>
  <si>
    <t>Tunai</t>
  </si>
  <si>
    <t>Transfer</t>
  </si>
  <si>
    <t>belum</t>
  </si>
  <si>
    <t>sudah</t>
  </si>
  <si>
    <t>Gimmick promkes</t>
  </si>
  <si>
    <t>lemari arsip</t>
  </si>
  <si>
    <t>wawan</t>
  </si>
  <si>
    <t>Box file Plastik PVC Jumbo Bantex</t>
  </si>
  <si>
    <t>Pcs</t>
  </si>
  <si>
    <t xml:space="preserve">Name Tage </t>
  </si>
  <si>
    <t>Kertas HVS F4 70 gram</t>
  </si>
  <si>
    <t>Ordner Plastik PVC  7 Cm Bantex</t>
  </si>
  <si>
    <t>Kantong Persalinan</t>
  </si>
  <si>
    <t>Kantong Intervensi PIS PK</t>
  </si>
  <si>
    <t>Alas Timbangan Bayi</t>
  </si>
  <si>
    <t>Set</t>
  </si>
  <si>
    <t>Sprey Box Bayi</t>
  </si>
  <si>
    <t>Sarung untuk Mushala</t>
  </si>
  <si>
    <t>Bell Ruang Laboratorium</t>
  </si>
  <si>
    <t>Bunga Pajangan untuk di Aula</t>
  </si>
  <si>
    <t>Kegiatan Internal Petugas Puskesmas (35 x 1 Kl)</t>
  </si>
  <si>
    <t>Kaos  Kegiatan Pembinaan Kapasitas Pegawai  Puskesmas dalam rangka  membangun komitmen pelayanan dan meningkatkan etos kerja (35 x 1 Kl)</t>
  </si>
  <si>
    <t>Gimmick untuk kegiatan promosi kesehatan</t>
  </si>
  <si>
    <t>Dokumentasi dan Periklanan Puskesmas Cimahi Tengah</t>
  </si>
  <si>
    <t>Cetak spanduk kegiatan Puskesmas (4 mtr x 12)</t>
  </si>
  <si>
    <t>Cetak Penandatanganan komitmen Puskesmas</t>
  </si>
  <si>
    <t>Cetak Leaflet Promosi Kesehatan Puskesmas Cimahi Tengah</t>
  </si>
  <si>
    <t>Papan Informasi</t>
  </si>
  <si>
    <t>Rambu2 Baencana/Alur evakuasi (Titik Kumpul)</t>
  </si>
  <si>
    <t>Cetak Spanduk Neion Box</t>
  </si>
  <si>
    <t>Cetak Name Tage</t>
  </si>
  <si>
    <t>Photo Boot Promkes</t>
  </si>
  <si>
    <t>Cetak Kotak Kepuasan Pelanggan</t>
  </si>
  <si>
    <t>Cetak Papan Nama Ruangan</t>
  </si>
  <si>
    <t>Cetak sticker Petugas Ruangan</t>
  </si>
  <si>
    <t>Mtr</t>
  </si>
  <si>
    <t>Alur Ruangan</t>
  </si>
  <si>
    <t xml:space="preserve">Papan Nama Puskesmas </t>
  </si>
  <si>
    <t xml:space="preserve">Petunjuk Arah Puskesmas </t>
  </si>
  <si>
    <t xml:space="preserve">Kegiatan Pembinaan Kapasitas Pegawai  Puskesmas dalam rangka  membangun komitmen pelayanan dan meningkatkan etos kerja </t>
  </si>
  <si>
    <t>Makanan Ringan ( 35 org  x 1 kl )</t>
  </si>
  <si>
    <t>HOK</t>
  </si>
  <si>
    <t>Jamuan Makan ( 35 org  x 1 kl  )</t>
  </si>
  <si>
    <t>14</t>
  </si>
  <si>
    <t xml:space="preserve">Belanja Pakaian Khusus dan Hari-hari tertentu </t>
  </si>
  <si>
    <t xml:space="preserve">Belanja Pakaian Olahraga </t>
  </si>
  <si>
    <t>Pembuatan Film Puskesmas Cimahi Tengah</t>
  </si>
  <si>
    <t>35</t>
  </si>
  <si>
    <t>Belanja Peralatan /Perlengkapan untuk Kantor/Rumah Tangga dan Lapangan</t>
  </si>
  <si>
    <t>Pengadaan Vacum Cleaer</t>
  </si>
  <si>
    <t>Helm Safety Bencana (Merah Putih Kuning Biru)</t>
  </si>
  <si>
    <t xml:space="preserve">Belanja modal Pengadaan Alat  Kantor </t>
  </si>
  <si>
    <t>Finger Prin</t>
  </si>
  <si>
    <t xml:space="preserve">Neon box </t>
  </si>
  <si>
    <t>Alarm Bel Tanda Bencana / Kebakaran</t>
  </si>
  <si>
    <t>Tirai / partisi untuk Pelayanan</t>
  </si>
  <si>
    <t>Rambu2 Baencana/Alur evakuasi</t>
  </si>
  <si>
    <t>Rambu2 Bencana</t>
  </si>
  <si>
    <t>BPBD</t>
  </si>
  <si>
    <t>Lisa</t>
  </si>
  <si>
    <t>Wawan</t>
  </si>
  <si>
    <t>Kantong persalinan, PIS PK, SEPRE BAYI</t>
  </si>
  <si>
    <t xml:space="preserve">Lilis </t>
  </si>
  <si>
    <t xml:space="preserve">Bunga </t>
  </si>
  <si>
    <t>mamin</t>
  </si>
  <si>
    <t>Lemari arsip</t>
  </si>
  <si>
    <t>jaringan</t>
  </si>
  <si>
    <t>inventaris</t>
  </si>
  <si>
    <t>Saldo awal</t>
  </si>
  <si>
    <t>Pendapatan</t>
  </si>
  <si>
    <t>Belanja</t>
  </si>
  <si>
    <t>Saldo Akhir</t>
  </si>
  <si>
    <t>cetak</t>
  </si>
  <si>
    <t>RENCANA KEBUTUHAN BHP PUSKESMAS CIMAHI TENGAH</t>
  </si>
  <si>
    <t>TAHUN ANGGARAN 2019</t>
  </si>
  <si>
    <t>PAGU : Rp. 57.000.000</t>
  </si>
  <si>
    <t>BELANJA BHP E-CATALOG</t>
  </si>
  <si>
    <t>Nama Barang</t>
  </si>
  <si>
    <t>Merk</t>
  </si>
  <si>
    <t>Distributor</t>
  </si>
  <si>
    <t>Kebutuhan</t>
  </si>
  <si>
    <t>Satuan</t>
  </si>
  <si>
    <t>Harga Sat.</t>
  </si>
  <si>
    <t>Ongkir</t>
  </si>
  <si>
    <t>Harga Sat + Ongkir</t>
  </si>
  <si>
    <t>Sarung Tangan Powder ukuran S</t>
  </si>
  <si>
    <t>Safegloves</t>
  </si>
  <si>
    <t>Jayamas Medica</t>
  </si>
  <si>
    <t>Box/100</t>
  </si>
  <si>
    <t>Sarung Tangan Powder ukuran M</t>
  </si>
  <si>
    <t>Kasa Steril 16 X 16</t>
  </si>
  <si>
    <t>Onemed</t>
  </si>
  <si>
    <t>Pack</t>
  </si>
  <si>
    <t>Silk 2/0 + jarum</t>
  </si>
  <si>
    <t>Box/36</t>
  </si>
  <si>
    <t>Alkohol 70% 1 liter</t>
  </si>
  <si>
    <t>Botol</t>
  </si>
  <si>
    <t>Klorin/Oneclean 1 liter</t>
  </si>
  <si>
    <t>Gel Doppler</t>
  </si>
  <si>
    <t>Tube/250ml</t>
  </si>
  <si>
    <t>Ecodine 1 Ltr</t>
  </si>
  <si>
    <t>Disp Syringe with Needle 3cc</t>
  </si>
  <si>
    <t>Terumo</t>
  </si>
  <si>
    <t>Terumo Indonesia</t>
  </si>
  <si>
    <t>pcs</t>
  </si>
  <si>
    <t>Disp Syringe with Needle 5cc</t>
  </si>
  <si>
    <t>Auto-disable Syringe 0,5ml</t>
  </si>
  <si>
    <t>BD</t>
  </si>
  <si>
    <t>Becton Dickinson Indonesia</t>
  </si>
  <si>
    <t>Auto-disable Syringe 0,05ml</t>
  </si>
  <si>
    <t>TOTAL BELANJA E CATALOG</t>
  </si>
  <si>
    <t>Cimahi, 31 Desember 2019</t>
  </si>
  <si>
    <t>Cimahi, 31 Desember  2019</t>
  </si>
  <si>
    <t>Belanja alat listrik dan elektronik (lampu pijar, battery kering)</t>
  </si>
  <si>
    <t>Belanja bendera/umbul-umbul</t>
  </si>
  <si>
    <t>Belanja bahan obat-obatan</t>
  </si>
  <si>
    <t>Belanja Jasa Perijinan</t>
  </si>
  <si>
    <t>Belanja Perawatan Kendaraan Bermotor</t>
  </si>
  <si>
    <t>Belanja jasa service</t>
  </si>
  <si>
    <t>Belanja penggantian suku cadang</t>
  </si>
  <si>
    <t>Belanja surat tanda nomor kendaraan</t>
  </si>
  <si>
    <t>Belanja Pakaian Khusus dan Hari-hari Tertentu</t>
  </si>
  <si>
    <t>Belanja pakaian olahraga</t>
  </si>
  <si>
    <t>Belanja Kursus, Pelatihan, Sosialisasi dan Bimbingan Teknis</t>
  </si>
  <si>
    <t>Belanja Penyedia Jasa Pemeriksaan Sampel</t>
  </si>
  <si>
    <t>Belanja Penyedia Jasa Aplikasi</t>
  </si>
  <si>
    <t>Belanja Penyedia Jasa Layanan</t>
  </si>
  <si>
    <t>Jasa Instruktur</t>
  </si>
  <si>
    <t>Belanja Peralatan/Perlengkapan untuk Kantor/Rumah Tangga/Lapangan</t>
  </si>
  <si>
    <t>Belanja Peralatan/Perlengkapan untuk Kantor</t>
  </si>
  <si>
    <t>Belanja modal Peralatan dan Mesin Alat Rumah Tangga</t>
  </si>
  <si>
    <t>Belanja modal pengadaan Alat Kantor Lainnya</t>
  </si>
  <si>
    <t>Belanja modal pengadaan Peralatan dan Mesin Alat Kedokteran</t>
  </si>
  <si>
    <t>Belanja modal pengadaan Alat Kedokteran Umum</t>
  </si>
  <si>
    <t>Belanja modal pengadaan Peralatan dan Mesin Unit Alat Laboratorium</t>
  </si>
  <si>
    <t>Belanja modal pengadaan unit alat laboratorium lainnya</t>
  </si>
  <si>
    <t>Belanja modal Peralatan dan Mesin Peralatan Komputer</t>
  </si>
  <si>
    <t>Belanja modal pengadaan peralatan mini komputer</t>
  </si>
  <si>
    <t>Belanja modal pengadaan peralatan jaringan</t>
  </si>
  <si>
    <t>Belanja modal pengadaan peralatan komputer lainnya</t>
  </si>
  <si>
    <t>Belanja Premi Asuransi</t>
  </si>
  <si>
    <t>Belanja premi asuransi barang milik daerah</t>
  </si>
  <si>
    <t>BULAN JANUARI TAHUN 2020</t>
  </si>
  <si>
    <t xml:space="preserve">BULAN FEBRUARI TAHUN 2020 </t>
  </si>
  <si>
    <t>BULAN MARET TAHUN 2020</t>
  </si>
  <si>
    <t>BULAN MEI TAHUN 2020</t>
  </si>
  <si>
    <t>BULAN APRILTAHUN 2020</t>
  </si>
  <si>
    <t>BULAN JUNI TAHUN 2020</t>
  </si>
  <si>
    <t>BULAN JULI TAHUN 2020</t>
  </si>
  <si>
    <t>TRIWULAN IV TAHUN 2020</t>
  </si>
  <si>
    <t>BULAN DESEMBER TAHUN 2020</t>
  </si>
  <si>
    <t>BULAN NOVEMBER TAHUN 2020</t>
  </si>
  <si>
    <t>BULAN  OKTOBER TAHUN 2020</t>
  </si>
  <si>
    <t>BULAN SEPTEMBERTAHUN 2020</t>
  </si>
  <si>
    <t>BULAN AGUSTUS TAHUN 2020</t>
  </si>
  <si>
    <t>TRIWULAN I TAHUN 2020</t>
  </si>
  <si>
    <t>Cimahi, 31 Januari 2020</t>
  </si>
  <si>
    <t>Cimahi, 29 Februari 2020</t>
  </si>
  <si>
    <t>Cimahi, 31 Maret 2020</t>
  </si>
  <si>
    <t>Cimahi, 30 April 2020</t>
  </si>
  <si>
    <t>Cimahi,  30 Mei 2020</t>
  </si>
  <si>
    <t>Cimahi, 30 Juni 2020</t>
  </si>
  <si>
    <t>Cimahi,  30 Juli 2020</t>
  </si>
  <si>
    <t>Cimahi, 31 Agustus 2020</t>
  </si>
  <si>
    <t>Cimahi, 30 September 2020</t>
  </si>
  <si>
    <t>Cimahi, 31 Oktober 2020</t>
  </si>
  <si>
    <t>Cimahi, 30 November 2020</t>
  </si>
  <si>
    <t>Cimahi, 31 Desember 2020</t>
  </si>
  <si>
    <t>PROGRAM PENGEMBANGAN PEMBIAYAAN KESEHATAN</t>
  </si>
  <si>
    <t>Cimahi</t>
  </si>
  <si>
    <t>PROGRAM PENGEMBANGAN PEMBIAYAAN KESEHATAN (16.24)</t>
  </si>
  <si>
    <t>KEGIATAN PELAYANAN KESEHATAN DASAR JAMINAN KESEHATAN NASIONAL DI PUSKESMAS CIMAHI TENGAH</t>
  </si>
  <si>
    <t>Belanja Pemeliharaan</t>
  </si>
</sst>
</file>

<file path=xl/styles.xml><?xml version="1.0" encoding="utf-8"?>
<styleSheet xmlns="http://schemas.openxmlformats.org/spreadsheetml/2006/main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%"/>
    <numFmt numFmtId="166" formatCode="_(* #,##0_);_(* \(#,##0\);_(* &quot;-&quot;??_);_(@_)"/>
    <numFmt numFmtId="167" formatCode="_(* #,##0_);_(* \(#,##0\);_(* &quot;-&quot;?_);_(@_)"/>
    <numFmt numFmtId="168" formatCode="_(* #,##0.00_);_(* \(#,##0.00\);_(* &quot;-&quot;?_);_(@_)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ook Antiqua"/>
      <family val="1"/>
    </font>
    <font>
      <b/>
      <sz val="8"/>
      <name val="Book Antiqua"/>
      <family val="1"/>
    </font>
    <font>
      <sz val="11"/>
      <color theme="1"/>
      <name val="Book Antiqua"/>
      <family val="1"/>
    </font>
    <font>
      <sz val="16"/>
      <name val="Book Antiqua"/>
      <family val="1"/>
    </font>
    <font>
      <sz val="12"/>
      <color theme="1"/>
      <name val="Book Antiqua"/>
      <family val="1"/>
    </font>
    <font>
      <b/>
      <sz val="12"/>
      <name val="Book Antiqua"/>
      <family val="1"/>
    </font>
    <font>
      <b/>
      <sz val="12"/>
      <color theme="1"/>
      <name val="Book Antiqua"/>
      <family val="1"/>
    </font>
    <font>
      <sz val="12"/>
      <name val="Book Antiqua"/>
      <family val="1"/>
    </font>
    <font>
      <sz val="11"/>
      <name val="Book Antiqua"/>
      <family val="1"/>
    </font>
    <font>
      <sz val="10"/>
      <name val="Book Antiqua"/>
      <family val="1"/>
    </font>
    <font>
      <b/>
      <sz val="11"/>
      <name val="Book Antiqua"/>
      <family val="1"/>
    </font>
    <font>
      <sz val="8"/>
      <name val="Book Antiqua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ahoma"/>
      <family val="2"/>
    </font>
    <font>
      <sz val="7"/>
      <color rgb="FF000000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rgb="FFFF0000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2"/>
      <color rgb="FFFF0000"/>
      <name val="Tahoma"/>
      <family val="2"/>
    </font>
    <font>
      <b/>
      <sz val="12"/>
      <color rgb="FF000000"/>
      <name val="Tahoma"/>
      <family val="2"/>
    </font>
    <font>
      <sz val="12"/>
      <color theme="0"/>
      <name val="Tahoma"/>
      <family val="2"/>
    </font>
    <font>
      <b/>
      <sz val="12"/>
      <color theme="0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8"/>
      <color theme="1"/>
      <name val="Tahoma"/>
      <family val="2"/>
    </font>
    <font>
      <b/>
      <sz val="8"/>
      <name val="Tahoma"/>
      <family val="2"/>
    </font>
    <font>
      <sz val="12"/>
      <color rgb="FF000000"/>
      <name val="Arial"/>
      <family val="2"/>
    </font>
    <font>
      <sz val="12"/>
      <color theme="1"/>
      <name val="Arial Narrow"/>
      <family val="2"/>
    </font>
    <font>
      <b/>
      <sz val="16"/>
      <name val="Arial Narrow"/>
      <family val="2"/>
    </font>
    <font>
      <sz val="10"/>
      <color theme="0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rgb="FF000000"/>
      <name val="Arial Narrow"/>
      <family val="2"/>
    </font>
    <font>
      <sz val="10"/>
      <color rgb="FFFF000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FF0000"/>
      <name val="Arial Narrow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b/>
      <sz val="16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Book Antiqua"/>
      <family val="1"/>
    </font>
    <font>
      <b/>
      <sz val="10"/>
      <color theme="1"/>
      <name val="Arial Narrow"/>
      <family val="2"/>
    </font>
    <font>
      <b/>
      <u/>
      <sz val="12"/>
      <color theme="1"/>
      <name val="Arial Narrow"/>
      <family val="2"/>
    </font>
    <font>
      <b/>
      <sz val="10"/>
      <name val="Arial Narrow"/>
      <family val="2"/>
    </font>
    <font>
      <sz val="10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 Narrow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sz val="9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i/>
      <sz val="9"/>
      <name val="Arial Narrow"/>
      <family val="2"/>
    </font>
    <font>
      <i/>
      <sz val="9"/>
      <color rgb="FFFF0000"/>
      <name val="Arial Narrow"/>
      <family val="2"/>
    </font>
    <font>
      <b/>
      <i/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sz val="9"/>
      <color rgb="FFFF0000"/>
      <name val="Arial Narrow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Book Antiqua"/>
      <family val="1"/>
    </font>
    <font>
      <b/>
      <sz val="8"/>
      <color theme="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E8E7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98" fillId="0" borderId="0"/>
  </cellStyleXfs>
  <cellXfs count="932">
    <xf numFmtId="0" fontId="0" fillId="0" borderId="0" xfId="0"/>
    <xf numFmtId="41" fontId="4" fillId="2" borderId="0" xfId="3" applyNumberFormat="1" applyFont="1" applyFill="1" applyAlignment="1"/>
    <xf numFmtId="41" fontId="5" fillId="2" borderId="0" xfId="0" applyNumberFormat="1" applyFont="1" applyFill="1"/>
    <xf numFmtId="41" fontId="6" fillId="2" borderId="0" xfId="0" applyNumberFormat="1" applyFont="1" applyFill="1"/>
    <xf numFmtId="41" fontId="8" fillId="2" borderId="4" xfId="0" applyNumberFormat="1" applyFont="1" applyFill="1" applyBorder="1" applyAlignment="1">
      <alignment horizontal="left" vertical="center" wrapText="1"/>
    </xf>
    <xf numFmtId="41" fontId="8" fillId="2" borderId="4" xfId="4" applyNumberFormat="1" applyFont="1" applyFill="1" applyBorder="1" applyAlignment="1">
      <alignment vertical="center"/>
    </xf>
    <xf numFmtId="164" fontId="8" fillId="2" borderId="4" xfId="4" applyNumberFormat="1" applyFont="1" applyFill="1" applyBorder="1" applyAlignment="1">
      <alignment vertical="center"/>
    </xf>
    <xf numFmtId="41" fontId="8" fillId="2" borderId="4" xfId="4" applyNumberFormat="1" applyFont="1" applyFill="1" applyBorder="1"/>
    <xf numFmtId="41" fontId="10" fillId="2" borderId="4" xfId="0" applyNumberFormat="1" applyFont="1" applyFill="1" applyBorder="1" applyAlignment="1">
      <alignment horizontal="left" vertical="center" wrapText="1"/>
    </xf>
    <xf numFmtId="41" fontId="10" fillId="2" borderId="4" xfId="4" applyNumberFormat="1" applyFont="1" applyFill="1" applyBorder="1" applyAlignment="1">
      <alignment vertical="center"/>
    </xf>
    <xf numFmtId="41" fontId="10" fillId="2" borderId="4" xfId="4" applyNumberFormat="1" applyFont="1" applyFill="1" applyBorder="1"/>
    <xf numFmtId="41" fontId="10" fillId="2" borderId="4" xfId="0" applyNumberFormat="1" applyFont="1" applyFill="1" applyBorder="1"/>
    <xf numFmtId="41" fontId="8" fillId="2" borderId="4" xfId="0" applyNumberFormat="1" applyFont="1" applyFill="1" applyBorder="1"/>
    <xf numFmtId="41" fontId="10" fillId="2" borderId="4" xfId="4" applyNumberFormat="1" applyFont="1" applyFill="1" applyBorder="1" applyAlignment="1">
      <alignment horizontal="left" vertical="center"/>
    </xf>
    <xf numFmtId="41" fontId="10" fillId="2" borderId="4" xfId="0" applyNumberFormat="1" applyFont="1" applyFill="1" applyBorder="1" applyAlignment="1">
      <alignment horizontal="left" vertical="center"/>
    </xf>
    <xf numFmtId="41" fontId="10" fillId="2" borderId="4" xfId="3" applyNumberFormat="1" applyFont="1" applyFill="1" applyBorder="1" applyAlignment="1"/>
    <xf numFmtId="0" fontId="8" fillId="2" borderId="4" xfId="3" applyFont="1" applyFill="1" applyBorder="1" applyAlignment="1">
      <alignment vertical="top" wrapText="1"/>
    </xf>
    <xf numFmtId="41" fontId="8" fillId="2" borderId="4" xfId="0" applyNumberFormat="1" applyFont="1" applyFill="1" applyBorder="1" applyAlignment="1">
      <alignment vertical="center"/>
    </xf>
    <xf numFmtId="0" fontId="10" fillId="2" borderId="4" xfId="3" applyFont="1" applyFill="1" applyBorder="1" applyAlignment="1">
      <alignment vertical="top" wrapText="1"/>
    </xf>
    <xf numFmtId="41" fontId="10" fillId="2" borderId="4" xfId="0" applyNumberFormat="1" applyFont="1" applyFill="1" applyBorder="1" applyAlignment="1">
      <alignment vertical="center"/>
    </xf>
    <xf numFmtId="41" fontId="10" fillId="2" borderId="13" xfId="0" applyNumberFormat="1" applyFont="1" applyFill="1" applyBorder="1"/>
    <xf numFmtId="41" fontId="7" fillId="2" borderId="0" xfId="0" applyNumberFormat="1" applyFont="1" applyFill="1"/>
    <xf numFmtId="41" fontId="10" fillId="2" borderId="0" xfId="0" applyNumberFormat="1" applyFont="1" applyFill="1"/>
    <xf numFmtId="0" fontId="5" fillId="0" borderId="0" xfId="0" applyFont="1" applyAlignment="1"/>
    <xf numFmtId="41" fontId="11" fillId="2" borderId="0" xfId="0" applyNumberFormat="1" applyFont="1" applyFill="1"/>
    <xf numFmtId="2" fontId="8" fillId="2" borderId="4" xfId="0" applyNumberFormat="1" applyFont="1" applyFill="1" applyBorder="1" applyAlignment="1">
      <alignment vertical="center"/>
    </xf>
    <xf numFmtId="41" fontId="8" fillId="2" borderId="8" xfId="0" applyNumberFormat="1" applyFont="1" applyFill="1" applyBorder="1"/>
    <xf numFmtId="41" fontId="13" fillId="2" borderId="0" xfId="0" applyNumberFormat="1" applyFont="1" applyFill="1"/>
    <xf numFmtId="2" fontId="10" fillId="2" borderId="4" xfId="0" applyNumberFormat="1" applyFont="1" applyFill="1" applyBorder="1" applyAlignment="1">
      <alignment vertical="center"/>
    </xf>
    <xf numFmtId="41" fontId="10" fillId="2" borderId="8" xfId="0" applyNumberFormat="1" applyFont="1" applyFill="1" applyBorder="1"/>
    <xf numFmtId="41" fontId="10" fillId="2" borderId="4" xfId="0" applyNumberFormat="1" applyFont="1" applyFill="1" applyBorder="1" applyAlignment="1">
      <alignment horizontal="left"/>
    </xf>
    <xf numFmtId="2" fontId="8" fillId="2" borderId="4" xfId="0" applyNumberFormat="1" applyFont="1" applyFill="1" applyBorder="1" applyAlignment="1">
      <alignment horizontal="left" vertical="center"/>
    </xf>
    <xf numFmtId="2" fontId="10" fillId="2" borderId="13" xfId="0" applyNumberFormat="1" applyFont="1" applyFill="1" applyBorder="1"/>
    <xf numFmtId="41" fontId="10" fillId="2" borderId="14" xfId="0" applyNumberFormat="1" applyFont="1" applyFill="1" applyBorder="1"/>
    <xf numFmtId="0" fontId="11" fillId="0" borderId="0" xfId="0" applyFont="1" applyAlignment="1"/>
    <xf numFmtId="41" fontId="14" fillId="0" borderId="0" xfId="0" applyNumberFormat="1" applyFont="1" applyFill="1"/>
    <xf numFmtId="164" fontId="11" fillId="2" borderId="0" xfId="0" applyNumberFormat="1" applyFont="1" applyFill="1"/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5" fillId="0" borderId="18" xfId="0" applyFont="1" applyBorder="1" applyAlignment="1">
      <alignment vertical="center" wrapText="1"/>
    </xf>
    <xf numFmtId="0" fontId="16" fillId="0" borderId="20" xfId="0" applyFont="1" applyBorder="1" applyAlignment="1">
      <alignment horizontal="right" vertical="center" wrapText="1"/>
    </xf>
    <xf numFmtId="0" fontId="16" fillId="0" borderId="18" xfId="0" applyFont="1" applyBorder="1" applyAlignment="1">
      <alignment horizontal="right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0" fillId="0" borderId="4" xfId="0" applyBorder="1"/>
    <xf numFmtId="43" fontId="0" fillId="0" borderId="4" xfId="1" applyFont="1" applyBorder="1"/>
    <xf numFmtId="165" fontId="0" fillId="0" borderId="4" xfId="2" applyNumberFormat="1" applyFont="1" applyBorder="1"/>
    <xf numFmtId="0" fontId="0" fillId="0" borderId="25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65" fontId="0" fillId="0" borderId="1" xfId="2" applyNumberFormat="1" applyFont="1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43" fontId="0" fillId="0" borderId="13" xfId="0" applyNumberFormat="1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19" fillId="0" borderId="29" xfId="0" applyFont="1" applyBorder="1" applyAlignment="1">
      <alignment vertical="center"/>
    </xf>
    <xf numFmtId="0" fontId="19" fillId="5" borderId="30" xfId="0" applyFont="1" applyFill="1" applyBorder="1" applyAlignment="1">
      <alignment vertical="center"/>
    </xf>
    <xf numFmtId="0" fontId="19" fillId="5" borderId="30" xfId="0" applyFont="1" applyFill="1" applyBorder="1" applyAlignment="1">
      <alignment vertical="center" wrapText="1"/>
    </xf>
    <xf numFmtId="0" fontId="20" fillId="5" borderId="30" xfId="0" applyFont="1" applyFill="1" applyBorder="1" applyAlignment="1">
      <alignment horizontal="left" vertical="center" indent="7"/>
    </xf>
    <xf numFmtId="0" fontId="19" fillId="0" borderId="30" xfId="0" applyFont="1" applyBorder="1" applyAlignment="1">
      <alignment vertical="center"/>
    </xf>
    <xf numFmtId="0" fontId="20" fillId="0" borderId="30" xfId="0" applyFont="1" applyBorder="1" applyAlignment="1">
      <alignment horizontal="left" vertical="center" indent="7"/>
    </xf>
    <xf numFmtId="0" fontId="19" fillId="0" borderId="30" xfId="0" applyFont="1" applyBorder="1" applyAlignment="1">
      <alignment vertical="center" wrapText="1"/>
    </xf>
    <xf numFmtId="0" fontId="20" fillId="0" borderId="20" xfId="0" applyFont="1" applyBorder="1" applyAlignment="1">
      <alignment horizontal="left" vertical="center" indent="7"/>
    </xf>
    <xf numFmtId="0" fontId="19" fillId="0" borderId="31" xfId="0" applyFont="1" applyBorder="1" applyAlignment="1">
      <alignment vertical="center" wrapText="1"/>
    </xf>
    <xf numFmtId="0" fontId="20" fillId="0" borderId="28" xfId="0" applyFont="1" applyBorder="1" applyAlignment="1">
      <alignment horizontal="left" vertical="center" indent="7"/>
    </xf>
    <xf numFmtId="0" fontId="19" fillId="0" borderId="28" xfId="0" applyFont="1" applyBorder="1" applyAlignment="1">
      <alignment vertical="center"/>
    </xf>
    <xf numFmtId="0" fontId="20" fillId="0" borderId="32" xfId="0" applyFont="1" applyBorder="1" applyAlignment="1">
      <alignment horizontal="left" vertical="center" indent="7"/>
    </xf>
    <xf numFmtId="0" fontId="19" fillId="0" borderId="32" xfId="0" applyFont="1" applyBorder="1" applyAlignment="1">
      <alignment vertical="center"/>
    </xf>
    <xf numFmtId="0" fontId="18" fillId="0" borderId="30" xfId="0" applyFont="1" applyBorder="1" applyAlignment="1">
      <alignment vertical="center" wrapText="1"/>
    </xf>
    <xf numFmtId="2" fontId="8" fillId="2" borderId="7" xfId="2" applyNumberFormat="1" applyFont="1" applyFill="1" applyBorder="1" applyAlignment="1">
      <alignment vertical="center"/>
    </xf>
    <xf numFmtId="2" fontId="10" fillId="2" borderId="7" xfId="2" applyNumberFormat="1" applyFont="1" applyFill="1" applyBorder="1" applyAlignment="1">
      <alignment vertical="center"/>
    </xf>
    <xf numFmtId="2" fontId="10" fillId="2" borderId="7" xfId="2" applyNumberFormat="1" applyFont="1" applyFill="1" applyBorder="1"/>
    <xf numFmtId="41" fontId="22" fillId="2" borderId="4" xfId="0" applyNumberFormat="1" applyFont="1" applyFill="1" applyBorder="1" applyAlignment="1">
      <alignment horizontal="center"/>
    </xf>
    <xf numFmtId="164" fontId="22" fillId="2" borderId="4" xfId="0" applyNumberFormat="1" applyFont="1" applyFill="1" applyBorder="1" applyAlignment="1">
      <alignment horizontal="center"/>
    </xf>
    <xf numFmtId="41" fontId="22" fillId="0" borderId="4" xfId="0" applyNumberFormat="1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/>
    </xf>
    <xf numFmtId="41" fontId="23" fillId="2" borderId="4" xfId="0" applyNumberFormat="1" applyFont="1" applyFill="1" applyBorder="1" applyAlignment="1">
      <alignment horizontal="left" vertical="center" wrapText="1"/>
    </xf>
    <xf numFmtId="41" fontId="23" fillId="2" borderId="4" xfId="4" applyNumberFormat="1" applyFont="1" applyFill="1" applyBorder="1" applyAlignment="1">
      <alignment vertical="center"/>
    </xf>
    <xf numFmtId="41" fontId="23" fillId="2" borderId="4" xfId="1" applyNumberFormat="1" applyFont="1" applyFill="1" applyBorder="1" applyAlignment="1">
      <alignment vertical="center"/>
    </xf>
    <xf numFmtId="164" fontId="23" fillId="2" borderId="4" xfId="2" applyNumberFormat="1" applyFont="1" applyFill="1" applyBorder="1" applyAlignment="1">
      <alignment vertical="center"/>
    </xf>
    <xf numFmtId="2" fontId="22" fillId="2" borderId="4" xfId="2" applyNumberFormat="1" applyFont="1" applyFill="1" applyBorder="1" applyAlignment="1">
      <alignment vertical="center"/>
    </xf>
    <xf numFmtId="41" fontId="23" fillId="2" borderId="4" xfId="0" applyNumberFormat="1" applyFont="1" applyFill="1" applyBorder="1" applyAlignment="1">
      <alignment vertical="center"/>
    </xf>
    <xf numFmtId="0" fontId="23" fillId="2" borderId="4" xfId="0" applyFont="1" applyFill="1" applyBorder="1" applyAlignment="1">
      <alignment horizontal="left" vertical="center" wrapText="1"/>
    </xf>
    <xf numFmtId="41" fontId="22" fillId="2" borderId="4" xfId="4" applyNumberFormat="1" applyFont="1" applyFill="1" applyBorder="1"/>
    <xf numFmtId="41" fontId="22" fillId="2" borderId="4" xfId="4" applyNumberFormat="1" applyFont="1" applyFill="1" applyBorder="1" applyAlignment="1">
      <alignment vertical="center"/>
    </xf>
    <xf numFmtId="2" fontId="23" fillId="2" borderId="4" xfId="2" applyNumberFormat="1" applyFont="1" applyFill="1" applyBorder="1" applyAlignment="1">
      <alignment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left" vertical="center" wrapText="1"/>
    </xf>
    <xf numFmtId="41" fontId="22" fillId="2" borderId="4" xfId="0" applyNumberFormat="1" applyFont="1" applyFill="1" applyBorder="1" applyAlignment="1">
      <alignment horizontal="left" vertical="center" wrapText="1"/>
    </xf>
    <xf numFmtId="41" fontId="22" fillId="2" borderId="4" xfId="1" applyNumberFormat="1" applyFont="1" applyFill="1" applyBorder="1" applyAlignment="1">
      <alignment vertical="center"/>
    </xf>
    <xf numFmtId="164" fontId="22" fillId="2" borderId="4" xfId="2" applyNumberFormat="1" applyFont="1" applyFill="1" applyBorder="1" applyAlignment="1">
      <alignment vertical="center"/>
    </xf>
    <xf numFmtId="41" fontId="22" fillId="2" borderId="4" xfId="0" applyNumberFormat="1" applyFont="1" applyFill="1" applyBorder="1" applyAlignment="1">
      <alignment vertical="center"/>
    </xf>
    <xf numFmtId="41" fontId="22" fillId="2" borderId="4" xfId="0" applyNumberFormat="1" applyFont="1" applyFill="1" applyBorder="1"/>
    <xf numFmtId="41" fontId="22" fillId="2" borderId="4" xfId="0" applyNumberFormat="1" applyFont="1" applyFill="1" applyBorder="1" applyAlignment="1">
      <alignment horizontal="left" vertical="center"/>
    </xf>
    <xf numFmtId="0" fontId="22" fillId="2" borderId="4" xfId="3" applyFont="1" applyFill="1" applyBorder="1" applyAlignment="1">
      <alignment vertical="top" wrapText="1"/>
    </xf>
    <xf numFmtId="41" fontId="23" fillId="2" borderId="4" xfId="0" applyNumberFormat="1" applyFont="1" applyFill="1" applyBorder="1"/>
    <xf numFmtId="164" fontId="23" fillId="2" borderId="4" xfId="0" applyNumberFormat="1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wrapText="1"/>
    </xf>
    <xf numFmtId="164" fontId="23" fillId="2" borderId="4" xfId="4" applyNumberFormat="1" applyFont="1" applyFill="1" applyBorder="1" applyAlignment="1">
      <alignment vertical="center"/>
    </xf>
    <xf numFmtId="41" fontId="22" fillId="0" borderId="4" xfId="0" applyNumberFormat="1" applyFont="1" applyFill="1" applyBorder="1"/>
    <xf numFmtId="2" fontId="22" fillId="2" borderId="4" xfId="2" applyNumberFormat="1" applyFont="1" applyFill="1" applyBorder="1"/>
    <xf numFmtId="43" fontId="11" fillId="2" borderId="0" xfId="0" applyNumberFormat="1" applyFont="1" applyFill="1"/>
    <xf numFmtId="164" fontId="10" fillId="2" borderId="4" xfId="4" applyNumberFormat="1" applyFont="1" applyFill="1" applyBorder="1" applyAlignment="1">
      <alignment vertical="center"/>
    </xf>
    <xf numFmtId="41" fontId="10" fillId="2" borderId="11" xfId="0" applyNumberFormat="1" applyFont="1" applyFill="1" applyBorder="1" applyAlignment="1">
      <alignment vertical="center"/>
    </xf>
    <xf numFmtId="41" fontId="10" fillId="2" borderId="4" xfId="3" applyNumberFormat="1" applyFont="1" applyFill="1" applyBorder="1" applyAlignment="1">
      <alignment vertical="center"/>
    </xf>
    <xf numFmtId="41" fontId="8" fillId="2" borderId="4" xfId="0" applyNumberFormat="1" applyFont="1" applyFill="1" applyBorder="1" applyAlignment="1">
      <alignment horizontal="left" vertical="center"/>
    </xf>
    <xf numFmtId="41" fontId="10" fillId="2" borderId="4" xfId="1" applyNumberFormat="1" applyFont="1" applyFill="1" applyBorder="1" applyAlignment="1">
      <alignment vertical="center"/>
    </xf>
    <xf numFmtId="41" fontId="10" fillId="2" borderId="4" xfId="1" applyNumberFormat="1" applyFont="1" applyFill="1" applyBorder="1" applyAlignment="1">
      <alignment horizontal="left" vertical="center"/>
    </xf>
    <xf numFmtId="41" fontId="14" fillId="2" borderId="0" xfId="0" applyNumberFormat="1" applyFont="1" applyFill="1"/>
    <xf numFmtId="0" fontId="7" fillId="0" borderId="0" xfId="0" applyFont="1" applyAlignment="1">
      <alignment horizontal="center"/>
    </xf>
    <xf numFmtId="0" fontId="26" fillId="0" borderId="0" xfId="0" applyFont="1"/>
    <xf numFmtId="0" fontId="27" fillId="0" borderId="0" xfId="0" applyFont="1"/>
    <xf numFmtId="0" fontId="26" fillId="0" borderId="0" xfId="0" applyFont="1" applyBorder="1"/>
    <xf numFmtId="0" fontId="26" fillId="2" borderId="0" xfId="0" applyFont="1" applyFill="1"/>
    <xf numFmtId="0" fontId="26" fillId="0" borderId="0" xfId="0" applyFont="1" applyBorder="1" applyAlignment="1">
      <alignment horizontal="center"/>
    </xf>
    <xf numFmtId="164" fontId="26" fillId="2" borderId="0" xfId="0" applyNumberFormat="1" applyFont="1" applyFill="1"/>
    <xf numFmtId="0" fontId="28" fillId="0" borderId="0" xfId="0" applyFont="1" applyBorder="1"/>
    <xf numFmtId="0" fontId="27" fillId="0" borderId="0" xfId="0" applyFont="1" applyBorder="1"/>
    <xf numFmtId="164" fontId="28" fillId="2" borderId="4" xfId="0" applyNumberFormat="1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left"/>
    </xf>
    <xf numFmtId="0" fontId="28" fillId="2" borderId="4" xfId="0" applyFont="1" applyFill="1" applyBorder="1" applyAlignment="1">
      <alignment vertical="center"/>
    </xf>
    <xf numFmtId="41" fontId="28" fillId="2" borderId="4" xfId="5" applyFont="1" applyFill="1" applyBorder="1" applyAlignment="1">
      <alignment horizontal="center" vertical="center"/>
    </xf>
    <xf numFmtId="3" fontId="28" fillId="2" borderId="4" xfId="0" applyNumberFormat="1" applyFont="1" applyFill="1" applyBorder="1" applyAlignment="1">
      <alignment horizontal="right" vertical="center"/>
    </xf>
    <xf numFmtId="164" fontId="28" fillId="2" borderId="4" xfId="5" applyNumberFormat="1" applyFont="1" applyFill="1" applyBorder="1" applyAlignment="1">
      <alignment vertical="center"/>
    </xf>
    <xf numFmtId="41" fontId="28" fillId="0" borderId="4" xfId="0" applyNumberFormat="1" applyFont="1" applyBorder="1" applyAlignment="1">
      <alignment horizontal="center" vertical="center" wrapText="1"/>
    </xf>
    <xf numFmtId="41" fontId="28" fillId="0" borderId="4" xfId="0" applyNumberFormat="1" applyFont="1" applyBorder="1"/>
    <xf numFmtId="0" fontId="29" fillId="2" borderId="4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vertical="center"/>
    </xf>
    <xf numFmtId="166" fontId="29" fillId="2" borderId="4" xfId="1" applyNumberFormat="1" applyFont="1" applyFill="1" applyBorder="1" applyAlignment="1">
      <alignment vertical="center"/>
    </xf>
    <xf numFmtId="41" fontId="29" fillId="2" borderId="4" xfId="5" applyFont="1" applyFill="1" applyBorder="1" applyAlignment="1">
      <alignment horizontal="right" vertical="center"/>
    </xf>
    <xf numFmtId="41" fontId="29" fillId="0" borderId="4" xfId="0" applyNumberFormat="1" applyFont="1" applyBorder="1" applyAlignment="1">
      <alignment horizontal="center" vertical="center" wrapText="1"/>
    </xf>
    <xf numFmtId="41" fontId="29" fillId="0" borderId="4" xfId="0" applyNumberFormat="1" applyFont="1" applyBorder="1" applyAlignment="1">
      <alignment vertical="center"/>
    </xf>
    <xf numFmtId="0" fontId="30" fillId="0" borderId="0" xfId="0" applyFont="1"/>
    <xf numFmtId="0" fontId="29" fillId="0" borderId="0" xfId="0" applyFont="1"/>
    <xf numFmtId="41" fontId="29" fillId="0" borderId="4" xfId="5" applyFont="1" applyBorder="1" applyAlignment="1">
      <alignment horizontal="right" vertical="center"/>
    </xf>
    <xf numFmtId="0" fontId="28" fillId="0" borderId="4" xfId="0" applyFont="1" applyBorder="1" applyAlignment="1">
      <alignment vertical="center" wrapText="1"/>
    </xf>
    <xf numFmtId="3" fontId="28" fillId="0" borderId="4" xfId="0" applyNumberFormat="1" applyFont="1" applyBorder="1" applyAlignment="1">
      <alignment horizontal="center" vertical="center"/>
    </xf>
    <xf numFmtId="4" fontId="28" fillId="0" borderId="4" xfId="0" applyNumberFormat="1" applyFont="1" applyBorder="1" applyAlignment="1">
      <alignment horizontal="center" vertical="center"/>
    </xf>
    <xf numFmtId="0" fontId="25" fillId="0" borderId="0" xfId="0" applyFont="1"/>
    <xf numFmtId="0" fontId="27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41" fontId="31" fillId="0" borderId="4" xfId="5" applyFont="1" applyBorder="1" applyAlignment="1">
      <alignment horizontal="center" vertical="center" wrapText="1"/>
    </xf>
    <xf numFmtId="164" fontId="27" fillId="0" borderId="0" xfId="0" applyNumberFormat="1" applyFont="1"/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41" fontId="28" fillId="0" borderId="0" xfId="5" applyFont="1" applyBorder="1" applyAlignment="1">
      <alignment horizontal="center" vertical="center" wrapText="1"/>
    </xf>
    <xf numFmtId="41" fontId="30" fillId="0" borderId="0" xfId="5" applyFont="1" applyBorder="1" applyAlignment="1">
      <alignment horizontal="center" vertical="center" wrapText="1"/>
    </xf>
    <xf numFmtId="41" fontId="29" fillId="0" borderId="0" xfId="5" applyFont="1" applyBorder="1" applyAlignment="1">
      <alignment horizontal="center" vertical="center" wrapText="1"/>
    </xf>
    <xf numFmtId="4" fontId="29" fillId="0" borderId="0" xfId="0" applyNumberFormat="1" applyFont="1" applyBorder="1" applyAlignment="1">
      <alignment horizontal="center" vertical="center" wrapText="1" readingOrder="1"/>
    </xf>
    <xf numFmtId="164" fontId="20" fillId="0" borderId="0" xfId="0" applyNumberFormat="1" applyFont="1" applyBorder="1" applyAlignment="1">
      <alignment vertical="center" wrapText="1"/>
    </xf>
    <xf numFmtId="0" fontId="29" fillId="0" borderId="0" xfId="0" applyFont="1" applyBorder="1"/>
    <xf numFmtId="0" fontId="33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164" fontId="26" fillId="0" borderId="0" xfId="0" applyNumberFormat="1" applyFont="1"/>
    <xf numFmtId="0" fontId="32" fillId="0" borderId="0" xfId="0" applyFont="1"/>
    <xf numFmtId="41" fontId="29" fillId="0" borderId="0" xfId="0" applyNumberFormat="1" applyFont="1"/>
    <xf numFmtId="41" fontId="28" fillId="0" borderId="0" xfId="0" applyNumberFormat="1" applyFont="1"/>
    <xf numFmtId="0" fontId="35" fillId="0" borderId="0" xfId="0" applyFont="1" applyFill="1" applyAlignment="1">
      <alignment vertical="center"/>
    </xf>
    <xf numFmtId="0" fontId="26" fillId="0" borderId="0" xfId="0" applyFont="1" applyAlignment="1">
      <alignment horizontal="center"/>
    </xf>
    <xf numFmtId="0" fontId="36" fillId="6" borderId="4" xfId="0" applyFont="1" applyFill="1" applyBorder="1" applyAlignment="1">
      <alignment horizontal="center" vertical="center"/>
    </xf>
    <xf numFmtId="41" fontId="38" fillId="0" borderId="4" xfId="5" applyFont="1" applyBorder="1"/>
    <xf numFmtId="0" fontId="36" fillId="0" borderId="4" xfId="0" applyFont="1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vertical="center"/>
    </xf>
    <xf numFmtId="3" fontId="38" fillId="0" borderId="4" xfId="0" applyNumberFormat="1" applyFont="1" applyBorder="1" applyAlignment="1">
      <alignment horizontal="right" vertical="center" wrapText="1"/>
    </xf>
    <xf numFmtId="41" fontId="38" fillId="2" borderId="4" xfId="5" applyFont="1" applyFill="1" applyBorder="1" applyAlignment="1">
      <alignment horizontal="right" vertical="center"/>
    </xf>
    <xf numFmtId="41" fontId="37" fillId="2" borderId="4" xfId="0" applyNumberFormat="1" applyFont="1" applyFill="1" applyBorder="1" applyAlignment="1">
      <alignment horizontal="center" vertical="center"/>
    </xf>
    <xf numFmtId="41" fontId="38" fillId="0" borderId="4" xfId="5" applyFont="1" applyBorder="1" applyAlignment="1">
      <alignment horizontal="right" vertical="center"/>
    </xf>
    <xf numFmtId="164" fontId="39" fillId="0" borderId="0" xfId="0" applyNumberFormat="1" applyFont="1"/>
    <xf numFmtId="43" fontId="40" fillId="0" borderId="0" xfId="0" applyNumberFormat="1" applyFont="1"/>
    <xf numFmtId="0" fontId="40" fillId="0" borderId="0" xfId="0" applyFont="1"/>
    <xf numFmtId="3" fontId="36" fillId="0" borderId="4" xfId="0" applyNumberFormat="1" applyFont="1" applyBorder="1" applyAlignment="1">
      <alignment horizontal="center" vertical="center"/>
    </xf>
    <xf numFmtId="3" fontId="41" fillId="0" borderId="4" xfId="0" applyNumberFormat="1" applyFont="1" applyBorder="1" applyAlignment="1">
      <alignment horizontal="center" vertical="center"/>
    </xf>
    <xf numFmtId="41" fontId="28" fillId="0" borderId="0" xfId="6" applyFont="1"/>
    <xf numFmtId="41" fontId="7" fillId="2" borderId="0" xfId="0" applyNumberFormat="1" applyFont="1" applyFill="1" applyAlignment="1"/>
    <xf numFmtId="0" fontId="7" fillId="0" borderId="0" xfId="0" applyFont="1" applyAlignment="1"/>
    <xf numFmtId="41" fontId="9" fillId="2" borderId="0" xfId="0" applyNumberFormat="1" applyFont="1" applyFill="1" applyBorder="1" applyAlignment="1"/>
    <xf numFmtId="41" fontId="5" fillId="2" borderId="0" xfId="0" applyNumberFormat="1" applyFont="1" applyFill="1" applyAlignment="1"/>
    <xf numFmtId="0" fontId="10" fillId="0" borderId="0" xfId="0" applyFont="1" applyAlignment="1"/>
    <xf numFmtId="0" fontId="42" fillId="0" borderId="0" xfId="0" applyFont="1"/>
    <xf numFmtId="0" fontId="43" fillId="0" borderId="0" xfId="3" applyFont="1" applyAlignment="1">
      <alignment horizontal="center"/>
    </xf>
    <xf numFmtId="0" fontId="44" fillId="0" borderId="0" xfId="0" applyFont="1" applyBorder="1"/>
    <xf numFmtId="41" fontId="44" fillId="0" borderId="0" xfId="5" applyFont="1" applyBorder="1"/>
    <xf numFmtId="0" fontId="45" fillId="0" borderId="0" xfId="0" applyFont="1"/>
    <xf numFmtId="0" fontId="47" fillId="0" borderId="0" xfId="3" applyFont="1"/>
    <xf numFmtId="0" fontId="47" fillId="0" borderId="0" xfId="3" applyFont="1" applyAlignment="1">
      <alignment horizontal="center"/>
    </xf>
    <xf numFmtId="41" fontId="47" fillId="0" borderId="0" xfId="3" applyNumberFormat="1" applyFont="1"/>
    <xf numFmtId="41" fontId="47" fillId="0" borderId="0" xfId="5" applyFont="1" applyAlignment="1">
      <alignment vertical="center"/>
    </xf>
    <xf numFmtId="0" fontId="48" fillId="7" borderId="4" xfId="3" applyFont="1" applyFill="1" applyBorder="1" applyAlignment="1">
      <alignment horizontal="center" vertical="center" wrapText="1"/>
    </xf>
    <xf numFmtId="41" fontId="48" fillId="7" borderId="4" xfId="3" applyNumberFormat="1" applyFont="1" applyFill="1" applyBorder="1" applyAlignment="1">
      <alignment horizontal="center" vertical="center" wrapText="1"/>
    </xf>
    <xf numFmtId="41" fontId="48" fillId="7" borderId="4" xfId="5" applyFont="1" applyFill="1" applyBorder="1" applyAlignment="1">
      <alignment horizontal="center" vertical="center" wrapText="1"/>
    </xf>
    <xf numFmtId="0" fontId="48" fillId="0" borderId="4" xfId="3" applyNumberFormat="1" applyFont="1" applyBorder="1" applyAlignment="1">
      <alignment horizontal="center" wrapText="1"/>
    </xf>
    <xf numFmtId="0" fontId="48" fillId="0" borderId="4" xfId="5" applyNumberFormat="1" applyFont="1" applyBorder="1" applyAlignment="1">
      <alignment horizontal="center" wrapText="1"/>
    </xf>
    <xf numFmtId="0" fontId="48" fillId="0" borderId="4" xfId="3" applyNumberFormat="1" applyFont="1" applyBorder="1" applyAlignment="1">
      <alignment horizontal="center"/>
    </xf>
    <xf numFmtId="0" fontId="48" fillId="0" borderId="0" xfId="3" applyNumberFormat="1" applyFont="1" applyBorder="1" applyAlignment="1">
      <alignment horizontal="center"/>
    </xf>
    <xf numFmtId="0" fontId="44" fillId="0" borderId="0" xfId="0" applyNumberFormat="1" applyFont="1" applyBorder="1" applyAlignment="1">
      <alignment horizontal="center"/>
    </xf>
    <xf numFmtId="0" fontId="44" fillId="0" borderId="0" xfId="5" applyNumberFormat="1" applyFont="1" applyBorder="1" applyAlignment="1">
      <alignment horizontal="center"/>
    </xf>
    <xf numFmtId="0" fontId="45" fillId="0" borderId="0" xfId="0" applyNumberFormat="1" applyFont="1" applyAlignment="1">
      <alignment horizontal="center"/>
    </xf>
    <xf numFmtId="0" fontId="46" fillId="0" borderId="4" xfId="0" quotePrefix="1" applyFont="1" applyBorder="1" applyAlignment="1">
      <alignment vertical="top"/>
    </xf>
    <xf numFmtId="0" fontId="46" fillId="0" borderId="0" xfId="0" applyFont="1" applyAlignment="1">
      <alignment horizontal="left" vertical="top" wrapText="1"/>
    </xf>
    <xf numFmtId="0" fontId="48" fillId="0" borderId="11" xfId="3" applyFont="1" applyBorder="1" applyAlignment="1">
      <alignment vertical="top" wrapText="1"/>
    </xf>
    <xf numFmtId="43" fontId="48" fillId="0" borderId="4" xfId="1" applyFont="1" applyBorder="1" applyAlignment="1">
      <alignment vertical="top" wrapText="1"/>
    </xf>
    <xf numFmtId="2" fontId="48" fillId="0" borderId="4" xfId="3" applyNumberFormat="1" applyFont="1" applyBorder="1" applyAlignment="1">
      <alignment horizontal="center" vertical="top" wrapText="1"/>
    </xf>
    <xf numFmtId="0" fontId="48" fillId="0" borderId="4" xfId="3" applyFont="1" applyBorder="1" applyAlignment="1">
      <alignment horizontal="left" vertical="top" wrapText="1"/>
    </xf>
    <xf numFmtId="0" fontId="47" fillId="0" borderId="4" xfId="3" applyFont="1" applyBorder="1" applyAlignment="1">
      <alignment vertical="top"/>
    </xf>
    <xf numFmtId="0" fontId="47" fillId="0" borderId="4" xfId="3" applyFont="1" applyBorder="1" applyAlignment="1">
      <alignment horizontal="center" vertical="top"/>
    </xf>
    <xf numFmtId="41" fontId="48" fillId="0" borderId="4" xfId="3" applyNumberFormat="1" applyFont="1" applyBorder="1" applyAlignment="1">
      <alignment horizontal="right" vertical="top"/>
    </xf>
    <xf numFmtId="164" fontId="48" fillId="0" borderId="4" xfId="3" applyNumberFormat="1" applyFont="1" applyBorder="1" applyAlignment="1">
      <alignment horizontal="right" vertical="top"/>
    </xf>
    <xf numFmtId="0" fontId="47" fillId="0" borderId="0" xfId="3" applyFont="1" applyBorder="1" applyAlignment="1">
      <alignment vertical="top"/>
    </xf>
    <xf numFmtId="0" fontId="42" fillId="0" borderId="4" xfId="0" applyFont="1" applyBorder="1"/>
    <xf numFmtId="0" fontId="48" fillId="0" borderId="4" xfId="3" applyFont="1" applyBorder="1" applyAlignment="1">
      <alignment vertical="top" wrapText="1"/>
    </xf>
    <xf numFmtId="0" fontId="47" fillId="0" borderId="4" xfId="3" quotePrefix="1" applyFont="1" applyBorder="1" applyAlignment="1">
      <alignment horizontal="center" vertical="top" wrapText="1"/>
    </xf>
    <xf numFmtId="0" fontId="47" fillId="0" borderId="4" xfId="3" applyFont="1" applyBorder="1" applyAlignment="1">
      <alignment vertical="top" wrapText="1"/>
    </xf>
    <xf numFmtId="164" fontId="47" fillId="0" borderId="4" xfId="3" applyNumberFormat="1" applyFont="1" applyBorder="1" applyAlignment="1">
      <alignment horizontal="right" vertical="top"/>
    </xf>
    <xf numFmtId="0" fontId="47" fillId="0" borderId="0" xfId="3" applyFont="1" applyBorder="1" applyAlignment="1">
      <alignment vertical="top" wrapText="1"/>
    </xf>
    <xf numFmtId="41" fontId="44" fillId="0" borderId="0" xfId="0" applyNumberFormat="1" applyFont="1" applyBorder="1"/>
    <xf numFmtId="0" fontId="47" fillId="0" borderId="4" xfId="3" applyFont="1" applyBorder="1" applyAlignment="1">
      <alignment horizontal="left" vertical="top" wrapText="1"/>
    </xf>
    <xf numFmtId="3" fontId="49" fillId="0" borderId="4" xfId="0" applyNumberFormat="1" applyFont="1" applyBorder="1" applyAlignment="1">
      <alignment horizontal="center" vertical="top" wrapText="1"/>
    </xf>
    <xf numFmtId="41" fontId="47" fillId="0" borderId="4" xfId="3" applyNumberFormat="1" applyFont="1" applyBorder="1" applyAlignment="1">
      <alignment horizontal="right" vertical="top" wrapText="1"/>
    </xf>
    <xf numFmtId="0" fontId="47" fillId="0" borderId="4" xfId="3" applyFont="1" applyBorder="1" applyAlignment="1">
      <alignment horizontal="center" vertical="top" wrapText="1"/>
    </xf>
    <xf numFmtId="0" fontId="50" fillId="0" borderId="0" xfId="0" applyFont="1" applyBorder="1"/>
    <xf numFmtId="49" fontId="51" fillId="2" borderId="4" xfId="7" quotePrefix="1" applyNumberFormat="1" applyFont="1" applyFill="1" applyBorder="1" applyAlignment="1">
      <alignment vertical="top" wrapText="1"/>
    </xf>
    <xf numFmtId="41" fontId="47" fillId="0" borderId="4" xfId="5" applyFont="1" applyBorder="1" applyAlignment="1">
      <alignment horizontal="right" vertical="top" wrapText="1"/>
    </xf>
    <xf numFmtId="0" fontId="42" fillId="0" borderId="4" xfId="0" applyFont="1" applyBorder="1" applyAlignment="1">
      <alignment horizontal="center" vertical="top"/>
    </xf>
    <xf numFmtId="0" fontId="52" fillId="2" borderId="0" xfId="0" applyFont="1" applyFill="1" applyBorder="1" applyAlignment="1">
      <alignment horizontal="left" vertical="top" wrapText="1"/>
    </xf>
    <xf numFmtId="41" fontId="53" fillId="2" borderId="0" xfId="5" applyFont="1" applyFill="1" applyBorder="1" applyAlignment="1">
      <alignment horizontal="left" vertical="top" wrapText="1"/>
    </xf>
    <xf numFmtId="0" fontId="42" fillId="0" borderId="0" xfId="0" applyFont="1" applyBorder="1"/>
    <xf numFmtId="0" fontId="48" fillId="0" borderId="0" xfId="3" applyFont="1" applyBorder="1" applyAlignment="1">
      <alignment vertical="top" wrapText="1"/>
    </xf>
    <xf numFmtId="0" fontId="48" fillId="0" borderId="0" xfId="3" applyFont="1" applyBorder="1" applyAlignment="1">
      <alignment horizontal="left" vertical="top" wrapText="1"/>
    </xf>
    <xf numFmtId="0" fontId="47" fillId="0" borderId="0" xfId="3" applyFont="1" applyBorder="1" applyAlignment="1">
      <alignment horizontal="center" vertical="top" wrapText="1"/>
    </xf>
    <xf numFmtId="49" fontId="51" fillId="2" borderId="0" xfId="7" quotePrefix="1" applyNumberFormat="1" applyFont="1" applyFill="1" applyBorder="1" applyAlignment="1">
      <alignment horizontal="center" vertical="top" wrapText="1"/>
    </xf>
    <xf numFmtId="0" fontId="42" fillId="0" borderId="0" xfId="0" applyFont="1" applyBorder="1" applyAlignment="1">
      <alignment horizontal="center" vertical="top"/>
    </xf>
    <xf numFmtId="41" fontId="47" fillId="0" borderId="0" xfId="5" applyFont="1" applyBorder="1" applyAlignment="1">
      <alignment horizontal="right" vertical="top" wrapText="1"/>
    </xf>
    <xf numFmtId="164" fontId="47" fillId="0" borderId="0" xfId="3" applyNumberFormat="1" applyFont="1" applyBorder="1" applyAlignment="1">
      <alignment horizontal="right" vertical="top"/>
    </xf>
    <xf numFmtId="0" fontId="42" fillId="0" borderId="0" xfId="0" applyFont="1" applyAlignment="1">
      <alignment horizontal="center"/>
    </xf>
    <xf numFmtId="0" fontId="42" fillId="0" borderId="0" xfId="0" applyFont="1" applyAlignment="1">
      <alignment horizontal="center" vertical="top"/>
    </xf>
    <xf numFmtId="0" fontId="47" fillId="0" borderId="0" xfId="3" applyFont="1" applyAlignment="1">
      <alignment horizontal="center" vertical="top"/>
    </xf>
    <xf numFmtId="0" fontId="42" fillId="0" borderId="0" xfId="0" applyFont="1" applyAlignment="1">
      <alignment vertical="top"/>
    </xf>
    <xf numFmtId="0" fontId="46" fillId="0" borderId="0" xfId="0" applyFont="1"/>
    <xf numFmtId="0" fontId="46" fillId="0" borderId="0" xfId="0" applyFont="1" applyAlignment="1">
      <alignment horizontal="center"/>
    </xf>
    <xf numFmtId="0" fontId="46" fillId="0" borderId="0" xfId="0" applyFont="1" applyAlignment="1">
      <alignment vertical="top"/>
    </xf>
    <xf numFmtId="0" fontId="54" fillId="0" borderId="0" xfId="0" applyFont="1" applyBorder="1"/>
    <xf numFmtId="41" fontId="54" fillId="0" borderId="0" xfId="5" applyFont="1" applyBorder="1"/>
    <xf numFmtId="0" fontId="46" fillId="0" borderId="0" xfId="0" applyFont="1" applyAlignment="1">
      <alignment horizontal="center" vertical="top"/>
    </xf>
    <xf numFmtId="41" fontId="42" fillId="0" borderId="0" xfId="0" applyNumberFormat="1" applyFont="1"/>
    <xf numFmtId="0" fontId="42" fillId="0" borderId="0" xfId="0" applyFont="1" applyAlignment="1">
      <alignment vertical="center"/>
    </xf>
    <xf numFmtId="0" fontId="55" fillId="0" borderId="0" xfId="0" applyFont="1" applyBorder="1"/>
    <xf numFmtId="41" fontId="55" fillId="0" borderId="0" xfId="5" applyFont="1" applyBorder="1"/>
    <xf numFmtId="0" fontId="44" fillId="0" borderId="0" xfId="3" applyFont="1" applyBorder="1" applyAlignment="1">
      <alignment horizontal="center" vertical="top" wrapText="1"/>
    </xf>
    <xf numFmtId="41" fontId="44" fillId="0" borderId="0" xfId="5" applyFont="1" applyBorder="1" applyAlignment="1">
      <alignment horizontal="center" vertical="top" wrapText="1"/>
    </xf>
    <xf numFmtId="0" fontId="53" fillId="2" borderId="0" xfId="0" applyFont="1" applyFill="1" applyBorder="1" applyAlignment="1">
      <alignment horizontal="left" vertical="top" wrapText="1"/>
    </xf>
    <xf numFmtId="41" fontId="44" fillId="0" borderId="0" xfId="5" applyFont="1" applyBorder="1" applyAlignment="1">
      <alignment horizontal="center" vertical="center" wrapText="1"/>
    </xf>
    <xf numFmtId="0" fontId="53" fillId="0" borderId="0" xfId="3" applyFont="1" applyBorder="1" applyAlignment="1">
      <alignment horizontal="center" vertical="top" wrapText="1"/>
    </xf>
    <xf numFmtId="41" fontId="53" fillId="0" borderId="0" xfId="5" applyFont="1" applyBorder="1" applyAlignment="1">
      <alignment horizontal="center" vertical="top" wrapText="1"/>
    </xf>
    <xf numFmtId="41" fontId="53" fillId="4" borderId="0" xfId="5" applyFont="1" applyFill="1" applyBorder="1" applyAlignment="1">
      <alignment horizontal="center" vertical="top" wrapText="1"/>
    </xf>
    <xf numFmtId="0" fontId="44" fillId="2" borderId="0" xfId="0" applyFont="1" applyFill="1" applyBorder="1"/>
    <xf numFmtId="41" fontId="44" fillId="2" borderId="0" xfId="5" applyFont="1" applyFill="1" applyBorder="1"/>
    <xf numFmtId="0" fontId="45" fillId="2" borderId="0" xfId="0" applyFont="1" applyFill="1"/>
    <xf numFmtId="49" fontId="51" fillId="2" borderId="4" xfId="7" quotePrefix="1" applyNumberFormat="1" applyFont="1" applyFill="1" applyBorder="1" applyAlignment="1">
      <alignment horizontal="left" vertical="top" wrapText="1"/>
    </xf>
    <xf numFmtId="0" fontId="42" fillId="2" borderId="4" xfId="0" applyFont="1" applyFill="1" applyBorder="1"/>
    <xf numFmtId="0" fontId="48" fillId="2" borderId="4" xfId="3" applyFont="1" applyFill="1" applyBorder="1" applyAlignment="1">
      <alignment vertical="top" wrapText="1"/>
    </xf>
    <xf numFmtId="0" fontId="48" fillId="2" borderId="4" xfId="3" applyFont="1" applyFill="1" applyBorder="1" applyAlignment="1">
      <alignment horizontal="left" vertical="top" wrapText="1"/>
    </xf>
    <xf numFmtId="0" fontId="47" fillId="2" borderId="4" xfId="3" applyFont="1" applyFill="1" applyBorder="1" applyAlignment="1">
      <alignment horizontal="center" vertical="top" wrapText="1"/>
    </xf>
    <xf numFmtId="3" fontId="49" fillId="2" borderId="4" xfId="0" applyNumberFormat="1" applyFont="1" applyFill="1" applyBorder="1" applyAlignment="1">
      <alignment horizontal="center" vertical="top" wrapText="1"/>
    </xf>
    <xf numFmtId="41" fontId="47" fillId="2" borderId="4" xfId="5" applyFont="1" applyFill="1" applyBorder="1" applyAlignment="1">
      <alignment horizontal="right" vertical="top" wrapText="1"/>
    </xf>
    <xf numFmtId="164" fontId="47" fillId="2" borderId="4" xfId="3" applyNumberFormat="1" applyFont="1" applyFill="1" applyBorder="1" applyAlignment="1">
      <alignment horizontal="right" vertical="top"/>
    </xf>
    <xf numFmtId="0" fontId="47" fillId="2" borderId="4" xfId="3" applyFont="1" applyFill="1" applyBorder="1" applyAlignment="1">
      <alignment vertical="top" wrapText="1"/>
    </xf>
    <xf numFmtId="0" fontId="47" fillId="2" borderId="0" xfId="3" applyFont="1" applyFill="1" applyBorder="1" applyAlignment="1">
      <alignment vertical="top" wrapText="1"/>
    </xf>
    <xf numFmtId="0" fontId="50" fillId="2" borderId="0" xfId="0" applyFont="1" applyFill="1" applyBorder="1"/>
    <xf numFmtId="0" fontId="43" fillId="0" borderId="0" xfId="3" applyFont="1" applyAlignment="1">
      <alignment horizontal="center"/>
    </xf>
    <xf numFmtId="0" fontId="44" fillId="0" borderId="0" xfId="3" applyFont="1" applyBorder="1" applyAlignment="1">
      <alignment horizontal="center" vertical="top" wrapText="1"/>
    </xf>
    <xf numFmtId="166" fontId="28" fillId="0" borderId="4" xfId="0" applyNumberFormat="1" applyFont="1" applyBorder="1" applyAlignment="1">
      <alignment horizontal="center" vertical="center" wrapText="1"/>
    </xf>
    <xf numFmtId="166" fontId="56" fillId="0" borderId="4" xfId="1" applyNumberFormat="1" applyFont="1" applyFill="1" applyBorder="1" applyAlignment="1">
      <alignment vertical="top" wrapText="1"/>
    </xf>
    <xf numFmtId="0" fontId="55" fillId="0" borderId="0" xfId="0" applyFont="1"/>
    <xf numFmtId="0" fontId="55" fillId="0" borderId="0" xfId="0" applyFont="1" applyAlignment="1">
      <alignment horizontal="center" vertical="top"/>
    </xf>
    <xf numFmtId="43" fontId="8" fillId="2" borderId="4" xfId="1" applyFont="1" applyFill="1" applyBorder="1" applyAlignment="1">
      <alignment vertical="center"/>
    </xf>
    <xf numFmtId="43" fontId="10" fillId="2" borderId="4" xfId="1" applyFont="1" applyFill="1" applyBorder="1" applyAlignment="1">
      <alignment vertical="center"/>
    </xf>
    <xf numFmtId="0" fontId="10" fillId="2" borderId="12" xfId="0" quotePrefix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7" xfId="0" quotePrefix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 wrapText="1"/>
    </xf>
    <xf numFmtId="0" fontId="8" fillId="2" borderId="12" xfId="0" quotePrefix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top" wrapText="1"/>
    </xf>
    <xf numFmtId="0" fontId="8" fillId="2" borderId="7" xfId="0" applyFont="1" applyFill="1" applyBorder="1" applyAlignment="1">
      <alignment horizontal="left" vertical="center"/>
    </xf>
    <xf numFmtId="41" fontId="8" fillId="2" borderId="4" xfId="0" applyNumberFormat="1" applyFont="1" applyFill="1" applyBorder="1" applyAlignment="1">
      <alignment wrapText="1"/>
    </xf>
    <xf numFmtId="0" fontId="8" fillId="2" borderId="7" xfId="0" quotePrefix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 wrapText="1"/>
    </xf>
    <xf numFmtId="41" fontId="10" fillId="2" borderId="11" xfId="0" applyNumberFormat="1" applyFont="1" applyFill="1" applyBorder="1"/>
    <xf numFmtId="41" fontId="10" fillId="2" borderId="4" xfId="0" applyNumberFormat="1" applyFont="1" applyFill="1" applyBorder="1" applyAlignment="1">
      <alignment wrapText="1"/>
    </xf>
    <xf numFmtId="41" fontId="10" fillId="2" borderId="4" xfId="0" applyNumberFormat="1" applyFont="1" applyFill="1" applyBorder="1" applyAlignment="1">
      <alignment horizontal="left" wrapText="1"/>
    </xf>
    <xf numFmtId="3" fontId="11" fillId="2" borderId="0" xfId="0" applyNumberFormat="1" applyFont="1" applyFill="1"/>
    <xf numFmtId="166" fontId="10" fillId="2" borderId="4" xfId="1" applyNumberFormat="1" applyFont="1" applyFill="1" applyBorder="1" applyAlignment="1">
      <alignment vertical="center"/>
    </xf>
    <xf numFmtId="0" fontId="22" fillId="0" borderId="0" xfId="0" applyFont="1" applyBorder="1"/>
    <xf numFmtId="0" fontId="22" fillId="0" borderId="4" xfId="0" applyFont="1" applyBorder="1"/>
    <xf numFmtId="41" fontId="23" fillId="4" borderId="4" xfId="0" applyNumberFormat="1" applyFont="1" applyFill="1" applyBorder="1"/>
    <xf numFmtId="0" fontId="56" fillId="0" borderId="0" xfId="0" applyFont="1"/>
    <xf numFmtId="0" fontId="57" fillId="0" borderId="0" xfId="0" applyFont="1"/>
    <xf numFmtId="166" fontId="57" fillId="0" borderId="0" xfId="1" applyNumberFormat="1" applyFont="1"/>
    <xf numFmtId="41" fontId="56" fillId="0" borderId="0" xfId="0" applyNumberFormat="1" applyFont="1"/>
    <xf numFmtId="41" fontId="22" fillId="0" borderId="0" xfId="0" applyNumberFormat="1" applyFont="1"/>
    <xf numFmtId="0" fontId="22" fillId="0" borderId="0" xfId="0" applyFont="1"/>
    <xf numFmtId="0" fontId="58" fillId="0" borderId="0" xfId="0" applyFont="1"/>
    <xf numFmtId="41" fontId="23" fillId="0" borderId="0" xfId="0" applyNumberFormat="1" applyFont="1"/>
    <xf numFmtId="41" fontId="23" fillId="3" borderId="0" xfId="0" applyNumberFormat="1" applyFont="1" applyFill="1"/>
    <xf numFmtId="49" fontId="22" fillId="2" borderId="4" xfId="9" applyNumberFormat="1" applyFont="1" applyFill="1" applyBorder="1" applyAlignment="1">
      <alignment horizontal="left" vertical="top" wrapText="1"/>
    </xf>
    <xf numFmtId="41" fontId="58" fillId="2" borderId="4" xfId="5" applyFont="1" applyFill="1" applyBorder="1" applyAlignment="1">
      <alignment vertical="top" wrapText="1"/>
    </xf>
    <xf numFmtId="41" fontId="22" fillId="2" borderId="4" xfId="5" applyFont="1" applyFill="1" applyBorder="1" applyAlignment="1">
      <alignment vertical="top" wrapText="1"/>
    </xf>
    <xf numFmtId="41" fontId="22" fillId="2" borderId="4" xfId="5" applyFont="1" applyFill="1" applyBorder="1" applyAlignment="1">
      <alignment horizontal="center" vertical="top" wrapText="1"/>
    </xf>
    <xf numFmtId="41" fontId="22" fillId="2" borderId="4" xfId="5" applyNumberFormat="1" applyFont="1" applyFill="1" applyBorder="1" applyAlignment="1">
      <alignment vertical="top"/>
    </xf>
    <xf numFmtId="41" fontId="22" fillId="2" borderId="8" xfId="5" applyNumberFormat="1" applyFont="1" applyFill="1" applyBorder="1" applyAlignment="1">
      <alignment vertical="top"/>
    </xf>
    <xf numFmtId="49" fontId="22" fillId="4" borderId="4" xfId="9" applyNumberFormat="1" applyFont="1" applyFill="1" applyBorder="1" applyAlignment="1">
      <alignment horizontal="left" vertical="top" wrapText="1"/>
    </xf>
    <xf numFmtId="41" fontId="58" fillId="4" borderId="4" xfId="5" applyFont="1" applyFill="1" applyBorder="1" applyAlignment="1">
      <alignment vertical="top" wrapText="1"/>
    </xf>
    <xf numFmtId="41" fontId="22" fillId="4" borderId="4" xfId="5" applyFont="1" applyFill="1" applyBorder="1" applyAlignment="1">
      <alignment vertical="top" wrapText="1"/>
    </xf>
    <xf numFmtId="41" fontId="22" fillId="4" borderId="4" xfId="5" applyFont="1" applyFill="1" applyBorder="1" applyAlignment="1">
      <alignment horizontal="center" vertical="top" wrapText="1"/>
    </xf>
    <xf numFmtId="41" fontId="22" fillId="4" borderId="4" xfId="5" applyNumberFormat="1" applyFont="1" applyFill="1" applyBorder="1" applyAlignment="1">
      <alignment vertical="top"/>
    </xf>
    <xf numFmtId="41" fontId="22" fillId="4" borderId="8" xfId="5" applyNumberFormat="1" applyFont="1" applyFill="1" applyBorder="1" applyAlignment="1">
      <alignment vertical="top"/>
    </xf>
    <xf numFmtId="49" fontId="22" fillId="9" borderId="4" xfId="9" applyNumberFormat="1" applyFont="1" applyFill="1" applyBorder="1" applyAlignment="1">
      <alignment horizontal="left" vertical="top" wrapText="1"/>
    </xf>
    <xf numFmtId="41" fontId="58" fillId="9" borderId="4" xfId="5" applyFont="1" applyFill="1" applyBorder="1" applyAlignment="1">
      <alignment vertical="top" wrapText="1"/>
    </xf>
    <xf numFmtId="41" fontId="22" fillId="9" borderId="4" xfId="5" applyFont="1" applyFill="1" applyBorder="1" applyAlignment="1">
      <alignment vertical="top" wrapText="1"/>
    </xf>
    <xf numFmtId="41" fontId="22" fillId="9" borderId="4" xfId="5" applyFont="1" applyFill="1" applyBorder="1" applyAlignment="1">
      <alignment horizontal="center" vertical="top" wrapText="1"/>
    </xf>
    <xf numFmtId="41" fontId="22" fillId="9" borderId="4" xfId="5" applyNumberFormat="1" applyFont="1" applyFill="1" applyBorder="1" applyAlignment="1">
      <alignment vertical="top"/>
    </xf>
    <xf numFmtId="41" fontId="22" fillId="9" borderId="8" xfId="5" applyNumberFormat="1" applyFont="1" applyFill="1" applyBorder="1" applyAlignment="1">
      <alignment vertical="top"/>
    </xf>
    <xf numFmtId="49" fontId="22" fillId="2" borderId="6" xfId="9" applyNumberFormat="1" applyFont="1" applyFill="1" applyBorder="1" applyAlignment="1">
      <alignment horizontal="left" vertical="top" wrapText="1"/>
    </xf>
    <xf numFmtId="41" fontId="22" fillId="2" borderId="8" xfId="5" applyFont="1" applyFill="1" applyBorder="1" applyAlignment="1">
      <alignment vertical="top"/>
    </xf>
    <xf numFmtId="41" fontId="22" fillId="2" borderId="4" xfId="5" applyFont="1" applyFill="1" applyBorder="1" applyAlignment="1">
      <alignment vertical="top"/>
    </xf>
    <xf numFmtId="41" fontId="22" fillId="2" borderId="4" xfId="5" applyFont="1" applyFill="1" applyBorder="1" applyAlignment="1">
      <alignment horizontal="center" vertical="top"/>
    </xf>
    <xf numFmtId="41" fontId="23" fillId="2" borderId="8" xfId="5" applyFont="1" applyFill="1" applyBorder="1" applyAlignment="1">
      <alignment vertical="top"/>
    </xf>
    <xf numFmtId="49" fontId="23" fillId="2" borderId="4" xfId="9" applyNumberFormat="1" applyFont="1" applyFill="1" applyBorder="1" applyAlignment="1">
      <alignment horizontal="left" vertical="top" wrapText="1"/>
    </xf>
    <xf numFmtId="41" fontId="23" fillId="4" borderId="4" xfId="5" applyFont="1" applyFill="1" applyBorder="1" applyAlignment="1">
      <alignment vertical="top"/>
    </xf>
    <xf numFmtId="41" fontId="22" fillId="2" borderId="4" xfId="5" applyFont="1" applyFill="1" applyBorder="1" applyAlignment="1">
      <alignment horizontal="right" vertical="top" wrapText="1"/>
    </xf>
    <xf numFmtId="3" fontId="22" fillId="2" borderId="4" xfId="0" applyNumberFormat="1" applyFont="1" applyFill="1" applyBorder="1" applyAlignment="1">
      <alignment horizontal="right" vertical="top"/>
    </xf>
    <xf numFmtId="41" fontId="23" fillId="2" borderId="4" xfId="5" applyFont="1" applyFill="1" applyBorder="1" applyAlignment="1">
      <alignment vertical="top"/>
    </xf>
    <xf numFmtId="41" fontId="23" fillId="2" borderId="4" xfId="5" applyFont="1" applyFill="1" applyBorder="1" applyAlignment="1">
      <alignment horizontal="center" vertical="top"/>
    </xf>
    <xf numFmtId="3" fontId="23" fillId="2" borderId="4" xfId="0" applyNumberFormat="1" applyFont="1" applyFill="1" applyBorder="1" applyAlignment="1">
      <alignment horizontal="right" vertical="top"/>
    </xf>
    <xf numFmtId="0" fontId="23" fillId="2" borderId="4" xfId="0" applyFont="1" applyFill="1" applyBorder="1" applyAlignment="1">
      <alignment wrapText="1"/>
    </xf>
    <xf numFmtId="41" fontId="22" fillId="2" borderId="4" xfId="5" applyFont="1" applyFill="1" applyBorder="1"/>
    <xf numFmtId="41" fontId="23" fillId="2" borderId="4" xfId="0" applyNumberFormat="1" applyFont="1" applyFill="1" applyBorder="1" applyAlignment="1">
      <alignment vertical="top"/>
    </xf>
    <xf numFmtId="41" fontId="22" fillId="2" borderId="4" xfId="0" applyNumberFormat="1" applyFont="1" applyFill="1" applyBorder="1" applyAlignment="1">
      <alignment vertical="top"/>
    </xf>
    <xf numFmtId="41" fontId="23" fillId="4" borderId="4" xfId="0" applyNumberFormat="1" applyFont="1" applyFill="1" applyBorder="1" applyAlignment="1">
      <alignment vertical="top"/>
    </xf>
    <xf numFmtId="0" fontId="22" fillId="2" borderId="4" xfId="0" applyFont="1" applyFill="1" applyBorder="1" applyAlignment="1">
      <alignment wrapText="1"/>
    </xf>
    <xf numFmtId="49" fontId="22" fillId="2" borderId="0" xfId="9" applyNumberFormat="1" applyFont="1" applyFill="1" applyBorder="1" applyAlignment="1">
      <alignment horizontal="left" vertical="top" wrapText="1"/>
    </xf>
    <xf numFmtId="41" fontId="23" fillId="2" borderId="4" xfId="5" applyFont="1" applyFill="1" applyBorder="1" applyAlignment="1">
      <alignment horizontal="center" vertical="top" wrapText="1"/>
    </xf>
    <xf numFmtId="0" fontId="23" fillId="2" borderId="4" xfId="0" applyFont="1" applyFill="1" applyBorder="1" applyAlignment="1">
      <alignment vertical="top" wrapText="1"/>
    </xf>
    <xf numFmtId="41" fontId="22" fillId="2" borderId="4" xfId="5" applyFont="1" applyFill="1" applyBorder="1" applyAlignment="1">
      <alignment vertical="center" wrapText="1"/>
    </xf>
    <xf numFmtId="41" fontId="23" fillId="3" borderId="8" xfId="5" applyFont="1" applyFill="1" applyBorder="1" applyAlignment="1">
      <alignment vertical="top"/>
    </xf>
    <xf numFmtId="41" fontId="23" fillId="2" borderId="4" xfId="5" applyFont="1" applyFill="1" applyBorder="1" applyAlignment="1">
      <alignment vertical="center"/>
    </xf>
    <xf numFmtId="0" fontId="22" fillId="2" borderId="4" xfId="0" applyFont="1" applyFill="1" applyBorder="1" applyAlignment="1">
      <alignment vertical="top"/>
    </xf>
    <xf numFmtId="41" fontId="22" fillId="2" borderId="4" xfId="5" applyFont="1" applyFill="1" applyBorder="1" applyAlignment="1">
      <alignment vertical="center"/>
    </xf>
    <xf numFmtId="41" fontId="57" fillId="0" borderId="0" xfId="0" applyNumberFormat="1" applyFont="1"/>
    <xf numFmtId="41" fontId="23" fillId="9" borderId="4" xfId="5" applyFont="1" applyFill="1" applyBorder="1" applyAlignment="1">
      <alignment vertical="top"/>
    </xf>
    <xf numFmtId="41" fontId="23" fillId="2" borderId="4" xfId="5" applyFont="1" applyFill="1" applyBorder="1" applyAlignment="1">
      <alignment vertical="center" wrapText="1"/>
    </xf>
    <xf numFmtId="41" fontId="23" fillId="2" borderId="4" xfId="5" applyFont="1" applyFill="1" applyBorder="1" applyAlignment="1">
      <alignment horizontal="right" vertical="top" wrapText="1"/>
    </xf>
    <xf numFmtId="41" fontId="23" fillId="3" borderId="4" xfId="5" applyFont="1" applyFill="1" applyBorder="1" applyAlignment="1">
      <alignment vertical="top"/>
    </xf>
    <xf numFmtId="0" fontId="22" fillId="2" borderId="4" xfId="0" applyFont="1" applyFill="1" applyBorder="1" applyAlignment="1">
      <alignment vertical="top" wrapText="1"/>
    </xf>
    <xf numFmtId="166" fontId="22" fillId="0" borderId="4" xfId="1" applyNumberFormat="1" applyFont="1" applyBorder="1"/>
    <xf numFmtId="0" fontId="47" fillId="0" borderId="0" xfId="0" applyFont="1"/>
    <xf numFmtId="0" fontId="47" fillId="0" borderId="0" xfId="0" applyFont="1" applyAlignment="1">
      <alignment horizontal="center" vertical="top"/>
    </xf>
    <xf numFmtId="0" fontId="48" fillId="0" borderId="0" xfId="0" applyFont="1"/>
    <xf numFmtId="41" fontId="48" fillId="2" borderId="0" xfId="0" applyNumberFormat="1" applyFont="1" applyFill="1" applyBorder="1" applyAlignment="1">
      <alignment horizontal="center"/>
    </xf>
    <xf numFmtId="41" fontId="47" fillId="2" borderId="0" xfId="0" applyNumberFormat="1" applyFont="1" applyFill="1" applyAlignment="1">
      <alignment horizontal="center"/>
    </xf>
    <xf numFmtId="0" fontId="44" fillId="0" borderId="0" xfId="3" applyFont="1" applyBorder="1" applyAlignment="1">
      <alignment horizontal="center" vertical="top" wrapText="1"/>
    </xf>
    <xf numFmtId="0" fontId="47" fillId="0" borderId="0" xfId="3" applyFont="1" applyAlignment="1">
      <alignment horizontal="center" vertical="top"/>
    </xf>
    <xf numFmtId="0" fontId="43" fillId="0" borderId="0" xfId="3" applyFont="1" applyAlignment="1">
      <alignment horizontal="center"/>
    </xf>
    <xf numFmtId="0" fontId="46" fillId="0" borderId="0" xfId="0" applyFont="1" applyAlignment="1">
      <alignment horizontal="center"/>
    </xf>
    <xf numFmtId="0" fontId="42" fillId="0" borderId="0" xfId="0" applyFont="1" applyAlignment="1">
      <alignment horizontal="center" vertical="top"/>
    </xf>
    <xf numFmtId="166" fontId="10" fillId="2" borderId="4" xfId="1" applyNumberFormat="1" applyFont="1" applyFill="1" applyBorder="1" applyAlignment="1">
      <alignment vertical="top"/>
    </xf>
    <xf numFmtId="166" fontId="22" fillId="0" borderId="0" xfId="1" applyNumberFormat="1" applyFont="1" applyAlignment="1">
      <alignment vertical="top" wrapText="1"/>
    </xf>
    <xf numFmtId="166" fontId="22" fillId="0" borderId="0" xfId="1" applyNumberFormat="1" applyFont="1" applyAlignment="1">
      <alignment vertical="top"/>
    </xf>
    <xf numFmtId="166" fontId="23" fillId="0" borderId="4" xfId="1" applyNumberFormat="1" applyFont="1" applyBorder="1" applyAlignment="1">
      <alignment horizontal="center" vertical="top"/>
    </xf>
    <xf numFmtId="166" fontId="22" fillId="0" borderId="4" xfId="1" applyNumberFormat="1" applyFont="1" applyBorder="1" applyAlignment="1">
      <alignment vertical="top" wrapText="1"/>
    </xf>
    <xf numFmtId="166" fontId="23" fillId="0" borderId="4" xfId="1" applyNumberFormat="1" applyFont="1" applyBorder="1" applyAlignment="1">
      <alignment horizontal="center" vertical="top" wrapText="1"/>
    </xf>
    <xf numFmtId="166" fontId="22" fillId="0" borderId="4" xfId="1" applyNumberFormat="1" applyFont="1" applyBorder="1" applyAlignment="1">
      <alignment horizontal="center" vertical="top"/>
    </xf>
    <xf numFmtId="166" fontId="22" fillId="0" borderId="4" xfId="1" applyNumberFormat="1" applyFont="1" applyBorder="1" applyAlignment="1">
      <alignment horizontal="center" vertical="top" wrapText="1"/>
    </xf>
    <xf numFmtId="166" fontId="22" fillId="0" borderId="4" xfId="1" applyNumberFormat="1" applyFont="1" applyBorder="1" applyAlignment="1">
      <alignment vertical="top"/>
    </xf>
    <xf numFmtId="166" fontId="22" fillId="0" borderId="4" xfId="1" applyNumberFormat="1" applyFont="1" applyBorder="1" applyAlignment="1">
      <alignment horizontal="left" vertical="top" wrapText="1"/>
    </xf>
    <xf numFmtId="166" fontId="22" fillId="0" borderId="0" xfId="1" applyNumberFormat="1" applyFont="1" applyAlignment="1">
      <alignment horizontal="center" vertical="top"/>
    </xf>
    <xf numFmtId="166" fontId="22" fillId="0" borderId="4" xfId="1" applyNumberFormat="1" applyFont="1" applyBorder="1" applyAlignment="1">
      <alignment horizontal="center" vertical="center"/>
    </xf>
    <xf numFmtId="166" fontId="10" fillId="2" borderId="4" xfId="1" applyNumberFormat="1" applyFont="1" applyFill="1" applyBorder="1" applyAlignment="1">
      <alignment horizontal="right" vertical="center"/>
    </xf>
    <xf numFmtId="166" fontId="22" fillId="2" borderId="4" xfId="1" applyNumberFormat="1" applyFont="1" applyFill="1" applyBorder="1" applyAlignment="1">
      <alignment horizontal="right" vertical="center"/>
    </xf>
    <xf numFmtId="166" fontId="22" fillId="2" borderId="0" xfId="1" applyNumberFormat="1" applyFont="1" applyFill="1" applyAlignment="1">
      <alignment vertical="top"/>
    </xf>
    <xf numFmtId="166" fontId="22" fillId="2" borderId="0" xfId="1" applyNumberFormat="1" applyFont="1" applyFill="1" applyAlignment="1">
      <alignment vertical="center"/>
    </xf>
    <xf numFmtId="166" fontId="23" fillId="2" borderId="4" xfId="1" applyNumberFormat="1" applyFont="1" applyFill="1" applyBorder="1" applyAlignment="1">
      <alignment vertical="center"/>
    </xf>
    <xf numFmtId="166" fontId="23" fillId="2" borderId="4" xfId="1" applyNumberFormat="1" applyFont="1" applyFill="1" applyBorder="1" applyAlignment="1">
      <alignment horizontal="center" vertical="center"/>
    </xf>
    <xf numFmtId="166" fontId="22" fillId="2" borderId="4" xfId="1" applyNumberFormat="1" applyFont="1" applyFill="1" applyBorder="1" applyAlignment="1">
      <alignment vertical="center"/>
    </xf>
    <xf numFmtId="166" fontId="22" fillId="2" borderId="4" xfId="1" applyNumberFormat="1" applyFont="1" applyFill="1" applyBorder="1" applyAlignment="1">
      <alignment horizontal="left" vertical="center" wrapText="1"/>
    </xf>
    <xf numFmtId="166" fontId="23" fillId="2" borderId="4" xfId="1" applyNumberFormat="1" applyFont="1" applyFill="1" applyBorder="1" applyAlignment="1">
      <alignment horizontal="right" vertical="center"/>
    </xf>
    <xf numFmtId="166" fontId="23" fillId="2" borderId="4" xfId="1" applyNumberFormat="1" applyFont="1" applyFill="1" applyBorder="1" applyAlignment="1">
      <alignment horizontal="right" vertical="center" wrapText="1"/>
    </xf>
    <xf numFmtId="166" fontId="22" fillId="2" borderId="4" xfId="1" applyNumberFormat="1" applyFont="1" applyFill="1" applyBorder="1" applyAlignment="1">
      <alignment horizontal="center" vertical="center"/>
    </xf>
    <xf numFmtId="166" fontId="22" fillId="2" borderId="4" xfId="1" applyNumberFormat="1" applyFont="1" applyFill="1" applyBorder="1" applyAlignment="1">
      <alignment vertical="center" wrapText="1"/>
    </xf>
    <xf numFmtId="166" fontId="23" fillId="2" borderId="4" xfId="1" applyNumberFormat="1" applyFont="1" applyFill="1" applyBorder="1" applyAlignment="1">
      <alignment vertical="center" wrapText="1"/>
    </xf>
    <xf numFmtId="166" fontId="23" fillId="2" borderId="0" xfId="1" applyNumberFormat="1" applyFont="1" applyFill="1" applyAlignment="1">
      <alignment vertical="top"/>
    </xf>
    <xf numFmtId="166" fontId="22" fillId="2" borderId="0" xfId="1" applyNumberFormat="1" applyFont="1" applyFill="1" applyAlignment="1">
      <alignment vertical="top" wrapText="1"/>
    </xf>
    <xf numFmtId="166" fontId="22" fillId="2" borderId="0" xfId="1" applyNumberFormat="1" applyFont="1" applyFill="1" applyAlignment="1">
      <alignment horizontal="center" vertical="top"/>
    </xf>
    <xf numFmtId="166" fontId="22" fillId="2" borderId="0" xfId="1" applyNumberFormat="1" applyFont="1" applyFill="1" applyAlignment="1">
      <alignment horizontal="center" vertical="top" wrapText="1"/>
    </xf>
    <xf numFmtId="166" fontId="23" fillId="2" borderId="4" xfId="1" applyNumberFormat="1" applyFont="1" applyFill="1" applyBorder="1" applyAlignment="1">
      <alignment horizontal="center" vertical="center" wrapText="1"/>
    </xf>
    <xf numFmtId="164" fontId="27" fillId="2" borderId="0" xfId="0" applyNumberFormat="1" applyFont="1" applyFill="1" applyAlignment="1"/>
    <xf numFmtId="166" fontId="22" fillId="4" borderId="4" xfId="1" applyNumberFormat="1" applyFont="1" applyFill="1" applyBorder="1" applyAlignment="1">
      <alignment horizontal="right" vertical="center"/>
    </xf>
    <xf numFmtId="41" fontId="38" fillId="2" borderId="0" xfId="0" applyNumberFormat="1" applyFont="1" applyFill="1"/>
    <xf numFmtId="166" fontId="38" fillId="2" borderId="0" xfId="1" applyNumberFormat="1" applyFont="1" applyFill="1"/>
    <xf numFmtId="43" fontId="38" fillId="2" borderId="0" xfId="1" applyFont="1" applyFill="1"/>
    <xf numFmtId="43" fontId="38" fillId="2" borderId="0" xfId="1" applyNumberFormat="1" applyFont="1" applyFill="1"/>
    <xf numFmtId="41" fontId="61" fillId="2" borderId="0" xfId="0" applyNumberFormat="1" applyFont="1" applyFill="1"/>
    <xf numFmtId="166" fontId="61" fillId="8" borderId="4" xfId="1" applyNumberFormat="1" applyFont="1" applyFill="1" applyBorder="1" applyAlignment="1">
      <alignment vertical="center"/>
    </xf>
    <xf numFmtId="166" fontId="61" fillId="2" borderId="4" xfId="1" applyNumberFormat="1" applyFont="1" applyFill="1" applyBorder="1" applyAlignment="1">
      <alignment vertical="center"/>
    </xf>
    <xf numFmtId="166" fontId="61" fillId="4" borderId="4" xfId="1" applyNumberFormat="1" applyFont="1" applyFill="1" applyBorder="1" applyAlignment="1">
      <alignment vertical="center"/>
    </xf>
    <xf numFmtId="41" fontId="61" fillId="4" borderId="4" xfId="0" applyNumberFormat="1" applyFont="1" applyFill="1" applyBorder="1" applyAlignment="1">
      <alignment vertical="center"/>
    </xf>
    <xf numFmtId="41" fontId="38" fillId="2" borderId="0" xfId="0" applyNumberFormat="1" applyFont="1" applyFill="1" applyAlignment="1">
      <alignment vertical="center"/>
    </xf>
    <xf numFmtId="43" fontId="38" fillId="2" borderId="0" xfId="1" applyFont="1" applyFill="1" applyAlignment="1"/>
    <xf numFmtId="166" fontId="38" fillId="2" borderId="0" xfId="1" applyNumberFormat="1" applyFont="1" applyFill="1" applyAlignment="1"/>
    <xf numFmtId="3" fontId="38" fillId="2" borderId="0" xfId="0" applyNumberFormat="1" applyFont="1" applyFill="1"/>
    <xf numFmtId="164" fontId="28" fillId="12" borderId="4" xfId="0" applyNumberFormat="1" applyFont="1" applyFill="1" applyBorder="1" applyAlignment="1">
      <alignment horizontal="center" vertical="center" wrapText="1"/>
    </xf>
    <xf numFmtId="0" fontId="33" fillId="0" borderId="0" xfId="0" applyFont="1" applyBorder="1"/>
    <xf numFmtId="0" fontId="32" fillId="0" borderId="0" xfId="0" applyFont="1" applyBorder="1"/>
    <xf numFmtId="166" fontId="32" fillId="0" borderId="0" xfId="0" applyNumberFormat="1" applyFont="1"/>
    <xf numFmtId="41" fontId="32" fillId="0" borderId="0" xfId="0" applyNumberFormat="1" applyFont="1"/>
    <xf numFmtId="0" fontId="63" fillId="12" borderId="4" xfId="0" applyFont="1" applyFill="1" applyBorder="1" applyAlignment="1">
      <alignment horizontal="center" vertical="center"/>
    </xf>
    <xf numFmtId="0" fontId="64" fillId="0" borderId="0" xfId="0" applyFont="1" applyBorder="1"/>
    <xf numFmtId="0" fontId="65" fillId="0" borderId="0" xfId="0" applyFont="1" applyBorder="1"/>
    <xf numFmtId="0" fontId="28" fillId="0" borderId="4" xfId="0" applyFont="1" applyBorder="1"/>
    <xf numFmtId="0" fontId="28" fillId="0" borderId="4" xfId="0" applyFont="1" applyBorder="1" applyAlignment="1">
      <alignment horizontal="center"/>
    </xf>
    <xf numFmtId="9" fontId="29" fillId="4" borderId="4" xfId="0" applyNumberFormat="1" applyFont="1" applyFill="1" applyBorder="1" applyAlignment="1">
      <alignment horizontal="center"/>
    </xf>
    <xf numFmtId="41" fontId="29" fillId="4" borderId="4" xfId="5" applyFont="1" applyFill="1" applyBorder="1" applyAlignment="1">
      <alignment horizontal="center"/>
    </xf>
    <xf numFmtId="41" fontId="29" fillId="4" borderId="4" xfId="0" applyNumberFormat="1" applyFont="1" applyFill="1" applyBorder="1"/>
    <xf numFmtId="9" fontId="29" fillId="3" borderId="4" xfId="0" applyNumberFormat="1" applyFont="1" applyFill="1" applyBorder="1" applyAlignment="1">
      <alignment horizontal="center"/>
    </xf>
    <xf numFmtId="41" fontId="29" fillId="3" borderId="4" xfId="0" applyNumberFormat="1" applyFont="1" applyFill="1" applyBorder="1"/>
    <xf numFmtId="41" fontId="29" fillId="3" borderId="4" xfId="0" applyNumberFormat="1" applyFont="1" applyFill="1" applyBorder="1" applyAlignment="1">
      <alignment horizontal="center"/>
    </xf>
    <xf numFmtId="41" fontId="28" fillId="0" borderId="4" xfId="0" applyNumberFormat="1" applyFont="1" applyBorder="1" applyAlignment="1">
      <alignment horizontal="center"/>
    </xf>
    <xf numFmtId="41" fontId="67" fillId="2" borderId="0" xfId="3" applyNumberFormat="1" applyFont="1" applyFill="1" applyAlignment="1"/>
    <xf numFmtId="41" fontId="68" fillId="2" borderId="0" xfId="0" applyNumberFormat="1" applyFont="1" applyFill="1"/>
    <xf numFmtId="41" fontId="2" fillId="2" borderId="0" xfId="0" applyNumberFormat="1" applyFont="1" applyFill="1"/>
    <xf numFmtId="164" fontId="69" fillId="2" borderId="0" xfId="0" applyNumberFormat="1" applyFont="1" applyFill="1"/>
    <xf numFmtId="41" fontId="70" fillId="2" borderId="0" xfId="0" applyNumberFormat="1" applyFont="1" applyFill="1"/>
    <xf numFmtId="164" fontId="70" fillId="2" borderId="0" xfId="0" applyNumberFormat="1" applyFont="1" applyFill="1"/>
    <xf numFmtId="41" fontId="61" fillId="10" borderId="42" xfId="3" applyNumberFormat="1" applyFont="1" applyFill="1" applyBorder="1" applyAlignment="1">
      <alignment horizontal="center" vertical="center" wrapText="1"/>
    </xf>
    <xf numFmtId="164" fontId="38" fillId="10" borderId="36" xfId="3" applyNumberFormat="1" applyFont="1" applyFill="1" applyBorder="1" applyAlignment="1">
      <alignment horizontal="center" vertical="center" wrapText="1"/>
    </xf>
    <xf numFmtId="0" fontId="61" fillId="10" borderId="5" xfId="3" applyNumberFormat="1" applyFont="1" applyFill="1" applyBorder="1" applyAlignment="1">
      <alignment horizontal="center" vertical="center" wrapText="1"/>
    </xf>
    <xf numFmtId="41" fontId="61" fillId="10" borderId="5" xfId="3" applyNumberFormat="1" applyFont="1" applyFill="1" applyBorder="1" applyAlignment="1">
      <alignment horizontal="center" vertical="center" wrapText="1"/>
    </xf>
    <xf numFmtId="164" fontId="61" fillId="10" borderId="0" xfId="3" applyNumberFormat="1" applyFont="1" applyFill="1" applyBorder="1" applyAlignment="1">
      <alignment horizontal="center" vertical="center" wrapText="1"/>
    </xf>
    <xf numFmtId="41" fontId="61" fillId="10" borderId="40" xfId="3" applyNumberFormat="1" applyFont="1" applyFill="1" applyBorder="1" applyAlignment="1">
      <alignment horizontal="center" vertical="center" wrapText="1"/>
    </xf>
    <xf numFmtId="164" fontId="38" fillId="10" borderId="39" xfId="3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62" fillId="0" borderId="12" xfId="0" applyFont="1" applyFill="1" applyBorder="1" applyAlignment="1">
      <alignment horizontal="left" vertical="center" wrapText="1"/>
    </xf>
    <xf numFmtId="41" fontId="62" fillId="2" borderId="12" xfId="5" applyFont="1" applyFill="1" applyBorder="1" applyAlignment="1">
      <alignment horizontal="right" vertical="center"/>
    </xf>
    <xf numFmtId="42" fontId="62" fillId="2" borderId="12" xfId="0" applyNumberFormat="1" applyFont="1" applyFill="1" applyBorder="1" applyAlignment="1">
      <alignment horizontal="center" vertical="center" wrapText="1"/>
    </xf>
    <xf numFmtId="42" fontId="2" fillId="2" borderId="12" xfId="0" applyNumberFormat="1" applyFont="1" applyFill="1" applyBorder="1" applyAlignment="1">
      <alignment horizontal="center" vertical="center" wrapText="1"/>
    </xf>
    <xf numFmtId="42" fontId="2" fillId="2" borderId="7" xfId="0" applyNumberFormat="1" applyFont="1" applyFill="1" applyBorder="1" applyAlignment="1">
      <alignment horizontal="center" vertical="center" wrapText="1"/>
    </xf>
    <xf numFmtId="0" fontId="62" fillId="0" borderId="7" xfId="0" applyFont="1" applyFill="1" applyBorder="1" applyAlignment="1">
      <alignment horizontal="left" vertical="center" wrapText="1"/>
    </xf>
    <xf numFmtId="41" fontId="62" fillId="2" borderId="4" xfId="5" applyFont="1" applyFill="1" applyBorder="1" applyAlignment="1">
      <alignment horizontal="right" vertical="center"/>
    </xf>
    <xf numFmtId="42" fontId="62" fillId="2" borderId="4" xfId="0" applyNumberFormat="1" applyFont="1" applyFill="1" applyBorder="1" applyAlignment="1">
      <alignment horizontal="center" vertical="center" wrapText="1"/>
    </xf>
    <xf numFmtId="42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2" borderId="12" xfId="5" applyFont="1" applyFill="1" applyBorder="1" applyAlignment="1">
      <alignment horizontal="right" vertical="center"/>
    </xf>
    <xf numFmtId="3" fontId="62" fillId="2" borderId="12" xfId="0" applyNumberFormat="1" applyFont="1" applyFill="1" applyBorder="1" applyAlignment="1">
      <alignment horizontal="right" vertical="center" wrapText="1"/>
    </xf>
    <xf numFmtId="41" fontId="62" fillId="2" borderId="12" xfId="5" applyFont="1" applyFill="1" applyBorder="1" applyAlignment="1">
      <alignment horizontal="right" vertical="center" wrapText="1"/>
    </xf>
    <xf numFmtId="41" fontId="62" fillId="2" borderId="7" xfId="5" applyFont="1" applyFill="1" applyBorder="1" applyAlignment="1">
      <alignment horizontal="right" vertical="center"/>
    </xf>
    <xf numFmtId="41" fontId="2" fillId="2" borderId="4" xfId="5" applyFont="1" applyFill="1" applyBorder="1" applyAlignment="1">
      <alignment horizontal="right" vertical="center"/>
    </xf>
    <xf numFmtId="3" fontId="62" fillId="2" borderId="4" xfId="0" applyNumberFormat="1" applyFont="1" applyFill="1" applyBorder="1" applyAlignment="1">
      <alignment horizontal="right" vertical="center" wrapText="1"/>
    </xf>
    <xf numFmtId="41" fontId="62" fillId="0" borderId="4" xfId="5" applyFont="1" applyFill="1" applyBorder="1" applyAlignment="1">
      <alignment horizontal="center" vertical="center" wrapText="1"/>
    </xf>
    <xf numFmtId="41" fontId="62" fillId="2" borderId="4" xfId="5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41" fontId="62" fillId="0" borderId="12" xfId="5" applyFont="1" applyFill="1" applyBorder="1" applyAlignment="1">
      <alignment horizontal="center" vertical="center" wrapText="1"/>
    </xf>
    <xf numFmtId="41" fontId="62" fillId="0" borderId="7" xfId="5" applyFont="1" applyFill="1" applyBorder="1" applyAlignment="1">
      <alignment horizontal="center" vertical="center" wrapText="1"/>
    </xf>
    <xf numFmtId="0" fontId="62" fillId="2" borderId="4" xfId="0" applyFont="1" applyFill="1" applyBorder="1" applyAlignment="1">
      <alignment horizontal="right" vertical="center" wrapText="1"/>
    </xf>
    <xf numFmtId="41" fontId="62" fillId="2" borderId="4" xfId="0" applyNumberFormat="1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left" vertical="center" wrapText="1"/>
    </xf>
    <xf numFmtId="41" fontId="2" fillId="0" borderId="12" xfId="5" applyFont="1" applyFill="1" applyBorder="1" applyAlignment="1">
      <alignment horizontal="center" vertical="center" wrapText="1"/>
    </xf>
    <xf numFmtId="42" fontId="62" fillId="0" borderId="12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42" fontId="2" fillId="0" borderId="12" xfId="0" applyNumberFormat="1" applyFont="1" applyFill="1" applyBorder="1" applyAlignment="1">
      <alignment horizontal="center" vertical="center" wrapText="1"/>
    </xf>
    <xf numFmtId="42" fontId="2" fillId="0" borderId="7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41" fontId="2" fillId="0" borderId="4" xfId="5" applyFont="1" applyFill="1" applyBorder="1" applyAlignment="1">
      <alignment horizontal="center" vertical="center" wrapText="1"/>
    </xf>
    <xf numFmtId="42" fontId="6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42" fontId="2" fillId="0" borderId="4" xfId="0" applyNumberFormat="1" applyFont="1" applyFill="1" applyBorder="1" applyAlignment="1">
      <alignment horizontal="center" vertical="center" wrapText="1"/>
    </xf>
    <xf numFmtId="41" fontId="71" fillId="2" borderId="10" xfId="3" applyNumberFormat="1" applyFont="1" applyFill="1" applyBorder="1" applyAlignment="1">
      <alignment horizontal="center" vertical="center" wrapText="1"/>
    </xf>
    <xf numFmtId="164" fontId="72" fillId="2" borderId="9" xfId="3" applyNumberFormat="1" applyFont="1" applyFill="1" applyBorder="1" applyAlignment="1">
      <alignment horizontal="center" vertical="center" wrapText="1"/>
    </xf>
    <xf numFmtId="41" fontId="71" fillId="2" borderId="4" xfId="3" applyNumberFormat="1" applyFont="1" applyFill="1" applyBorder="1" applyAlignment="1">
      <alignment horizontal="center" vertical="center" wrapText="1"/>
    </xf>
    <xf numFmtId="41" fontId="73" fillId="2" borderId="10" xfId="3" applyNumberFormat="1" applyFont="1" applyFill="1" applyBorder="1" applyAlignment="1">
      <alignment horizontal="center" vertical="center" wrapText="1"/>
    </xf>
    <xf numFmtId="41" fontId="73" fillId="2" borderId="4" xfId="4" applyNumberFormat="1" applyFont="1" applyFill="1" applyBorder="1" applyAlignment="1">
      <alignment vertical="center"/>
    </xf>
    <xf numFmtId="41" fontId="73" fillId="2" borderId="4" xfId="3" applyNumberFormat="1" applyFont="1" applyFill="1" applyBorder="1" applyAlignment="1">
      <alignment horizontal="center" vertical="center" wrapText="1"/>
    </xf>
    <xf numFmtId="164" fontId="74" fillId="2" borderId="9" xfId="3" applyNumberFormat="1" applyFont="1" applyFill="1" applyBorder="1" applyAlignment="1">
      <alignment horizontal="center" vertical="center" wrapText="1"/>
    </xf>
    <xf numFmtId="41" fontId="75" fillId="2" borderId="0" xfId="0" applyNumberFormat="1" applyFont="1" applyFill="1"/>
    <xf numFmtId="164" fontId="38" fillId="8" borderId="4" xfId="4" applyNumberFormat="1" applyFont="1" applyFill="1" applyBorder="1" applyAlignment="1">
      <alignment vertical="center"/>
    </xf>
    <xf numFmtId="41" fontId="61" fillId="2" borderId="4" xfId="4" applyNumberFormat="1" applyFont="1" applyFill="1" applyBorder="1" applyAlignment="1">
      <alignment vertical="center"/>
    </xf>
    <xf numFmtId="41" fontId="61" fillId="2" borderId="6" xfId="4" applyNumberFormat="1" applyFont="1" applyFill="1" applyBorder="1" applyAlignment="1">
      <alignment vertical="center"/>
    </xf>
    <xf numFmtId="164" fontId="38" fillId="2" borderId="4" xfId="4" applyNumberFormat="1" applyFont="1" applyFill="1" applyBorder="1" applyAlignment="1">
      <alignment vertical="center"/>
    </xf>
    <xf numFmtId="164" fontId="38" fillId="4" borderId="4" xfId="4" applyNumberFormat="1" applyFont="1" applyFill="1" applyBorder="1" applyAlignment="1">
      <alignment vertical="center"/>
    </xf>
    <xf numFmtId="41" fontId="38" fillId="2" borderId="4" xfId="4" applyNumberFormat="1" applyFont="1" applyFill="1" applyBorder="1" applyAlignment="1">
      <alignment vertical="center"/>
    </xf>
    <xf numFmtId="41" fontId="38" fillId="2" borderId="6" xfId="4" applyNumberFormat="1" applyFont="1" applyFill="1" applyBorder="1" applyAlignment="1">
      <alignment vertical="center"/>
    </xf>
    <xf numFmtId="41" fontId="61" fillId="8" borderId="4" xfId="4" applyNumberFormat="1" applyFont="1" applyFill="1" applyBorder="1" applyAlignment="1">
      <alignment vertical="center"/>
    </xf>
    <xf numFmtId="41" fontId="61" fillId="4" borderId="4" xfId="4" applyNumberFormat="1" applyFont="1" applyFill="1" applyBorder="1" applyAlignment="1">
      <alignment vertical="center"/>
    </xf>
    <xf numFmtId="41" fontId="38" fillId="11" borderId="6" xfId="4" applyNumberFormat="1" applyFont="1" applyFill="1" applyBorder="1" applyAlignment="1">
      <alignment vertical="center"/>
    </xf>
    <xf numFmtId="41" fontId="61" fillId="4" borderId="4" xfId="0" applyNumberFormat="1" applyFont="1" applyFill="1" applyBorder="1" applyAlignment="1">
      <alignment horizontal="left" vertical="center"/>
    </xf>
    <xf numFmtId="41" fontId="61" fillId="8" borderId="4" xfId="0" applyNumberFormat="1" applyFont="1" applyFill="1" applyBorder="1" applyAlignment="1">
      <alignment vertical="center"/>
    </xf>
    <xf numFmtId="41" fontId="61" fillId="11" borderId="4" xfId="0" applyNumberFormat="1" applyFont="1" applyFill="1" applyBorder="1" applyAlignment="1">
      <alignment vertical="center"/>
    </xf>
    <xf numFmtId="41" fontId="76" fillId="2" borderId="0" xfId="0" applyNumberFormat="1" applyFont="1" applyFill="1"/>
    <xf numFmtId="164" fontId="68" fillId="2" borderId="0" xfId="0" applyNumberFormat="1" applyFont="1" applyFill="1"/>
    <xf numFmtId="166" fontId="61" fillId="2" borderId="0" xfId="1" applyNumberFormat="1" applyFont="1" applyFill="1" applyAlignment="1">
      <alignment horizontal="center"/>
    </xf>
    <xf numFmtId="41" fontId="61" fillId="2" borderId="4" xfId="0" applyNumberFormat="1" applyFont="1" applyFill="1" applyBorder="1" applyAlignment="1"/>
    <xf numFmtId="41" fontId="38" fillId="2" borderId="4" xfId="0" applyNumberFormat="1" applyFont="1" applyFill="1" applyBorder="1" applyAlignment="1"/>
    <xf numFmtId="41" fontId="61" fillId="2" borderId="25" xfId="0" applyNumberFormat="1" applyFont="1" applyFill="1" applyBorder="1" applyAlignment="1">
      <alignment horizontal="center"/>
    </xf>
    <xf numFmtId="166" fontId="61" fillId="2" borderId="1" xfId="1" applyNumberFormat="1" applyFont="1" applyFill="1" applyBorder="1" applyAlignment="1">
      <alignment horizontal="center"/>
    </xf>
    <xf numFmtId="166" fontId="61" fillId="2" borderId="2" xfId="1" applyNumberFormat="1" applyFont="1" applyFill="1" applyBorder="1" applyAlignment="1">
      <alignment horizontal="center"/>
    </xf>
    <xf numFmtId="166" fontId="38" fillId="2" borderId="13" xfId="1" applyNumberFormat="1" applyFont="1" applyFill="1" applyBorder="1" applyAlignment="1"/>
    <xf numFmtId="164" fontId="61" fillId="2" borderId="8" xfId="0" applyNumberFormat="1" applyFont="1" applyFill="1" applyBorder="1" applyAlignment="1"/>
    <xf numFmtId="41" fontId="38" fillId="2" borderId="26" xfId="0" applyNumberFormat="1" applyFont="1" applyFill="1" applyBorder="1" applyAlignment="1">
      <alignment horizontal="center"/>
    </xf>
    <xf numFmtId="164" fontId="38" fillId="2" borderId="8" xfId="0" applyNumberFormat="1" applyFont="1" applyFill="1" applyBorder="1" applyAlignment="1"/>
    <xf numFmtId="41" fontId="38" fillId="2" borderId="27" xfId="0" applyNumberFormat="1" applyFont="1" applyFill="1" applyBorder="1" applyAlignment="1">
      <alignment horizontal="center"/>
    </xf>
    <xf numFmtId="41" fontId="38" fillId="2" borderId="14" xfId="0" applyNumberFormat="1" applyFont="1" applyFill="1" applyBorder="1" applyAlignment="1"/>
    <xf numFmtId="41" fontId="61" fillId="2" borderId="26" xfId="0" applyNumberFormat="1" applyFont="1" applyFill="1" applyBorder="1" applyAlignment="1">
      <alignment horizontal="center"/>
    </xf>
    <xf numFmtId="41" fontId="38" fillId="2" borderId="0" xfId="1" applyNumberFormat="1" applyFont="1" applyFill="1"/>
    <xf numFmtId="164" fontId="38" fillId="2" borderId="4" xfId="0" applyNumberFormat="1" applyFont="1" applyFill="1" applyBorder="1" applyAlignment="1"/>
    <xf numFmtId="41" fontId="38" fillId="2" borderId="4" xfId="1" applyNumberFormat="1" applyFont="1" applyFill="1" applyBorder="1" applyAlignment="1"/>
    <xf numFmtId="164" fontId="61" fillId="2" borderId="4" xfId="0" applyNumberFormat="1" applyFont="1" applyFill="1" applyBorder="1" applyAlignment="1"/>
    <xf numFmtId="41" fontId="61" fillId="2" borderId="1" xfId="0" applyNumberFormat="1" applyFont="1" applyFill="1" applyBorder="1" applyAlignment="1">
      <alignment horizontal="center"/>
    </xf>
    <xf numFmtId="41" fontId="38" fillId="2" borderId="13" xfId="0" applyNumberFormat="1" applyFont="1" applyFill="1" applyBorder="1" applyAlignment="1"/>
    <xf numFmtId="41" fontId="38" fillId="2" borderId="13" xfId="1" applyNumberFormat="1" applyFont="1" applyFill="1" applyBorder="1" applyAlignment="1"/>
    <xf numFmtId="0" fontId="43" fillId="0" borderId="0" xfId="3" applyFont="1" applyAlignment="1">
      <alignment horizontal="center"/>
    </xf>
    <xf numFmtId="0" fontId="47" fillId="0" borderId="0" xfId="3" applyFont="1" applyAlignment="1">
      <alignment horizontal="center" vertical="top"/>
    </xf>
    <xf numFmtId="0" fontId="44" fillId="0" borderId="0" xfId="3" applyFont="1" applyBorder="1" applyAlignment="1">
      <alignment horizontal="center" vertical="top" wrapText="1"/>
    </xf>
    <xf numFmtId="0" fontId="46" fillId="0" borderId="0" xfId="0" applyFont="1" applyAlignment="1">
      <alignment horizontal="center"/>
    </xf>
    <xf numFmtId="0" fontId="42" fillId="0" borderId="0" xfId="0" applyFont="1" applyAlignment="1">
      <alignment horizontal="center" vertical="top"/>
    </xf>
    <xf numFmtId="166" fontId="42" fillId="0" borderId="0" xfId="1" applyNumberFormat="1" applyFont="1"/>
    <xf numFmtId="166" fontId="42" fillId="0" borderId="0" xfId="1" applyNumberFormat="1" applyFont="1" applyAlignment="1">
      <alignment horizontal="center"/>
    </xf>
    <xf numFmtId="166" fontId="42" fillId="0" borderId="0" xfId="1" applyNumberFormat="1" applyFont="1" applyAlignment="1">
      <alignment vertical="center"/>
    </xf>
    <xf numFmtId="0" fontId="42" fillId="0" borderId="0" xfId="0" applyFont="1" applyAlignment="1">
      <alignment horizontal="center" vertical="top"/>
    </xf>
    <xf numFmtId="9" fontId="47" fillId="2" borderId="4" xfId="5" applyNumberFormat="1" applyFont="1" applyFill="1" applyBorder="1" applyAlignment="1">
      <alignment horizontal="right" vertical="top" wrapText="1"/>
    </xf>
    <xf numFmtId="9" fontId="47" fillId="0" borderId="4" xfId="2" applyNumberFormat="1" applyFont="1" applyBorder="1" applyAlignment="1">
      <alignment horizontal="right" vertical="top" wrapText="1"/>
    </xf>
    <xf numFmtId="9" fontId="47" fillId="2" borderId="4" xfId="2" applyNumberFormat="1" applyFont="1" applyFill="1" applyBorder="1" applyAlignment="1">
      <alignment horizontal="right" vertical="top" wrapText="1"/>
    </xf>
    <xf numFmtId="0" fontId="45" fillId="0" borderId="4" xfId="0" applyFont="1" applyBorder="1"/>
    <xf numFmtId="0" fontId="42" fillId="0" borderId="4" xfId="0" applyFont="1" applyBorder="1" applyAlignment="1">
      <alignment horizontal="right" vertical="center"/>
    </xf>
    <xf numFmtId="0" fontId="42" fillId="0" borderId="4" xfId="0" applyFont="1" applyBorder="1" applyAlignment="1">
      <alignment horizontal="right"/>
    </xf>
    <xf numFmtId="166" fontId="42" fillId="0" borderId="4" xfId="1" applyNumberFormat="1" applyFont="1" applyBorder="1"/>
    <xf numFmtId="166" fontId="42" fillId="0" borderId="4" xfId="1" applyNumberFormat="1" applyFont="1" applyBorder="1" applyAlignment="1">
      <alignment horizontal="center"/>
    </xf>
    <xf numFmtId="0" fontId="46" fillId="0" borderId="4" xfId="0" applyFont="1" applyBorder="1" applyAlignment="1">
      <alignment horizontal="right" vertical="center"/>
    </xf>
    <xf numFmtId="166" fontId="46" fillId="0" borderId="4" xfId="1" applyNumberFormat="1" applyFont="1" applyBorder="1"/>
    <xf numFmtId="166" fontId="46" fillId="0" borderId="4" xfId="1" applyNumberFormat="1" applyFont="1" applyBorder="1" applyAlignment="1">
      <alignment vertical="center"/>
    </xf>
    <xf numFmtId="10" fontId="47" fillId="2" borderId="4" xfId="5" applyNumberFormat="1" applyFont="1" applyFill="1" applyBorder="1" applyAlignment="1">
      <alignment horizontal="right" vertical="top" wrapText="1"/>
    </xf>
    <xf numFmtId="10" fontId="56" fillId="0" borderId="4" xfId="2" applyNumberFormat="1" applyFont="1" applyFill="1" applyBorder="1" applyAlignment="1">
      <alignment vertical="top" wrapText="1"/>
    </xf>
    <xf numFmtId="0" fontId="78" fillId="2" borderId="4" xfId="0" applyFont="1" applyFill="1" applyBorder="1" applyAlignment="1">
      <alignment vertical="top" wrapText="1"/>
    </xf>
    <xf numFmtId="41" fontId="10" fillId="2" borderId="4" xfId="3" applyNumberFormat="1" applyFont="1" applyFill="1" applyBorder="1" applyAlignment="1">
      <alignment horizontal="center" vertical="center" wrapText="1"/>
    </xf>
    <xf numFmtId="41" fontId="8" fillId="2" borderId="4" xfId="0" applyNumberFormat="1" applyFont="1" applyFill="1" applyBorder="1" applyAlignment="1">
      <alignment horizontal="left"/>
    </xf>
    <xf numFmtId="41" fontId="8" fillId="2" borderId="11" xfId="3" applyNumberFormat="1" applyFont="1" applyFill="1" applyBorder="1" applyAlignment="1">
      <alignment horizontal="center" vertical="center" wrapText="1"/>
    </xf>
    <xf numFmtId="41" fontId="8" fillId="2" borderId="10" xfId="3" applyNumberFormat="1" applyFont="1" applyFill="1" applyBorder="1" applyAlignment="1">
      <alignment horizontal="center" vertical="center" wrapText="1"/>
    </xf>
    <xf numFmtId="41" fontId="8" fillId="2" borderId="4" xfId="3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44" fillId="0" borderId="0" xfId="3" applyFont="1" applyBorder="1" applyAlignment="1">
      <alignment horizontal="center" vertical="top" wrapText="1"/>
    </xf>
    <xf numFmtId="41" fontId="79" fillId="2" borderId="4" xfId="1" applyNumberFormat="1" applyFont="1" applyFill="1" applyBorder="1" applyAlignment="1">
      <alignment vertical="center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center" vertical="top"/>
    </xf>
    <xf numFmtId="0" fontId="51" fillId="0" borderId="0" xfId="3" applyFont="1" applyAlignment="1">
      <alignment horizontal="center" vertical="top"/>
    </xf>
    <xf numFmtId="43" fontId="2" fillId="2" borderId="0" xfId="1" applyFont="1" applyFill="1" applyAlignment="1">
      <alignment horizontal="center"/>
    </xf>
    <xf numFmtId="0" fontId="45" fillId="0" borderId="0" xfId="0" applyFont="1" applyAlignment="1">
      <alignment vertical="top"/>
    </xf>
    <xf numFmtId="0" fontId="80" fillId="0" borderId="0" xfId="0" applyFont="1"/>
    <xf numFmtId="0" fontId="80" fillId="0" borderId="0" xfId="0" applyFont="1" applyAlignment="1">
      <alignment horizontal="center"/>
    </xf>
    <xf numFmtId="43" fontId="2" fillId="2" borderId="0" xfId="1" applyFont="1" applyFill="1"/>
    <xf numFmtId="166" fontId="2" fillId="2" borderId="0" xfId="1" applyNumberFormat="1" applyFont="1" applyFill="1"/>
    <xf numFmtId="43" fontId="2" fillId="2" borderId="0" xfId="1" applyNumberFormat="1" applyFont="1" applyFill="1"/>
    <xf numFmtId="0" fontId="80" fillId="0" borderId="0" xfId="0" applyFont="1" applyAlignment="1">
      <alignment vertical="top"/>
    </xf>
    <xf numFmtId="0" fontId="53" fillId="0" borderId="0" xfId="0" applyFont="1" applyBorder="1"/>
    <xf numFmtId="41" fontId="53" fillId="0" borderId="0" xfId="5" applyFont="1" applyBorder="1"/>
    <xf numFmtId="41" fontId="80" fillId="2" borderId="0" xfId="0" applyNumberFormat="1" applyFont="1" applyFill="1" applyBorder="1" applyAlignment="1">
      <alignment horizontal="center"/>
    </xf>
    <xf numFmtId="0" fontId="80" fillId="0" borderId="0" xfId="0" applyFont="1" applyAlignment="1">
      <alignment horizontal="center" vertical="top"/>
    </xf>
    <xf numFmtId="41" fontId="45" fillId="2" borderId="0" xfId="0" applyNumberFormat="1" applyFont="1" applyFill="1" applyAlignment="1">
      <alignment horizontal="center"/>
    </xf>
    <xf numFmtId="41" fontId="45" fillId="0" borderId="0" xfId="0" applyNumberFormat="1" applyFont="1"/>
    <xf numFmtId="0" fontId="45" fillId="0" borderId="0" xfId="0" applyFont="1" applyAlignment="1">
      <alignment vertical="center"/>
    </xf>
    <xf numFmtId="166" fontId="28" fillId="2" borderId="4" xfId="1" applyNumberFormat="1" applyFont="1" applyFill="1" applyBorder="1" applyAlignment="1">
      <alignment horizontal="right" vertical="center"/>
    </xf>
    <xf numFmtId="166" fontId="47" fillId="2" borderId="4" xfId="1" applyNumberFormat="1" applyFont="1" applyFill="1" applyBorder="1" applyAlignment="1">
      <alignment horizontal="right" vertical="top" wrapText="1"/>
    </xf>
    <xf numFmtId="166" fontId="48" fillId="0" borderId="4" xfId="1" applyNumberFormat="1" applyFont="1" applyBorder="1" applyAlignment="1">
      <alignment horizontal="right" vertical="top"/>
    </xf>
    <xf numFmtId="166" fontId="47" fillId="0" borderId="4" xfId="1" applyNumberFormat="1" applyFont="1" applyBorder="1" applyAlignment="1">
      <alignment horizontal="right" vertical="top" wrapText="1"/>
    </xf>
    <xf numFmtId="0" fontId="44" fillId="0" borderId="0" xfId="3" applyFont="1" applyBorder="1" applyAlignment="1">
      <alignment horizontal="center" vertical="top" wrapText="1"/>
    </xf>
    <xf numFmtId="0" fontId="43" fillId="0" borderId="0" xfId="3" applyFont="1" applyAlignment="1">
      <alignment horizontal="center"/>
    </xf>
    <xf numFmtId="0" fontId="47" fillId="0" borderId="0" xfId="3" applyFont="1" applyAlignment="1">
      <alignment horizontal="center" vertical="top"/>
    </xf>
    <xf numFmtId="0" fontId="46" fillId="0" borderId="0" xfId="0" applyFont="1" applyAlignment="1">
      <alignment horizontal="center"/>
    </xf>
    <xf numFmtId="0" fontId="42" fillId="0" borderId="0" xfId="0" applyFont="1" applyAlignment="1">
      <alignment horizontal="center" vertical="top"/>
    </xf>
    <xf numFmtId="0" fontId="25" fillId="0" borderId="0" xfId="0" applyFont="1" applyBorder="1"/>
    <xf numFmtId="0" fontId="30" fillId="0" borderId="0" xfId="0" applyFont="1" applyBorder="1"/>
    <xf numFmtId="0" fontId="83" fillId="0" borderId="0" xfId="0" applyFont="1" applyBorder="1"/>
    <xf numFmtId="41" fontId="30" fillId="0" borderId="0" xfId="0" applyNumberFormat="1" applyFont="1" applyBorder="1"/>
    <xf numFmtId="41" fontId="79" fillId="0" borderId="0" xfId="5" applyFont="1" applyBorder="1" applyAlignment="1">
      <alignment horizontal="right" vertical="center"/>
    </xf>
    <xf numFmtId="166" fontId="30" fillId="0" borderId="0" xfId="1" applyNumberFormat="1" applyFont="1" applyBorder="1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top"/>
    </xf>
    <xf numFmtId="0" fontId="84" fillId="0" borderId="4" xfId="0" applyFont="1" applyBorder="1" applyAlignment="1">
      <alignment horizontal="center" vertical="top"/>
    </xf>
    <xf numFmtId="0" fontId="0" fillId="0" borderId="4" xfId="0" quotePrefix="1" applyBorder="1" applyAlignment="1">
      <alignment horizontal="center" vertical="top" wrapText="1"/>
    </xf>
    <xf numFmtId="41" fontId="38" fillId="2" borderId="0" xfId="4" applyNumberFormat="1" applyFont="1" applyFill="1" applyBorder="1" applyAlignment="1">
      <alignment vertical="center"/>
    </xf>
    <xf numFmtId="164" fontId="38" fillId="2" borderId="0" xfId="4" applyNumberFormat="1" applyFont="1" applyFill="1" applyBorder="1" applyAlignment="1">
      <alignment vertical="center"/>
    </xf>
    <xf numFmtId="166" fontId="61" fillId="2" borderId="0" xfId="1" applyNumberFormat="1" applyFont="1" applyFill="1" applyBorder="1" applyAlignment="1">
      <alignment vertical="center"/>
    </xf>
    <xf numFmtId="0" fontId="0" fillId="0" borderId="4" xfId="0" applyBorder="1" applyAlignment="1">
      <alignment horizontal="center" vertical="top"/>
    </xf>
    <xf numFmtId="0" fontId="50" fillId="0" borderId="0" xfId="0" applyNumberFormat="1" applyFont="1" applyBorder="1" applyAlignment="1">
      <alignment horizontal="center"/>
    </xf>
    <xf numFmtId="0" fontId="85" fillId="0" borderId="0" xfId="0" applyFont="1" applyBorder="1"/>
    <xf numFmtId="0" fontId="60" fillId="0" borderId="0" xfId="0" applyFont="1" applyBorder="1"/>
    <xf numFmtId="41" fontId="50" fillId="0" borderId="0" xfId="0" applyNumberFormat="1" applyFont="1" applyBorder="1"/>
    <xf numFmtId="0" fontId="86" fillId="13" borderId="44" xfId="0" applyFont="1" applyFill="1" applyBorder="1" applyAlignment="1">
      <alignment horizontal="center" vertical="top" wrapText="1" readingOrder="1"/>
    </xf>
    <xf numFmtId="0" fontId="87" fillId="13" borderId="44" xfId="0" applyFont="1" applyFill="1" applyBorder="1" applyAlignment="1">
      <alignment horizontal="left" vertical="top" wrapText="1" readingOrder="1"/>
    </xf>
    <xf numFmtId="0" fontId="87" fillId="13" borderId="45" xfId="0" applyFont="1" applyFill="1" applyBorder="1" applyAlignment="1">
      <alignment horizontal="left" vertical="top" wrapText="1" readingOrder="1"/>
    </xf>
    <xf numFmtId="0" fontId="87" fillId="13" borderId="46" xfId="0" applyFont="1" applyFill="1" applyBorder="1" applyAlignment="1">
      <alignment horizontal="left" vertical="top" wrapText="1" readingOrder="1"/>
    </xf>
    <xf numFmtId="0" fontId="87" fillId="13" borderId="47" xfId="0" applyFont="1" applyFill="1" applyBorder="1" applyAlignment="1">
      <alignment horizontal="left" vertical="top" wrapText="1" readingOrder="1"/>
    </xf>
    <xf numFmtId="0" fontId="0" fillId="13" borderId="47" xfId="0" applyFill="1" applyBorder="1" applyAlignment="1">
      <alignment vertical="top" wrapText="1"/>
    </xf>
    <xf numFmtId="0" fontId="0" fillId="13" borderId="46" xfId="0" applyFill="1" applyBorder="1" applyAlignment="1">
      <alignment vertical="top" wrapText="1"/>
    </xf>
    <xf numFmtId="15" fontId="0" fillId="0" borderId="4" xfId="0" applyNumberFormat="1" applyBorder="1" applyAlignment="1">
      <alignment horizontal="left" vertical="top"/>
    </xf>
    <xf numFmtId="0" fontId="84" fillId="0" borderId="4" xfId="0" applyFont="1" applyBorder="1" applyAlignment="1">
      <alignment horizontal="left" vertical="top"/>
    </xf>
    <xf numFmtId="166" fontId="22" fillId="2" borderId="4" xfId="1" applyNumberFormat="1" applyFont="1" applyFill="1" applyBorder="1" applyAlignment="1">
      <alignment horizontal="left" vertical="center"/>
    </xf>
    <xf numFmtId="166" fontId="29" fillId="4" borderId="4" xfId="0" applyNumberFormat="1" applyFont="1" applyFill="1" applyBorder="1"/>
    <xf numFmtId="49" fontId="88" fillId="2" borderId="4" xfId="9" applyNumberFormat="1" applyFont="1" applyFill="1" applyBorder="1" applyAlignment="1">
      <alignment vertical="top" wrapText="1"/>
    </xf>
    <xf numFmtId="0" fontId="89" fillId="2" borderId="4" xfId="9" applyFont="1" applyFill="1" applyBorder="1" applyAlignment="1">
      <alignment vertical="top" wrapText="1"/>
    </xf>
    <xf numFmtId="41" fontId="88" fillId="2" borderId="4" xfId="5" applyFont="1" applyFill="1" applyBorder="1" applyAlignment="1">
      <alignment vertical="top" wrapText="1"/>
    </xf>
    <xf numFmtId="41" fontId="88" fillId="2" borderId="4" xfId="5" applyNumberFormat="1" applyFont="1" applyFill="1" applyBorder="1" applyAlignment="1">
      <alignment vertical="top"/>
    </xf>
    <xf numFmtId="41" fontId="90" fillId="8" borderId="4" xfId="5" applyNumberFormat="1" applyFont="1" applyFill="1" applyBorder="1" applyAlignment="1">
      <alignment vertical="top"/>
    </xf>
    <xf numFmtId="41" fontId="90" fillId="2" borderId="4" xfId="5" applyNumberFormat="1" applyFont="1" applyFill="1" applyBorder="1" applyAlignment="1">
      <alignment vertical="top" wrapText="1"/>
    </xf>
    <xf numFmtId="41" fontId="88" fillId="2" borderId="0" xfId="0" applyNumberFormat="1" applyFont="1" applyFill="1" applyBorder="1" applyAlignment="1">
      <alignment vertical="top"/>
    </xf>
    <xf numFmtId="0" fontId="88" fillId="2" borderId="0" xfId="0" applyFont="1" applyFill="1" applyBorder="1" applyAlignment="1">
      <alignment vertical="top"/>
    </xf>
    <xf numFmtId="0" fontId="88" fillId="2" borderId="0" xfId="0" applyFont="1" applyFill="1" applyAlignment="1">
      <alignment vertical="top"/>
    </xf>
    <xf numFmtId="0" fontId="88" fillId="2" borderId="0" xfId="8" applyFont="1" applyFill="1" applyBorder="1" applyAlignment="1">
      <alignment vertical="top"/>
    </xf>
    <xf numFmtId="0" fontId="88" fillId="2" borderId="4" xfId="0" applyFont="1" applyFill="1" applyBorder="1" applyAlignment="1">
      <alignment vertical="top" wrapText="1"/>
    </xf>
    <xf numFmtId="0" fontId="88" fillId="2" borderId="4" xfId="0" applyFont="1" applyFill="1" applyBorder="1" applyAlignment="1">
      <alignment vertical="top"/>
    </xf>
    <xf numFmtId="41" fontId="88" fillId="2" borderId="4" xfId="5" applyFont="1" applyFill="1" applyBorder="1" applyAlignment="1">
      <alignment vertical="top"/>
    </xf>
    <xf numFmtId="41" fontId="88" fillId="2" borderId="0" xfId="8" applyNumberFormat="1" applyFont="1" applyFill="1" applyBorder="1" applyAlignment="1">
      <alignment vertical="top"/>
    </xf>
    <xf numFmtId="49" fontId="88" fillId="2" borderId="4" xfId="0" applyNumberFormat="1" applyFont="1" applyFill="1" applyBorder="1" applyAlignment="1">
      <alignment vertical="top"/>
    </xf>
    <xf numFmtId="41" fontId="88" fillId="2" borderId="4" xfId="0" applyNumberFormat="1" applyFont="1" applyFill="1" applyBorder="1" applyAlignment="1">
      <alignment vertical="top"/>
    </xf>
    <xf numFmtId="0" fontId="88" fillId="2" borderId="0" xfId="9" applyFont="1" applyFill="1" applyBorder="1" applyAlignment="1">
      <alignment vertical="top"/>
    </xf>
    <xf numFmtId="41" fontId="88" fillId="4" borderId="4" xfId="5" applyFont="1" applyFill="1" applyBorder="1" applyAlignment="1">
      <alignment vertical="top"/>
    </xf>
    <xf numFmtId="0" fontId="88" fillId="0" borderId="0" xfId="8" applyFont="1" applyFill="1" applyBorder="1" applyAlignment="1">
      <alignment vertical="top"/>
    </xf>
    <xf numFmtId="0" fontId="88" fillId="14" borderId="4" xfId="0" applyNumberFormat="1" applyFont="1" applyFill="1" applyBorder="1" applyAlignment="1">
      <alignment vertical="top"/>
    </xf>
    <xf numFmtId="41" fontId="88" fillId="14" borderId="4" xfId="0" applyNumberFormat="1" applyFont="1" applyFill="1" applyBorder="1" applyAlignment="1">
      <alignment vertical="top"/>
    </xf>
    <xf numFmtId="0" fontId="88" fillId="15" borderId="4" xfId="0" applyNumberFormat="1" applyFont="1" applyFill="1" applyBorder="1" applyAlignment="1">
      <alignment vertical="top"/>
    </xf>
    <xf numFmtId="0" fontId="88" fillId="0" borderId="0" xfId="0" applyFont="1" applyFill="1" applyAlignment="1">
      <alignment vertical="top"/>
    </xf>
    <xf numFmtId="0" fontId="88" fillId="0" borderId="0" xfId="9" applyFont="1" applyFill="1" applyBorder="1" applyAlignment="1">
      <alignment vertical="top"/>
    </xf>
    <xf numFmtId="0" fontId="88" fillId="4" borderId="4" xfId="0" applyFont="1" applyFill="1" applyBorder="1" applyAlignment="1">
      <alignment vertical="top" wrapText="1"/>
    </xf>
    <xf numFmtId="49" fontId="88" fillId="4" borderId="4" xfId="0" applyNumberFormat="1" applyFont="1" applyFill="1" applyBorder="1" applyAlignment="1">
      <alignment vertical="top"/>
    </xf>
    <xf numFmtId="41" fontId="88" fillId="4" borderId="4" xfId="0" applyNumberFormat="1" applyFont="1" applyFill="1" applyBorder="1" applyAlignment="1">
      <alignment vertical="top"/>
    </xf>
    <xf numFmtId="41" fontId="90" fillId="4" borderId="4" xfId="5" applyNumberFormat="1" applyFont="1" applyFill="1" applyBorder="1" applyAlignment="1">
      <alignment vertical="top" wrapText="1"/>
    </xf>
    <xf numFmtId="0" fontId="88" fillId="4" borderId="0" xfId="0" applyFont="1" applyFill="1" applyAlignment="1">
      <alignment vertical="top"/>
    </xf>
    <xf numFmtId="0" fontId="88" fillId="4" borderId="0" xfId="0" applyFont="1" applyFill="1" applyBorder="1" applyAlignment="1">
      <alignment vertical="top"/>
    </xf>
    <xf numFmtId="0" fontId="88" fillId="4" borderId="0" xfId="9" applyFont="1" applyFill="1" applyBorder="1" applyAlignment="1">
      <alignment vertical="top"/>
    </xf>
    <xf numFmtId="166" fontId="88" fillId="2" borderId="0" xfId="1" applyNumberFormat="1" applyFont="1" applyFill="1" applyBorder="1" applyAlignment="1">
      <alignment vertical="top"/>
    </xf>
    <xf numFmtId="41" fontId="88" fillId="2" borderId="0" xfId="5" applyFont="1" applyFill="1" applyBorder="1" applyAlignment="1">
      <alignment vertical="top"/>
    </xf>
    <xf numFmtId="0" fontId="88" fillId="4" borderId="4" xfId="0" applyFont="1" applyFill="1" applyBorder="1" applyAlignment="1">
      <alignment vertical="top"/>
    </xf>
    <xf numFmtId="41" fontId="88" fillId="4" borderId="4" xfId="5" applyNumberFormat="1" applyFont="1" applyFill="1" applyBorder="1" applyAlignment="1">
      <alignment vertical="top"/>
    </xf>
    <xf numFmtId="49" fontId="89" fillId="2" borderId="4" xfId="9" applyNumberFormat="1" applyFont="1" applyFill="1" applyBorder="1" applyAlignment="1">
      <alignment horizontal="center" vertical="top" wrapText="1"/>
    </xf>
    <xf numFmtId="49" fontId="90" fillId="2" borderId="4" xfId="9" quotePrefix="1" applyNumberFormat="1" applyFont="1" applyFill="1" applyBorder="1" applyAlignment="1">
      <alignment horizontal="center" vertical="top" wrapText="1"/>
    </xf>
    <xf numFmtId="41" fontId="88" fillId="2" borderId="4" xfId="5" applyFont="1" applyFill="1" applyBorder="1" applyAlignment="1">
      <alignment horizontal="center" vertical="top"/>
    </xf>
    <xf numFmtId="41" fontId="88" fillId="4" borderId="4" xfId="5" applyFont="1" applyFill="1" applyBorder="1" applyAlignment="1">
      <alignment horizontal="center" vertical="top"/>
    </xf>
    <xf numFmtId="41" fontId="0" fillId="0" borderId="0" xfId="0" applyNumberFormat="1"/>
    <xf numFmtId="41" fontId="84" fillId="0" borderId="0" xfId="0" applyNumberFormat="1" applyFont="1"/>
    <xf numFmtId="0" fontId="88" fillId="2" borderId="4" xfId="0" quotePrefix="1" applyFont="1" applyFill="1" applyBorder="1" applyAlignment="1">
      <alignment vertical="top" wrapText="1"/>
    </xf>
    <xf numFmtId="0" fontId="90" fillId="2" borderId="4" xfId="0" applyFont="1" applyFill="1" applyBorder="1" applyAlignment="1">
      <alignment vertical="top" wrapText="1"/>
    </xf>
    <xf numFmtId="49" fontId="88" fillId="2" borderId="4" xfId="0" applyNumberFormat="1" applyFont="1" applyFill="1" applyBorder="1" applyAlignment="1">
      <alignment vertical="top" wrapText="1"/>
    </xf>
    <xf numFmtId="41" fontId="88" fillId="2" borderId="4" xfId="5" applyNumberFormat="1" applyFont="1" applyFill="1" applyBorder="1" applyAlignment="1">
      <alignment vertical="top" wrapText="1"/>
    </xf>
    <xf numFmtId="41" fontId="90" fillId="2" borderId="4" xfId="5" applyNumberFormat="1" applyFont="1" applyFill="1" applyBorder="1" applyAlignment="1">
      <alignment vertical="top"/>
    </xf>
    <xf numFmtId="0" fontId="88" fillId="4" borderId="4" xfId="0" quotePrefix="1" applyFont="1" applyFill="1" applyBorder="1" applyAlignment="1">
      <alignment vertical="top" wrapText="1"/>
    </xf>
    <xf numFmtId="0" fontId="90" fillId="4" borderId="4" xfId="0" applyFont="1" applyFill="1" applyBorder="1" applyAlignment="1">
      <alignment vertical="top" wrapText="1"/>
    </xf>
    <xf numFmtId="41" fontId="88" fillId="4" borderId="4" xfId="5" applyFont="1" applyFill="1" applyBorder="1" applyAlignment="1">
      <alignment vertical="top" wrapText="1"/>
    </xf>
    <xf numFmtId="167" fontId="88" fillId="2" borderId="0" xfId="9" applyNumberFormat="1" applyFont="1" applyFill="1" applyBorder="1" applyAlignment="1">
      <alignment vertical="top"/>
    </xf>
    <xf numFmtId="49" fontId="90" fillId="2" borderId="4" xfId="0" applyNumberFormat="1" applyFont="1" applyFill="1" applyBorder="1" applyAlignment="1">
      <alignment vertical="top" wrapText="1"/>
    </xf>
    <xf numFmtId="41" fontId="88" fillId="4" borderId="4" xfId="5" applyNumberFormat="1" applyFont="1" applyFill="1" applyBorder="1" applyAlignment="1">
      <alignment vertical="top" wrapText="1"/>
    </xf>
    <xf numFmtId="41" fontId="90" fillId="4" borderId="4" xfId="5" applyNumberFormat="1" applyFont="1" applyFill="1" applyBorder="1" applyAlignment="1">
      <alignment vertical="top"/>
    </xf>
    <xf numFmtId="49" fontId="88" fillId="2" borderId="4" xfId="9" quotePrefix="1" applyNumberFormat="1" applyFont="1" applyFill="1" applyBorder="1" applyAlignment="1">
      <alignment vertical="top" wrapText="1"/>
    </xf>
    <xf numFmtId="0" fontId="88" fillId="2" borderId="4" xfId="9" applyFont="1" applyFill="1" applyBorder="1" applyAlignment="1">
      <alignment vertical="top" wrapText="1"/>
    </xf>
    <xf numFmtId="0" fontId="90" fillId="2" borderId="4" xfId="9" applyFont="1" applyFill="1" applyBorder="1" applyAlignment="1">
      <alignment vertical="top" wrapText="1"/>
    </xf>
    <xf numFmtId="0" fontId="88" fillId="0" borderId="4" xfId="0" applyFont="1" applyBorder="1"/>
    <xf numFmtId="0" fontId="88" fillId="0" borderId="4" xfId="0" quotePrefix="1" applyFont="1" applyBorder="1"/>
    <xf numFmtId="0" fontId="90" fillId="2" borderId="4" xfId="0" applyFont="1" applyFill="1" applyBorder="1" applyAlignment="1">
      <alignment wrapText="1"/>
    </xf>
    <xf numFmtId="41" fontId="88" fillId="0" borderId="4" xfId="5" applyFont="1" applyBorder="1"/>
    <xf numFmtId="0" fontId="88" fillId="0" borderId="0" xfId="0" applyFont="1"/>
    <xf numFmtId="0" fontId="88" fillId="2" borderId="4" xfId="0" applyFont="1" applyFill="1" applyBorder="1" applyAlignment="1">
      <alignment wrapText="1"/>
    </xf>
    <xf numFmtId="41" fontId="88" fillId="0" borderId="0" xfId="5" applyFont="1" applyBorder="1"/>
    <xf numFmtId="49" fontId="88" fillId="4" borderId="4" xfId="9" quotePrefix="1" applyNumberFormat="1" applyFont="1" applyFill="1" applyBorder="1" applyAlignment="1">
      <alignment vertical="top" wrapText="1"/>
    </xf>
    <xf numFmtId="49" fontId="90" fillId="4" borderId="4" xfId="9" applyNumberFormat="1" applyFont="1" applyFill="1" applyBorder="1" applyAlignment="1">
      <alignment vertical="top" wrapText="1"/>
    </xf>
    <xf numFmtId="41" fontId="88" fillId="4" borderId="0" xfId="8" applyNumberFormat="1" applyFont="1" applyFill="1" applyAlignment="1">
      <alignment vertical="top"/>
    </xf>
    <xf numFmtId="0" fontId="88" fillId="4" borderId="0" xfId="8" applyFont="1" applyFill="1" applyBorder="1" applyAlignment="1">
      <alignment vertical="top"/>
    </xf>
    <xf numFmtId="166" fontId="88" fillId="4" borderId="0" xfId="1" applyNumberFormat="1" applyFont="1" applyFill="1" applyBorder="1" applyAlignment="1">
      <alignment vertical="top"/>
    </xf>
    <xf numFmtId="41" fontId="88" fillId="4" borderId="0" xfId="5" applyFont="1" applyFill="1" applyBorder="1" applyAlignment="1">
      <alignment vertical="top"/>
    </xf>
    <xf numFmtId="0" fontId="88" fillId="4" borderId="0" xfId="8" applyFont="1" applyFill="1" applyAlignment="1">
      <alignment vertical="top"/>
    </xf>
    <xf numFmtId="49" fontId="91" fillId="4" borderId="4" xfId="9" applyNumberFormat="1" applyFont="1" applyFill="1" applyBorder="1" applyAlignment="1">
      <alignment vertical="top" wrapText="1"/>
    </xf>
    <xf numFmtId="49" fontId="88" fillId="4" borderId="4" xfId="9" applyNumberFormat="1" applyFont="1" applyFill="1" applyBorder="1" applyAlignment="1">
      <alignment vertical="top" wrapText="1"/>
    </xf>
    <xf numFmtId="49" fontId="89" fillId="4" borderId="4" xfId="9" applyNumberFormat="1" applyFont="1" applyFill="1" applyBorder="1" applyAlignment="1">
      <alignment horizontal="center" vertical="top" wrapText="1"/>
    </xf>
    <xf numFmtId="49" fontId="90" fillId="4" borderId="4" xfId="9" quotePrefix="1" applyNumberFormat="1" applyFont="1" applyFill="1" applyBorder="1" applyAlignment="1">
      <alignment horizontal="center" vertical="top" wrapText="1"/>
    </xf>
    <xf numFmtId="49" fontId="91" fillId="2" borderId="4" xfId="9" applyNumberFormat="1" applyFont="1" applyFill="1" applyBorder="1" applyAlignment="1">
      <alignment vertical="top" wrapText="1"/>
    </xf>
    <xf numFmtId="41" fontId="90" fillId="2" borderId="4" xfId="5" applyFont="1" applyFill="1" applyBorder="1" applyAlignment="1">
      <alignment vertical="top"/>
    </xf>
    <xf numFmtId="168" fontId="88" fillId="2" borderId="0" xfId="8" applyNumberFormat="1" applyFont="1" applyFill="1" applyBorder="1" applyAlignment="1">
      <alignment vertical="top"/>
    </xf>
    <xf numFmtId="49" fontId="92" fillId="2" borderId="4" xfId="9" applyNumberFormat="1" applyFont="1" applyFill="1" applyBorder="1" applyAlignment="1">
      <alignment vertical="top" wrapText="1"/>
    </xf>
    <xf numFmtId="49" fontId="93" fillId="2" borderId="4" xfId="9" applyNumberFormat="1" applyFont="1" applyFill="1" applyBorder="1" applyAlignment="1">
      <alignment horizontal="center" vertical="top" wrapText="1"/>
    </xf>
    <xf numFmtId="49" fontId="94" fillId="2" borderId="4" xfId="9" quotePrefix="1" applyNumberFormat="1" applyFont="1" applyFill="1" applyBorder="1" applyAlignment="1">
      <alignment horizontal="center" vertical="top" wrapText="1"/>
    </xf>
    <xf numFmtId="0" fontId="95" fillId="2" borderId="4" xfId="0" applyFont="1" applyFill="1" applyBorder="1" applyAlignment="1">
      <alignment vertical="top" wrapText="1"/>
    </xf>
    <xf numFmtId="41" fontId="95" fillId="2" borderId="4" xfId="5" applyFont="1" applyFill="1" applyBorder="1" applyAlignment="1">
      <alignment vertical="top"/>
    </xf>
    <xf numFmtId="41" fontId="95" fillId="2" borderId="4" xfId="5" applyFont="1" applyFill="1" applyBorder="1" applyAlignment="1">
      <alignment horizontal="center" vertical="top"/>
    </xf>
    <xf numFmtId="41" fontId="95" fillId="2" borderId="4" xfId="5" applyNumberFormat="1" applyFont="1" applyFill="1" applyBorder="1" applyAlignment="1">
      <alignment vertical="top"/>
    </xf>
    <xf numFmtId="41" fontId="95" fillId="4" borderId="4" xfId="5" applyFont="1" applyFill="1" applyBorder="1" applyAlignment="1">
      <alignment vertical="top"/>
    </xf>
    <xf numFmtId="41" fontId="95" fillId="4" borderId="4" xfId="5" applyFont="1" applyFill="1" applyBorder="1" applyAlignment="1">
      <alignment horizontal="center" vertical="top"/>
    </xf>
    <xf numFmtId="41" fontId="95" fillId="4" borderId="4" xfId="5" applyNumberFormat="1" applyFont="1" applyFill="1" applyBorder="1" applyAlignment="1">
      <alignment vertical="top"/>
    </xf>
    <xf numFmtId="41" fontId="94" fillId="4" borderId="4" xfId="5" applyNumberFormat="1" applyFont="1" applyFill="1" applyBorder="1" applyAlignment="1">
      <alignment vertical="top" wrapText="1"/>
    </xf>
    <xf numFmtId="41" fontId="94" fillId="2" borderId="4" xfId="5" applyNumberFormat="1" applyFont="1" applyFill="1" applyBorder="1" applyAlignment="1">
      <alignment vertical="top" wrapText="1"/>
    </xf>
    <xf numFmtId="0" fontId="95" fillId="2" borderId="0" xfId="8" applyFont="1" applyFill="1" applyBorder="1" applyAlignment="1">
      <alignment vertical="top"/>
    </xf>
    <xf numFmtId="166" fontId="95" fillId="2" borderId="0" xfId="1" applyNumberFormat="1" applyFont="1" applyFill="1" applyBorder="1" applyAlignment="1">
      <alignment vertical="top"/>
    </xf>
    <xf numFmtId="41" fontId="95" fillId="2" borderId="0" xfId="5" applyFont="1" applyFill="1" applyBorder="1" applyAlignment="1">
      <alignment vertical="top"/>
    </xf>
    <xf numFmtId="0" fontId="88" fillId="0" borderId="4" xfId="0" applyFont="1" applyFill="1" applyBorder="1" applyAlignment="1">
      <alignment vertical="top" wrapText="1"/>
    </xf>
    <xf numFmtId="0" fontId="88" fillId="0" borderId="4" xfId="0" quotePrefix="1" applyFont="1" applyFill="1" applyBorder="1" applyAlignment="1">
      <alignment vertical="top" wrapText="1"/>
    </xf>
    <xf numFmtId="49" fontId="88" fillId="0" borderId="4" xfId="9" applyNumberFormat="1" applyFont="1" applyFill="1" applyBorder="1" applyAlignment="1">
      <alignment vertical="top" wrapText="1"/>
    </xf>
    <xf numFmtId="41" fontId="88" fillId="0" borderId="4" xfId="5" applyFont="1" applyFill="1" applyBorder="1" applyAlignment="1">
      <alignment vertical="top" wrapText="1"/>
    </xf>
    <xf numFmtId="41" fontId="88" fillId="0" borderId="4" xfId="5" applyNumberFormat="1" applyFont="1" applyFill="1" applyBorder="1" applyAlignment="1">
      <alignment vertical="top"/>
    </xf>
    <xf numFmtId="41" fontId="90" fillId="0" borderId="4" xfId="5" applyNumberFormat="1" applyFont="1" applyFill="1" applyBorder="1" applyAlignment="1">
      <alignment vertical="top" wrapText="1"/>
    </xf>
    <xf numFmtId="41" fontId="88" fillId="0" borderId="0" xfId="0" applyNumberFormat="1" applyFont="1" applyFill="1" applyBorder="1" applyAlignment="1">
      <alignment vertical="top"/>
    </xf>
    <xf numFmtId="166" fontId="88" fillId="0" borderId="0" xfId="1" applyNumberFormat="1" applyFont="1" applyFill="1" applyBorder="1" applyAlignment="1">
      <alignment vertical="top"/>
    </xf>
    <xf numFmtId="41" fontId="88" fillId="0" borderId="0" xfId="5" applyFont="1" applyFill="1" applyBorder="1" applyAlignment="1">
      <alignment vertical="top"/>
    </xf>
    <xf numFmtId="166" fontId="22" fillId="4" borderId="4" xfId="1" applyNumberFormat="1" applyFont="1" applyFill="1" applyBorder="1" applyAlignment="1">
      <alignment vertical="center"/>
    </xf>
    <xf numFmtId="166" fontId="22" fillId="4" borderId="4" xfId="1" applyNumberFormat="1" applyFont="1" applyFill="1" applyBorder="1" applyAlignment="1">
      <alignment horizontal="left" vertical="center" wrapText="1"/>
    </xf>
    <xf numFmtId="166" fontId="23" fillId="4" borderId="4" xfId="1" applyNumberFormat="1" applyFont="1" applyFill="1" applyBorder="1" applyAlignment="1">
      <alignment horizontal="right" vertical="center"/>
    </xf>
    <xf numFmtId="166" fontId="23" fillId="4" borderId="4" xfId="1" applyNumberFormat="1" applyFont="1" applyFill="1" applyBorder="1" applyAlignment="1">
      <alignment vertical="center"/>
    </xf>
    <xf numFmtId="166" fontId="23" fillId="4" borderId="4" xfId="1" applyNumberFormat="1" applyFont="1" applyFill="1" applyBorder="1" applyAlignment="1">
      <alignment horizontal="right" vertical="center" wrapText="1"/>
    </xf>
    <xf numFmtId="166" fontId="22" fillId="4" borderId="0" xfId="1" applyNumberFormat="1" applyFont="1" applyFill="1" applyAlignment="1">
      <alignment vertical="top"/>
    </xf>
    <xf numFmtId="49" fontId="22" fillId="2" borderId="4" xfId="9" applyNumberFormat="1" applyFont="1" applyFill="1" applyBorder="1" applyAlignment="1">
      <alignment vertical="top" wrapText="1"/>
    </xf>
    <xf numFmtId="166" fontId="28" fillId="0" borderId="0" xfId="1" applyNumberFormat="1" applyFont="1" applyBorder="1"/>
    <xf numFmtId="166" fontId="29" fillId="0" borderId="0" xfId="1" applyNumberFormat="1" applyFont="1"/>
    <xf numFmtId="0" fontId="68" fillId="0" borderId="0" xfId="0" applyFont="1" applyAlignment="1">
      <alignment horizontal="left" vertical="center"/>
    </xf>
    <xf numFmtId="166" fontId="96" fillId="2" borderId="4" xfId="1" applyNumberFormat="1" applyFont="1" applyFill="1" applyBorder="1" applyAlignment="1">
      <alignment horizontal="right" vertical="center"/>
    </xf>
    <xf numFmtId="0" fontId="84" fillId="0" borderId="0" xfId="0" applyFont="1"/>
    <xf numFmtId="0" fontId="97" fillId="0" borderId="4" xfId="0" applyFont="1" applyBorder="1" applyAlignment="1">
      <alignment horizontal="center" vertical="center"/>
    </xf>
    <xf numFmtId="0" fontId="97" fillId="0" borderId="4" xfId="0" applyFont="1" applyBorder="1" applyAlignment="1">
      <alignment horizontal="center" vertical="center" wrapText="1"/>
    </xf>
    <xf numFmtId="0" fontId="97" fillId="0" borderId="4" xfId="0" applyFont="1" applyBorder="1" applyAlignment="1">
      <alignment horizontal="center"/>
    </xf>
    <xf numFmtId="0" fontId="97" fillId="0" borderId="4" xfId="10" applyFont="1" applyBorder="1" applyAlignment="1">
      <alignment horizontal="left"/>
    </xf>
    <xf numFmtId="166" fontId="97" fillId="0" borderId="4" xfId="1" applyNumberFormat="1" applyFont="1" applyBorder="1" applyAlignment="1">
      <alignment horizontal="center"/>
    </xf>
    <xf numFmtId="166" fontId="99" fillId="0" borderId="4" xfId="1" applyNumberFormat="1" applyFont="1" applyBorder="1" applyAlignment="1">
      <alignment horizontal="center"/>
    </xf>
    <xf numFmtId="166" fontId="97" fillId="0" borderId="4" xfId="1" applyNumberFormat="1" applyFont="1" applyBorder="1"/>
    <xf numFmtId="0" fontId="97" fillId="2" borderId="4" xfId="0" applyFont="1" applyFill="1" applyBorder="1" applyAlignment="1">
      <alignment horizontal="left" vertical="center"/>
    </xf>
    <xf numFmtId="166" fontId="99" fillId="2" borderId="4" xfId="1" applyNumberFormat="1" applyFont="1" applyFill="1" applyBorder="1" applyAlignment="1" applyProtection="1">
      <alignment horizontal="center" vertical="center"/>
    </xf>
    <xf numFmtId="43" fontId="97" fillId="0" borderId="4" xfId="1" applyNumberFormat="1" applyFont="1" applyBorder="1"/>
    <xf numFmtId="166" fontId="100" fillId="0" borderId="4" xfId="1" applyNumberFormat="1" applyFont="1" applyBorder="1"/>
    <xf numFmtId="0" fontId="97" fillId="0" borderId="0" xfId="0" applyFont="1"/>
    <xf numFmtId="0" fontId="97" fillId="0" borderId="0" xfId="0" applyFont="1" applyAlignment="1">
      <alignment horizontal="center"/>
    </xf>
    <xf numFmtId="166" fontId="97" fillId="0" borderId="0" xfId="1" applyNumberFormat="1" applyFont="1"/>
    <xf numFmtId="166" fontId="97" fillId="0" borderId="0" xfId="1" applyNumberFormat="1" applyFont="1" applyAlignment="1">
      <alignment horizontal="center"/>
    </xf>
    <xf numFmtId="166" fontId="100" fillId="0" borderId="0" xfId="1" applyNumberFormat="1" applyFont="1"/>
    <xf numFmtId="0" fontId="97" fillId="0" borderId="0" xfId="0" applyFont="1" applyFill="1" applyBorder="1" applyAlignment="1">
      <alignment horizontal="center"/>
    </xf>
    <xf numFmtId="0" fontId="101" fillId="0" borderId="0" xfId="0" applyFont="1" applyFill="1" applyBorder="1" applyAlignment="1"/>
    <xf numFmtId="166" fontId="0" fillId="0" borderId="0" xfId="0" applyNumberFormat="1"/>
    <xf numFmtId="43" fontId="30" fillId="0" borderId="0" xfId="1" applyFont="1"/>
    <xf numFmtId="0" fontId="7" fillId="0" borderId="0" xfId="0" applyFont="1" applyAlignment="1"/>
    <xf numFmtId="3" fontId="32" fillId="2" borderId="4" xfId="0" applyNumberFormat="1" applyFont="1" applyFill="1" applyBorder="1" applyAlignment="1">
      <alignment horizontal="right" vertical="center"/>
    </xf>
    <xf numFmtId="164" fontId="32" fillId="2" borderId="4" xfId="5" applyNumberFormat="1" applyFont="1" applyFill="1" applyBorder="1" applyAlignment="1">
      <alignment vertical="center"/>
    </xf>
    <xf numFmtId="41" fontId="32" fillId="2" borderId="0" xfId="0" applyNumberFormat="1" applyFont="1" applyFill="1" applyAlignment="1"/>
    <xf numFmtId="0" fontId="32" fillId="0" borderId="4" xfId="0" applyFont="1" applyBorder="1"/>
    <xf numFmtId="164" fontId="47" fillId="0" borderId="4" xfId="3" applyNumberFormat="1" applyFont="1" applyBorder="1" applyAlignment="1">
      <alignment horizontal="right" vertical="top" wrapText="1"/>
    </xf>
    <xf numFmtId="41" fontId="30" fillId="0" borderId="4" xfId="5" applyFont="1" applyBorder="1" applyAlignment="1">
      <alignment horizontal="center" vertical="center" wrapText="1"/>
    </xf>
    <xf numFmtId="164" fontId="30" fillId="0" borderId="4" xfId="0" applyNumberFormat="1" applyFont="1" applyBorder="1" applyAlignment="1">
      <alignment vertical="center" wrapText="1"/>
    </xf>
    <xf numFmtId="43" fontId="83" fillId="0" borderId="0" xfId="0" applyNumberFormat="1" applyFont="1"/>
    <xf numFmtId="166" fontId="30" fillId="0" borderId="0" xfId="1" applyNumberFormat="1" applyFont="1"/>
    <xf numFmtId="41" fontId="33" fillId="0" borderId="0" xfId="5" applyFont="1"/>
    <xf numFmtId="0" fontId="27" fillId="0" borderId="4" xfId="0" applyFont="1" applyBorder="1" applyAlignment="1">
      <alignment horizontal="center"/>
    </xf>
    <xf numFmtId="41" fontId="27" fillId="0" borderId="4" xfId="0" applyNumberFormat="1" applyFont="1" applyBorder="1"/>
    <xf numFmtId="41" fontId="27" fillId="0" borderId="4" xfId="5" applyFont="1" applyBorder="1" applyAlignment="1">
      <alignment horizontal="center"/>
    </xf>
    <xf numFmtId="41" fontId="32" fillId="2" borderId="4" xfId="0" applyNumberFormat="1" applyFont="1" applyFill="1" applyBorder="1" applyAlignment="1">
      <alignment horizontal="center" vertical="center" wrapText="1"/>
    </xf>
    <xf numFmtId="41" fontId="104" fillId="2" borderId="4" xfId="4" applyNumberFormat="1" applyFont="1" applyFill="1" applyBorder="1" applyAlignment="1">
      <alignment vertical="center"/>
    </xf>
    <xf numFmtId="0" fontId="63" fillId="12" borderId="4" xfId="0" applyNumberFormat="1" applyFont="1" applyFill="1" applyBorder="1" applyAlignment="1">
      <alignment horizontal="center" vertical="center" wrapText="1"/>
    </xf>
    <xf numFmtId="0" fontId="28" fillId="12" borderId="4" xfId="0" applyFont="1" applyFill="1" applyBorder="1" applyAlignment="1">
      <alignment horizontal="center" vertical="center"/>
    </xf>
    <xf numFmtId="43" fontId="105" fillId="2" borderId="0" xfId="5" applyNumberFormat="1" applyFont="1" applyFill="1"/>
    <xf numFmtId="166" fontId="105" fillId="2" borderId="0" xfId="5" applyNumberFormat="1" applyFont="1" applyFill="1"/>
    <xf numFmtId="41" fontId="33" fillId="2" borderId="0" xfId="0" applyNumberFormat="1" applyFont="1" applyFill="1"/>
    <xf numFmtId="0" fontId="28" fillId="0" borderId="11" xfId="0" applyFont="1" applyBorder="1" applyAlignment="1">
      <alignment horizontal="left"/>
    </xf>
    <xf numFmtId="0" fontId="28" fillId="2" borderId="11" xfId="0" applyFont="1" applyFill="1" applyBorder="1" applyAlignment="1">
      <alignment horizontal="center" vertical="center"/>
    </xf>
    <xf numFmtId="41" fontId="28" fillId="2" borderId="11" xfId="0" applyNumberFormat="1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164" fontId="28" fillId="2" borderId="11" xfId="0" applyNumberFormat="1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63" fillId="12" borderId="9" xfId="0" applyFont="1" applyFill="1" applyBorder="1" applyAlignment="1">
      <alignment horizontal="center" vertical="center"/>
    </xf>
    <xf numFmtId="166" fontId="50" fillId="2" borderId="0" xfId="1" applyNumberFormat="1" applyFont="1" applyFill="1" applyBorder="1"/>
    <xf numFmtId="43" fontId="50" fillId="0" borderId="0" xfId="1" applyFont="1" applyBorder="1"/>
    <xf numFmtId="41" fontId="8" fillId="2" borderId="4" xfId="3" applyNumberFormat="1" applyFont="1" applyFill="1" applyBorder="1" applyAlignment="1">
      <alignment horizontal="center" vertical="center" wrapText="1"/>
    </xf>
    <xf numFmtId="41" fontId="8" fillId="2" borderId="4" xfId="3" applyNumberFormat="1" applyFont="1" applyFill="1" applyBorder="1" applyAlignment="1">
      <alignment horizontal="center" vertical="center" wrapText="1"/>
    </xf>
    <xf numFmtId="41" fontId="2" fillId="2" borderId="4" xfId="5" applyFont="1" applyFill="1" applyBorder="1" applyAlignment="1">
      <alignment horizontal="center" vertical="center" wrapText="1"/>
    </xf>
    <xf numFmtId="41" fontId="8" fillId="2" borderId="4" xfId="3" applyNumberFormat="1" applyFont="1" applyFill="1" applyBorder="1" applyAlignment="1">
      <alignment horizontal="center" vertical="center" wrapText="1"/>
    </xf>
    <xf numFmtId="41" fontId="8" fillId="2" borderId="4" xfId="3" applyNumberFormat="1" applyFont="1" applyFill="1" applyBorder="1" applyAlignment="1">
      <alignment horizontal="center" vertical="center" wrapText="1"/>
    </xf>
    <xf numFmtId="41" fontId="8" fillId="2" borderId="11" xfId="3" applyNumberFormat="1" applyFont="1" applyFill="1" applyBorder="1" applyAlignment="1">
      <alignment horizontal="center" vertical="center" wrapText="1"/>
    </xf>
    <xf numFmtId="41" fontId="8" fillId="2" borderId="10" xfId="3" applyNumberFormat="1" applyFont="1" applyFill="1" applyBorder="1" applyAlignment="1">
      <alignment horizontal="center" vertical="center" wrapText="1"/>
    </xf>
    <xf numFmtId="2" fontId="12" fillId="2" borderId="0" xfId="3" applyNumberFormat="1" applyFont="1" applyFill="1" applyAlignment="1">
      <alignment horizontal="right" vertical="top"/>
    </xf>
    <xf numFmtId="2" fontId="6" fillId="2" borderId="0" xfId="0" applyNumberFormat="1" applyFont="1" applyFill="1" applyAlignment="1">
      <alignment horizontal="right"/>
    </xf>
    <xf numFmtId="2" fontId="8" fillId="2" borderId="4" xfId="3" applyNumberFormat="1" applyFont="1" applyFill="1" applyBorder="1" applyAlignment="1">
      <alignment horizontal="right" vertical="center" wrapText="1"/>
    </xf>
    <xf numFmtId="2" fontId="8" fillId="2" borderId="4" xfId="0" applyNumberFormat="1" applyFont="1" applyFill="1" applyBorder="1" applyAlignment="1">
      <alignment horizontal="right" vertical="center"/>
    </xf>
    <xf numFmtId="2" fontId="10" fillId="2" borderId="4" xfId="0" applyNumberFormat="1" applyFont="1" applyFill="1" applyBorder="1" applyAlignment="1">
      <alignment horizontal="right" vertical="center"/>
    </xf>
    <xf numFmtId="2" fontId="10" fillId="2" borderId="4" xfId="3" applyNumberFormat="1" applyFont="1" applyFill="1" applyBorder="1" applyAlignment="1">
      <alignment horizontal="right" vertical="center"/>
    </xf>
    <xf numFmtId="2" fontId="10" fillId="2" borderId="4" xfId="0" applyNumberFormat="1" applyFont="1" applyFill="1" applyBorder="1" applyAlignment="1">
      <alignment horizontal="right"/>
    </xf>
    <xf numFmtId="2" fontId="10" fillId="2" borderId="0" xfId="0" applyNumberFormat="1" applyFont="1" applyFill="1" applyAlignment="1">
      <alignment horizontal="right"/>
    </xf>
    <xf numFmtId="2" fontId="38" fillId="2" borderId="0" xfId="1" applyNumberFormat="1" applyFont="1" applyFill="1" applyAlignment="1">
      <alignment horizontal="right"/>
    </xf>
    <xf numFmtId="2" fontId="11" fillId="2" borderId="0" xfId="0" applyNumberFormat="1" applyFont="1" applyFill="1" applyAlignment="1">
      <alignment horizontal="right"/>
    </xf>
    <xf numFmtId="41" fontId="8" fillId="2" borderId="4" xfId="3" applyNumberFormat="1" applyFont="1" applyFill="1" applyBorder="1" applyAlignment="1">
      <alignment horizontal="center" vertical="center" wrapText="1"/>
    </xf>
    <xf numFmtId="43" fontId="38" fillId="2" borderId="0" xfId="1" applyFont="1" applyFill="1" applyAlignment="1">
      <alignment horizontal="center"/>
    </xf>
    <xf numFmtId="41" fontId="3" fillId="2" borderId="0" xfId="3" applyNumberFormat="1" applyFont="1" applyFill="1" applyAlignment="1">
      <alignment horizontal="center"/>
    </xf>
    <xf numFmtId="41" fontId="8" fillId="2" borderId="35" xfId="0" applyNumberFormat="1" applyFont="1" applyFill="1" applyBorder="1" applyAlignment="1">
      <alignment horizontal="center" vertical="center"/>
    </xf>
    <xf numFmtId="41" fontId="8" fillId="2" borderId="36" xfId="0" applyNumberFormat="1" applyFont="1" applyFill="1" applyBorder="1" applyAlignment="1">
      <alignment horizontal="center" vertical="center"/>
    </xf>
    <xf numFmtId="41" fontId="8" fillId="2" borderId="37" xfId="0" applyNumberFormat="1" applyFont="1" applyFill="1" applyBorder="1" applyAlignment="1">
      <alignment horizontal="center" vertical="center"/>
    </xf>
    <xf numFmtId="41" fontId="8" fillId="2" borderId="43" xfId="0" applyNumberFormat="1" applyFont="1" applyFill="1" applyBorder="1" applyAlignment="1">
      <alignment horizontal="center" vertical="center"/>
    </xf>
    <xf numFmtId="41" fontId="8" fillId="2" borderId="0" xfId="0" applyNumberFormat="1" applyFont="1" applyFill="1" applyBorder="1" applyAlignment="1">
      <alignment horizontal="center" vertical="center"/>
    </xf>
    <xf numFmtId="41" fontId="8" fillId="2" borderId="3" xfId="0" applyNumberFormat="1" applyFont="1" applyFill="1" applyBorder="1" applyAlignment="1">
      <alignment horizontal="center" vertical="center"/>
    </xf>
    <xf numFmtId="41" fontId="8" fillId="2" borderId="38" xfId="0" applyNumberFormat="1" applyFont="1" applyFill="1" applyBorder="1" applyAlignment="1">
      <alignment horizontal="center" vertical="center"/>
    </xf>
    <xf numFmtId="41" fontId="8" fillId="2" borderId="9" xfId="0" applyNumberFormat="1" applyFont="1" applyFill="1" applyBorder="1" applyAlignment="1">
      <alignment horizontal="center" vertical="center"/>
    </xf>
    <xf numFmtId="41" fontId="8" fillId="2" borderId="10" xfId="0" applyNumberFormat="1" applyFont="1" applyFill="1" applyBorder="1" applyAlignment="1">
      <alignment horizontal="center" vertical="center"/>
    </xf>
    <xf numFmtId="41" fontId="8" fillId="2" borderId="4" xfId="0" applyNumberFormat="1" applyFont="1" applyFill="1" applyBorder="1" applyAlignment="1">
      <alignment horizontal="center" vertical="center"/>
    </xf>
    <xf numFmtId="41" fontId="8" fillId="2" borderId="42" xfId="3" applyNumberFormat="1" applyFont="1" applyFill="1" applyBorder="1" applyAlignment="1">
      <alignment horizontal="center" vertical="center" wrapText="1"/>
    </xf>
    <xf numFmtId="41" fontId="8" fillId="2" borderId="5" xfId="3" applyNumberFormat="1" applyFont="1" applyFill="1" applyBorder="1" applyAlignment="1">
      <alignment horizontal="center" vertical="center" wrapText="1"/>
    </xf>
    <xf numFmtId="41" fontId="8" fillId="2" borderId="11" xfId="3" applyNumberFormat="1" applyFont="1" applyFill="1" applyBorder="1" applyAlignment="1">
      <alignment horizontal="center" vertical="center" wrapText="1"/>
    </xf>
    <xf numFmtId="41" fontId="8" fillId="2" borderId="37" xfId="3" applyNumberFormat="1" applyFont="1" applyFill="1" applyBorder="1" applyAlignment="1">
      <alignment horizontal="center" vertical="center" wrapText="1"/>
    </xf>
    <xf numFmtId="41" fontId="8" fillId="2" borderId="3" xfId="3" applyNumberFormat="1" applyFont="1" applyFill="1" applyBorder="1" applyAlignment="1">
      <alignment horizontal="center" vertical="center" wrapText="1"/>
    </xf>
    <xf numFmtId="41" fontId="8" fillId="2" borderId="10" xfId="3" applyNumberFormat="1" applyFont="1" applyFill="1" applyBorder="1" applyAlignment="1">
      <alignment horizontal="center" vertical="center" wrapText="1"/>
    </xf>
    <xf numFmtId="41" fontId="8" fillId="2" borderId="6" xfId="0" applyNumberFormat="1" applyFont="1" applyFill="1" applyBorder="1" applyAlignment="1">
      <alignment horizontal="center"/>
    </xf>
    <xf numFmtId="41" fontId="8" fillId="2" borderId="12" xfId="0" applyNumberFormat="1" applyFont="1" applyFill="1" applyBorder="1" applyAlignment="1">
      <alignment horizontal="center"/>
    </xf>
    <xf numFmtId="41" fontId="8" fillId="2" borderId="7" xfId="0" applyNumberFormat="1" applyFont="1" applyFill="1" applyBorder="1" applyAlignment="1">
      <alignment horizontal="center"/>
    </xf>
    <xf numFmtId="41" fontId="8" fillId="2" borderId="6" xfId="3" applyNumberFormat="1" applyFont="1" applyFill="1" applyBorder="1" applyAlignment="1">
      <alignment horizontal="center" vertical="center" wrapText="1"/>
    </xf>
    <xf numFmtId="41" fontId="8" fillId="2" borderId="7" xfId="3" applyNumberFormat="1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41" fontId="61" fillId="2" borderId="0" xfId="0" applyNumberFormat="1" applyFont="1" applyFill="1" applyBorder="1" applyAlignment="1">
      <alignment horizontal="center" vertical="center"/>
    </xf>
    <xf numFmtId="43" fontId="61" fillId="2" borderId="0" xfId="1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0" fontId="44" fillId="0" borderId="0" xfId="3" applyFont="1" applyBorder="1" applyAlignment="1">
      <alignment horizontal="center" vertical="top" wrapText="1"/>
    </xf>
    <xf numFmtId="43" fontId="62" fillId="2" borderId="0" xfId="1" applyFont="1" applyFill="1" applyAlignment="1">
      <alignment horizontal="center"/>
    </xf>
    <xf numFmtId="0" fontId="46" fillId="0" borderId="4" xfId="0" applyNumberFormat="1" applyFont="1" applyBorder="1" applyAlignment="1">
      <alignment horizontal="center"/>
    </xf>
    <xf numFmtId="0" fontId="48" fillId="0" borderId="6" xfId="3" applyNumberFormat="1" applyFont="1" applyBorder="1" applyAlignment="1">
      <alignment horizontal="center"/>
    </xf>
    <xf numFmtId="0" fontId="48" fillId="0" borderId="12" xfId="3" applyNumberFormat="1" applyFont="1" applyBorder="1" applyAlignment="1">
      <alignment horizontal="center"/>
    </xf>
    <xf numFmtId="0" fontId="48" fillId="0" borderId="7" xfId="3" applyNumberFormat="1" applyFont="1" applyBorder="1" applyAlignment="1">
      <alignment horizontal="center"/>
    </xf>
    <xf numFmtId="0" fontId="50" fillId="0" borderId="0" xfId="3" quotePrefix="1" applyFont="1" applyBorder="1" applyAlignment="1">
      <alignment horizontal="center" vertical="top" wrapText="1"/>
    </xf>
    <xf numFmtId="0" fontId="43" fillId="0" borderId="0" xfId="3" applyFont="1" applyAlignment="1">
      <alignment horizontal="center"/>
    </xf>
    <xf numFmtId="0" fontId="46" fillId="0" borderId="0" xfId="0" applyFont="1" applyBorder="1" applyAlignment="1">
      <alignment horizontal="left" vertical="center"/>
    </xf>
    <xf numFmtId="0" fontId="46" fillId="7" borderId="35" xfId="0" applyFont="1" applyFill="1" applyBorder="1" applyAlignment="1">
      <alignment horizontal="center" vertical="center"/>
    </xf>
    <xf numFmtId="0" fontId="46" fillId="7" borderId="37" xfId="0" applyFont="1" applyFill="1" applyBorder="1" applyAlignment="1">
      <alignment horizontal="center" vertical="center"/>
    </xf>
    <xf numFmtId="0" fontId="46" fillId="7" borderId="38" xfId="0" applyFont="1" applyFill="1" applyBorder="1" applyAlignment="1">
      <alignment horizontal="center" vertical="center"/>
    </xf>
    <xf numFmtId="0" fontId="46" fillId="7" borderId="10" xfId="0" applyFont="1" applyFill="1" applyBorder="1" applyAlignment="1">
      <alignment horizontal="center" vertical="center"/>
    </xf>
    <xf numFmtId="0" fontId="48" fillId="7" borderId="35" xfId="3" applyFont="1" applyFill="1" applyBorder="1" applyAlignment="1">
      <alignment horizontal="center" vertical="center"/>
    </xf>
    <xf numFmtId="0" fontId="48" fillId="7" borderId="37" xfId="3" applyFont="1" applyFill="1" applyBorder="1" applyAlignment="1">
      <alignment horizontal="center" vertical="center"/>
    </xf>
    <xf numFmtId="0" fontId="48" fillId="7" borderId="38" xfId="3" applyFont="1" applyFill="1" applyBorder="1" applyAlignment="1">
      <alignment horizontal="center" vertical="center"/>
    </xf>
    <xf numFmtId="0" fontId="48" fillId="7" borderId="10" xfId="3" applyFont="1" applyFill="1" applyBorder="1" applyAlignment="1">
      <alignment horizontal="center" vertical="center"/>
    </xf>
    <xf numFmtId="0" fontId="48" fillId="7" borderId="4" xfId="3" applyFont="1" applyFill="1" applyBorder="1" applyAlignment="1">
      <alignment horizontal="center" vertical="center"/>
    </xf>
    <xf numFmtId="0" fontId="48" fillId="7" borderId="35" xfId="3" applyFont="1" applyFill="1" applyBorder="1" applyAlignment="1">
      <alignment horizontal="center" vertical="center" wrapText="1"/>
    </xf>
    <xf numFmtId="0" fontId="48" fillId="7" borderId="36" xfId="3" applyFont="1" applyFill="1" applyBorder="1" applyAlignment="1">
      <alignment horizontal="center" vertical="center" wrapText="1"/>
    </xf>
    <xf numFmtId="0" fontId="48" fillId="7" borderId="37" xfId="3" applyFont="1" applyFill="1" applyBorder="1" applyAlignment="1">
      <alignment horizontal="center" vertical="center" wrapText="1"/>
    </xf>
    <xf numFmtId="0" fontId="48" fillId="7" borderId="6" xfId="3" applyFont="1" applyFill="1" applyBorder="1" applyAlignment="1">
      <alignment horizontal="center" vertical="center"/>
    </xf>
    <xf numFmtId="0" fontId="48" fillId="7" borderId="12" xfId="3" applyFont="1" applyFill="1" applyBorder="1" applyAlignment="1">
      <alignment horizontal="center" vertical="center"/>
    </xf>
    <xf numFmtId="0" fontId="48" fillId="7" borderId="7" xfId="3" applyFont="1" applyFill="1" applyBorder="1" applyAlignment="1">
      <alignment horizontal="center" vertical="center"/>
    </xf>
    <xf numFmtId="0" fontId="81" fillId="0" borderId="0" xfId="0" applyFont="1" applyAlignment="1">
      <alignment horizontal="center"/>
    </xf>
    <xf numFmtId="43" fontId="82" fillId="2" borderId="0" xfId="1" applyFont="1" applyFill="1" applyAlignment="1">
      <alignment horizontal="center"/>
    </xf>
    <xf numFmtId="43" fontId="51" fillId="2" borderId="0" xfId="1" applyFont="1" applyFill="1" applyAlignment="1">
      <alignment horizontal="center"/>
    </xf>
    <xf numFmtId="0" fontId="47" fillId="0" borderId="0" xfId="3" applyFont="1" applyAlignment="1">
      <alignment horizontal="center" vertical="top"/>
    </xf>
    <xf numFmtId="0" fontId="46" fillId="0" borderId="0" xfId="0" applyFont="1" applyAlignment="1">
      <alignment horizontal="center"/>
    </xf>
    <xf numFmtId="0" fontId="42" fillId="0" borderId="0" xfId="0" applyFont="1" applyAlignment="1">
      <alignment horizontal="center" vertical="top"/>
    </xf>
    <xf numFmtId="166" fontId="59" fillId="2" borderId="0" xfId="1" applyNumberFormat="1" applyFont="1" applyFill="1" applyAlignment="1">
      <alignment horizontal="center" vertical="top"/>
    </xf>
    <xf numFmtId="0" fontId="28" fillId="12" borderId="4" xfId="0" applyFont="1" applyFill="1" applyBorder="1" applyAlignment="1">
      <alignment horizontal="center" vertical="center"/>
    </xf>
    <xf numFmtId="0" fontId="28" fillId="12" borderId="4" xfId="0" applyFont="1" applyFill="1" applyBorder="1" applyAlignment="1">
      <alignment horizontal="center" vertical="center" wrapText="1"/>
    </xf>
    <xf numFmtId="0" fontId="28" fillId="12" borderId="42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8" fillId="2" borderId="0" xfId="0" applyFont="1" applyFill="1" applyAlignment="1">
      <alignment horizontal="center" vertical="top"/>
    </xf>
    <xf numFmtId="0" fontId="26" fillId="2" borderId="0" xfId="0" applyFont="1" applyFill="1" applyAlignment="1">
      <alignment horizontal="center"/>
    </xf>
    <xf numFmtId="0" fontId="34" fillId="0" borderId="0" xfId="0" applyFont="1" applyAlignment="1"/>
    <xf numFmtId="0" fontId="102" fillId="0" borderId="0" xfId="0" applyFont="1" applyAlignment="1">
      <alignment horizontal="center"/>
    </xf>
    <xf numFmtId="41" fontId="103" fillId="2" borderId="0" xfId="0" applyNumberFormat="1" applyFont="1" applyFill="1" applyAlignment="1">
      <alignment horizontal="center"/>
    </xf>
    <xf numFmtId="0" fontId="36" fillId="0" borderId="4" xfId="0" applyFont="1" applyBorder="1" applyAlignment="1">
      <alignment horizontal="center" vertical="center"/>
    </xf>
    <xf numFmtId="0" fontId="7" fillId="0" borderId="0" xfId="0" applyFont="1" applyAlignment="1"/>
    <xf numFmtId="0" fontId="9" fillId="0" borderId="0" xfId="0" applyFont="1" applyAlignment="1"/>
    <xf numFmtId="0" fontId="5" fillId="0" borderId="0" xfId="0" applyFont="1" applyAlignment="1"/>
    <xf numFmtId="0" fontId="36" fillId="6" borderId="4" xfId="0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60" fillId="2" borderId="43" xfId="3" applyFont="1" applyFill="1" applyBorder="1" applyAlignment="1">
      <alignment horizontal="left" vertical="top" wrapText="1"/>
    </xf>
    <xf numFmtId="0" fontId="60" fillId="2" borderId="0" xfId="3" applyFont="1" applyFill="1" applyBorder="1" applyAlignment="1">
      <alignment horizontal="left" vertical="top" wrapText="1"/>
    </xf>
    <xf numFmtId="41" fontId="66" fillId="2" borderId="0" xfId="3" applyNumberFormat="1" applyFont="1" applyFill="1" applyAlignment="1">
      <alignment horizontal="center"/>
    </xf>
    <xf numFmtId="41" fontId="38" fillId="10" borderId="35" xfId="0" applyNumberFormat="1" applyFont="1" applyFill="1" applyBorder="1" applyAlignment="1">
      <alignment horizontal="center" vertical="center"/>
    </xf>
    <xf numFmtId="41" fontId="38" fillId="10" borderId="36" xfId="0" applyNumberFormat="1" applyFont="1" applyFill="1" applyBorder="1" applyAlignment="1">
      <alignment horizontal="center" vertical="center"/>
    </xf>
    <xf numFmtId="41" fontId="38" fillId="10" borderId="37" xfId="0" applyNumberFormat="1" applyFont="1" applyFill="1" applyBorder="1" applyAlignment="1">
      <alignment horizontal="center" vertical="center"/>
    </xf>
    <xf numFmtId="41" fontId="38" fillId="10" borderId="43" xfId="0" applyNumberFormat="1" applyFont="1" applyFill="1" applyBorder="1" applyAlignment="1">
      <alignment horizontal="center" vertical="center"/>
    </xf>
    <xf numFmtId="41" fontId="38" fillId="10" borderId="0" xfId="0" applyNumberFormat="1" applyFont="1" applyFill="1" applyBorder="1" applyAlignment="1">
      <alignment horizontal="center" vertical="center"/>
    </xf>
    <xf numFmtId="41" fontId="38" fillId="10" borderId="3" xfId="0" applyNumberFormat="1" applyFont="1" applyFill="1" applyBorder="1" applyAlignment="1">
      <alignment horizontal="center" vertical="center"/>
    </xf>
    <xf numFmtId="41" fontId="61" fillId="10" borderId="37" xfId="3" applyNumberFormat="1" applyFont="1" applyFill="1" applyBorder="1" applyAlignment="1">
      <alignment horizontal="center" vertical="center" wrapText="1"/>
    </xf>
    <xf numFmtId="41" fontId="61" fillId="10" borderId="3" xfId="3" applyNumberFormat="1" applyFont="1" applyFill="1" applyBorder="1" applyAlignment="1">
      <alignment horizontal="center" vertical="center" wrapText="1"/>
    </xf>
    <xf numFmtId="41" fontId="61" fillId="10" borderId="41" xfId="3" applyNumberFormat="1" applyFont="1" applyFill="1" applyBorder="1" applyAlignment="1">
      <alignment horizontal="center" vertical="center" wrapText="1"/>
    </xf>
    <xf numFmtId="41" fontId="37" fillId="10" borderId="4" xfId="0" applyNumberFormat="1" applyFont="1" applyFill="1" applyBorder="1" applyAlignment="1">
      <alignment horizontal="center" vertical="center"/>
    </xf>
    <xf numFmtId="41" fontId="37" fillId="10" borderId="42" xfId="0" applyNumberFormat="1" applyFont="1" applyFill="1" applyBorder="1" applyAlignment="1">
      <alignment horizontal="center" vertical="center"/>
    </xf>
    <xf numFmtId="41" fontId="61" fillId="10" borderId="42" xfId="3" applyNumberFormat="1" applyFont="1" applyFill="1" applyBorder="1" applyAlignment="1">
      <alignment horizontal="center" vertical="center" wrapText="1"/>
    </xf>
    <xf numFmtId="41" fontId="61" fillId="10" borderId="5" xfId="3" applyNumberFormat="1" applyFont="1" applyFill="1" applyBorder="1" applyAlignment="1">
      <alignment horizontal="center" vertical="center" wrapText="1"/>
    </xf>
    <xf numFmtId="41" fontId="61" fillId="10" borderId="40" xfId="3" applyNumberFormat="1" applyFont="1" applyFill="1" applyBorder="1" applyAlignment="1">
      <alignment horizontal="center" vertical="center" wrapText="1"/>
    </xf>
    <xf numFmtId="41" fontId="61" fillId="10" borderId="4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2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9" fillId="0" borderId="33" xfId="0" applyFont="1" applyBorder="1" applyAlignment="1">
      <alignment horizontal="right" vertical="center"/>
    </xf>
    <xf numFmtId="0" fontId="19" fillId="0" borderId="34" xfId="0" applyFont="1" applyBorder="1" applyAlignment="1">
      <alignment horizontal="right" vertical="center"/>
    </xf>
    <xf numFmtId="166" fontId="59" fillId="0" borderId="0" xfId="1" applyNumberFormat="1" applyFont="1" applyAlignment="1">
      <alignment horizontal="center" vertical="top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15" fillId="0" borderId="22" xfId="0" applyNumberFormat="1" applyFont="1" applyBorder="1" applyAlignment="1">
      <alignment horizontal="center" vertical="center" wrapText="1"/>
    </xf>
    <xf numFmtId="9" fontId="15" fillId="0" borderId="17" xfId="0" applyNumberFormat="1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5" fillId="0" borderId="22" xfId="0" applyFont="1" applyBorder="1" applyAlignment="1">
      <alignment vertical="center" wrapText="1"/>
    </xf>
    <xf numFmtId="0" fontId="15" fillId="0" borderId="17" xfId="0" applyFont="1" applyBorder="1" applyAlignment="1">
      <alignment vertical="center" wrapText="1"/>
    </xf>
    <xf numFmtId="9" fontId="16" fillId="0" borderId="22" xfId="0" applyNumberFormat="1" applyFont="1" applyBorder="1" applyAlignment="1">
      <alignment horizontal="center" vertical="center" wrapText="1"/>
    </xf>
    <xf numFmtId="9" fontId="16" fillId="0" borderId="17" xfId="0" applyNumberFormat="1" applyFont="1" applyBorder="1" applyAlignment="1">
      <alignment horizontal="center" vertical="center" wrapText="1"/>
    </xf>
    <xf numFmtId="0" fontId="77" fillId="0" borderId="0" xfId="0" applyFont="1" applyAlignment="1">
      <alignment horizontal="center"/>
    </xf>
    <xf numFmtId="0" fontId="87" fillId="13" borderId="45" xfId="0" applyFont="1" applyFill="1" applyBorder="1" applyAlignment="1">
      <alignment horizontal="left" vertical="top" wrapText="1" readingOrder="1"/>
    </xf>
    <xf numFmtId="0" fontId="87" fillId="13" borderId="46" xfId="0" applyFont="1" applyFill="1" applyBorder="1" applyAlignment="1">
      <alignment horizontal="left" vertical="top" wrapText="1" readingOrder="1"/>
    </xf>
    <xf numFmtId="0" fontId="87" fillId="13" borderId="47" xfId="0" applyFont="1" applyFill="1" applyBorder="1" applyAlignment="1">
      <alignment horizontal="left" vertical="top" wrapText="1" readingOrder="1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</cellXfs>
  <cellStyles count="11">
    <cellStyle name="Comma" xfId="1" builtinId="3"/>
    <cellStyle name="Comma [0]" xfId="5" builtinId="6"/>
    <cellStyle name="Comma [0] 2" xfId="6"/>
    <cellStyle name="Comma 2" xfId="4"/>
    <cellStyle name="Normal" xfId="0" builtinId="0"/>
    <cellStyle name="Normal 2" xfId="3"/>
    <cellStyle name="Normal 2 2" xfId="9"/>
    <cellStyle name="Normal 2 3" xfId="7"/>
    <cellStyle name="Normal 3" xfId="8"/>
    <cellStyle name="Normal 5" xf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grafik!$B$32</c:f>
              <c:strCache>
                <c:ptCount val="1"/>
                <c:pt idx="0">
                  <c:v>Honorarium PNS</c:v>
                </c:pt>
              </c:strCache>
            </c:strRef>
          </c:tx>
          <c:dLbls>
            <c:dLbl>
              <c:idx val="0"/>
              <c:layout>
                <c:manualLayout>
                  <c:x val="-5.6898995770059959E-3"/>
                  <c:y val="-3.910068426197458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7121854650395244"/>
                  <c:y val="-8.9931573802541534E-2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21.67%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grafik!$C$32:$J$32</c:f>
              <c:numCache>
                <c:formatCode>0.00</c:formatCode>
                <c:ptCount val="2"/>
                <c:pt idx="0" formatCode="_(* #,##0_);_(* \(#,##0\);_(* &quot;-&quot;_);_(@_)">
                  <c:v>2590000</c:v>
                </c:pt>
                <c:pt idx="1">
                  <c:v>21.673640167364017</c:v>
                </c:pt>
              </c:numCache>
            </c:numRef>
          </c:val>
        </c:ser>
        <c:ser>
          <c:idx val="1"/>
          <c:order val="1"/>
          <c:tx>
            <c:strRef>
              <c:f>grafik!$B$33</c:f>
              <c:strCache>
                <c:ptCount val="1"/>
                <c:pt idx="0">
                  <c:v>Jasa Pelayanan Kesehatan</c:v>
                </c:pt>
              </c:strCache>
            </c:strRef>
          </c:tx>
          <c:dLbls>
            <c:dLbl>
              <c:idx val="0"/>
              <c:layout>
                <c:manualLayout>
                  <c:x val="1.7069698731017987E-2"/>
                  <c:y val="-2.737047898338219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0673301796455118"/>
                  <c:y val="-0.78983382209188768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81.12%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grafik!$C$33:$J$33</c:f>
              <c:numCache>
                <c:formatCode>0.00</c:formatCode>
                <c:ptCount val="2"/>
                <c:pt idx="0" formatCode="_(* #,##0_);_(* \(#,##0\);_(* &quot;-&quot;_);_(@_)">
                  <c:v>1038225600</c:v>
                </c:pt>
                <c:pt idx="1">
                  <c:v>81.115836371000398</c:v>
                </c:pt>
              </c:numCache>
            </c:numRef>
          </c:val>
        </c:ser>
        <c:ser>
          <c:idx val="2"/>
          <c:order val="2"/>
          <c:tx>
            <c:strRef>
              <c:f>grafik!$B$34</c:f>
              <c:strCache>
                <c:ptCount val="1"/>
                <c:pt idx="0">
                  <c:v>BELANJA BARANG DAN JASA</c:v>
                </c:pt>
              </c:strCache>
            </c:strRef>
          </c:tx>
          <c:dLbls>
            <c:dLbl>
              <c:idx val="0"/>
              <c:layout>
                <c:manualLayout>
                  <c:x val="5.8795628962395395E-2"/>
                  <c:y val="-5.865102639296182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7069698731017979"/>
                  <c:y val="-0.64907135874877975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68.10%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grafik!$C$34:$J$34</c:f>
              <c:numCache>
                <c:formatCode>0.00</c:formatCode>
                <c:ptCount val="2"/>
                <c:pt idx="0" formatCode="_(* #,##0_);_(* \(#,##0\);_(* &quot;-&quot;_);_(@_)">
                  <c:v>760315144</c:v>
                </c:pt>
                <c:pt idx="1">
                  <c:v>68.096344238848488</c:v>
                </c:pt>
              </c:numCache>
            </c:numRef>
          </c:val>
        </c:ser>
        <c:ser>
          <c:idx val="3"/>
          <c:order val="3"/>
          <c:tx>
            <c:strRef>
              <c:f>grafik!$B$35</c:f>
              <c:strCache>
                <c:ptCount val="1"/>
                <c:pt idx="0">
                  <c:v>BELANJA MODAL</c:v>
                </c:pt>
              </c:strCache>
            </c:strRef>
          </c:tx>
          <c:dLbls>
            <c:dLbl>
              <c:idx val="0"/>
              <c:layout>
                <c:manualLayout>
                  <c:x val="6.0692262154730767E-2"/>
                  <c:y val="-3.128054740957977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7259376984371139"/>
                  <c:y val="-0.2541544477028348"/>
                </c:manualLayout>
              </c:layout>
              <c:tx>
                <c:rich>
                  <a:bodyPr/>
                  <a:lstStyle/>
                  <a:p>
                    <a:r>
                      <a:rPr lang="en-US" sz="900" i="1"/>
                      <a:t>61.66%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grafik!$C$35:$J$35</c:f>
              <c:numCache>
                <c:formatCode>0.00</c:formatCode>
                <c:ptCount val="2"/>
                <c:pt idx="0" formatCode="_(* #,##0_);_(* \(#,##0\);_(* &quot;-&quot;_);_(@_)">
                  <c:v>249196799</c:v>
                </c:pt>
                <c:pt idx="1">
                  <c:v>61.657956997228823</c:v>
                </c:pt>
              </c:numCache>
            </c:numRef>
          </c:val>
        </c:ser>
        <c:shape val="box"/>
        <c:axId val="106985344"/>
        <c:axId val="108347392"/>
        <c:axId val="0"/>
      </c:bar3DChart>
      <c:catAx>
        <c:axId val="106985344"/>
        <c:scaling>
          <c:orientation val="minMax"/>
        </c:scaling>
        <c:delete val="1"/>
        <c:axPos val="b"/>
        <c:tickLblPos val="nextTo"/>
        <c:crossAx val="108347392"/>
        <c:crosses val="autoZero"/>
        <c:auto val="1"/>
        <c:lblAlgn val="ctr"/>
        <c:lblOffset val="100"/>
      </c:catAx>
      <c:valAx>
        <c:axId val="108347392"/>
        <c:scaling>
          <c:orientation val="minMax"/>
        </c:scaling>
        <c:axPos val="l"/>
        <c:majorGridlines/>
        <c:numFmt formatCode="_(* #,##0_);_(* \(#,##0\);_(* &quot;-&quot;_);_(@_)" sourceLinked="1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10698534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390524</xdr:colOff>
      <xdr:row>17</xdr:row>
      <xdr:rowOff>180974</xdr:rowOff>
    </xdr:from>
    <xdr:to>
      <xdr:col>15</xdr:col>
      <xdr:colOff>2495550</xdr:colOff>
      <xdr:row>34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%20KOMPUTER%20SOPHIE%20CITEUREUP\PKM%20CITEUREUP%20TAHUN%202018\JKN%20TAHUN%202018\laporan%20keu%20JKN%202018\FISIK%20KEU&amp;PKK_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FK 16.29(1)"/>
      <sheetName val="RFK 16.29(2)"/>
      <sheetName val="RFK 16.29(3)"/>
      <sheetName val="PKK tri B (1)"/>
      <sheetName val="RFK 16.29(4)"/>
      <sheetName val="RFK 16.29(5)"/>
      <sheetName val="RFK 16.29(6)"/>
      <sheetName val="PKK tri B (2)"/>
      <sheetName val="PKK tri new"/>
      <sheetName val="RFK 16.29(7)"/>
      <sheetName val="RFK 16.29(8)"/>
      <sheetName val="RFK 16.29(9)"/>
      <sheetName val="PKK tri B (3)"/>
      <sheetName val="RFK 16.29(10)"/>
      <sheetName val="RFK 16.29(11)"/>
      <sheetName val="RFK 16.29(12)"/>
      <sheetName val="PKK tri B (4)"/>
      <sheetName val="LRA"/>
      <sheetName val="U JAMPRO"/>
      <sheetName val="kontrol"/>
      <sheetName val="Sheet2"/>
      <sheetName val="per sub"/>
      <sheetName val="Sheet1"/>
      <sheetName val="Sheet3"/>
    </sheetNames>
    <sheetDataSet>
      <sheetData sheetId="0"/>
      <sheetData sheetId="1"/>
      <sheetData sheetId="2"/>
      <sheetData sheetId="3">
        <row r="8">
          <cell r="L8">
            <v>254074827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2"/>
  <sheetViews>
    <sheetView view="pageBreakPreview" zoomScale="60" workbookViewId="0">
      <selection activeCell="K10" sqref="K10"/>
    </sheetView>
  </sheetViews>
  <sheetFormatPr defaultRowHeight="16.5"/>
  <cols>
    <col min="1" max="1" width="2.7109375" style="24" bestFit="1" customWidth="1"/>
    <col min="2" max="3" width="3.28515625" style="24" bestFit="1" customWidth="1"/>
    <col min="4" max="4" width="4" style="24" bestFit="1" customWidth="1"/>
    <col min="5" max="5" width="3.28515625" style="24" bestFit="1" customWidth="1"/>
    <col min="6" max="8" width="2.7109375" style="24" bestFit="1" customWidth="1"/>
    <col min="9" max="9" width="3.28515625" style="24" bestFit="1" customWidth="1"/>
    <col min="10" max="10" width="3.28515625" style="24" customWidth="1"/>
    <col min="11" max="11" width="68.7109375" style="24" customWidth="1"/>
    <col min="12" max="12" width="9.85546875" style="24" customWidth="1"/>
    <col min="13" max="13" width="16.85546875" style="24" customWidth="1"/>
    <col min="14" max="14" width="17.28515625" style="24" customWidth="1"/>
    <col min="15" max="15" width="8.5703125" style="24" customWidth="1"/>
    <col min="16" max="16" width="17.85546875" style="117" customWidth="1"/>
    <col min="17" max="17" width="10.140625" style="24" customWidth="1"/>
    <col min="18" max="18" width="15.140625" style="24" customWidth="1"/>
    <col min="19" max="19" width="8.5703125" style="24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684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658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14.25" customHeight="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560" t="s">
        <v>15</v>
      </c>
      <c r="O9" s="560" t="s">
        <v>16</v>
      </c>
      <c r="P9" s="560" t="s">
        <v>15</v>
      </c>
      <c r="Q9" s="560" t="s">
        <v>16</v>
      </c>
      <c r="R9" s="560" t="s">
        <v>15</v>
      </c>
      <c r="S9" s="560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558" t="s">
        <v>685</v>
      </c>
      <c r="M10" s="559"/>
      <c r="N10" s="559"/>
      <c r="O10" s="559"/>
      <c r="P10" s="560"/>
      <c r="Q10" s="560"/>
      <c r="R10" s="560"/>
      <c r="S10" s="560"/>
      <c r="T10" s="799"/>
      <c r="U10" s="560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558" t="s">
        <v>19</v>
      </c>
      <c r="M11" s="559"/>
      <c r="N11" s="559"/>
      <c r="O11" s="559"/>
      <c r="P11" s="560"/>
      <c r="Q11" s="560"/>
      <c r="R11" s="560"/>
      <c r="S11" s="560"/>
      <c r="T11" s="799"/>
      <c r="U11" s="560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M14+M18+M76</f>
        <v>1836864000</v>
      </c>
      <c r="N12" s="5">
        <f>N14+N18+N76</f>
        <v>0</v>
      </c>
      <c r="O12" s="6">
        <f>N12/M12*100</f>
        <v>0</v>
      </c>
      <c r="P12" s="5">
        <f>P14+P18+P76</f>
        <v>80551540</v>
      </c>
      <c r="Q12" s="285">
        <f>P12/M12*100</f>
        <v>4.38527512107592</v>
      </c>
      <c r="R12" s="5">
        <f>R14+R18+R76</f>
        <v>80551540</v>
      </c>
      <c r="S12" s="285">
        <f>R12/M12*100</f>
        <v>4.38527512107592</v>
      </c>
      <c r="T12" s="800">
        <f>T14+T18+T76/3</f>
        <v>9.9883855981416936</v>
      </c>
      <c r="U12" s="12"/>
      <c r="V12" s="11"/>
    </row>
    <row r="13" spans="1:26" ht="6" customHeight="1">
      <c r="A13" s="561"/>
      <c r="B13" s="291"/>
      <c r="C13" s="291"/>
      <c r="D13" s="291"/>
      <c r="E13" s="291"/>
      <c r="F13" s="291"/>
      <c r="G13" s="292"/>
      <c r="H13" s="292"/>
      <c r="I13" s="292"/>
      <c r="J13" s="293"/>
      <c r="K13" s="295"/>
      <c r="L13" s="4"/>
      <c r="M13" s="5"/>
      <c r="N13" s="5"/>
      <c r="O13" s="5"/>
      <c r="P13" s="5"/>
      <c r="Q13" s="285"/>
      <c r="R13" s="5"/>
      <c r="S13" s="285"/>
      <c r="T13" s="800"/>
      <c r="U13" s="11"/>
      <c r="V13" s="11"/>
    </row>
    <row r="14" spans="1:26">
      <c r="A14" s="561">
        <v>1</v>
      </c>
      <c r="B14" s="291" t="s">
        <v>17</v>
      </c>
      <c r="C14" s="291" t="s">
        <v>18</v>
      </c>
      <c r="D14" s="292">
        <v>38</v>
      </c>
      <c r="E14" s="291" t="s">
        <v>25</v>
      </c>
      <c r="F14" s="292">
        <v>5</v>
      </c>
      <c r="G14" s="292">
        <v>2</v>
      </c>
      <c r="H14" s="292">
        <v>1</v>
      </c>
      <c r="I14" s="292"/>
      <c r="J14" s="293"/>
      <c r="K14" s="295" t="s">
        <v>22</v>
      </c>
      <c r="L14" s="7"/>
      <c r="M14" s="5">
        <f>M15</f>
        <v>1102118400</v>
      </c>
      <c r="N14" s="5">
        <f>N15</f>
        <v>0</v>
      </c>
      <c r="O14" s="6">
        <f>N14/M14*100</f>
        <v>0</v>
      </c>
      <c r="P14" s="5">
        <f>P15</f>
        <v>78188040</v>
      </c>
      <c r="Q14" s="285">
        <f>P14/M14*100</f>
        <v>7.0943412250444231</v>
      </c>
      <c r="R14" s="5">
        <f>R15</f>
        <v>78188040</v>
      </c>
      <c r="S14" s="285">
        <f>R14/M14*100</f>
        <v>7.0943412250444231</v>
      </c>
      <c r="T14" s="800">
        <f>T15</f>
        <v>8.3333333333333321</v>
      </c>
      <c r="U14" s="296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0</v>
      </c>
      <c r="O15" s="6">
        <f t="shared" ref="O15:O85" si="0">N15/M15*100</f>
        <v>0</v>
      </c>
      <c r="P15" s="5">
        <f>P16</f>
        <v>78188040</v>
      </c>
      <c r="Q15" s="285">
        <f t="shared" ref="Q15:Q85" si="1">P15/M15*100</f>
        <v>7.0943412250444231</v>
      </c>
      <c r="R15" s="17">
        <f t="shared" ref="R15:R85" si="2">N15+P15</f>
        <v>78188040</v>
      </c>
      <c r="S15" s="285">
        <f t="shared" ref="S15:S85" si="3">R15/M15*100</f>
        <v>7.0943412250444231</v>
      </c>
      <c r="T15" s="800">
        <f>T16</f>
        <v>8.3333333333333321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v>0</v>
      </c>
      <c r="O16" s="111">
        <f t="shared" si="0"/>
        <v>0</v>
      </c>
      <c r="P16" s="792">
        <v>78188040</v>
      </c>
      <c r="Q16" s="286">
        <f t="shared" si="1"/>
        <v>7.0943412250444231</v>
      </c>
      <c r="R16" s="19">
        <f t="shared" si="2"/>
        <v>78188040</v>
      </c>
      <c r="S16" s="286">
        <f t="shared" si="3"/>
        <v>7.0943412250444231</v>
      </c>
      <c r="T16" s="801">
        <f>1/12*100</f>
        <v>8.3333333333333321</v>
      </c>
      <c r="U16" s="11"/>
      <c r="V16" s="11"/>
    </row>
    <row r="17" spans="1:22" ht="6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5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N19+N32+N35+N46+N52+N54+N57+N59+N64+N68+N73</f>
        <v>0</v>
      </c>
      <c r="O18" s="6">
        <f t="shared" si="0"/>
        <v>0</v>
      </c>
      <c r="P18" s="5">
        <f>P19+P32+P35+P46+P52+P54+P57+P59+P64+P68+P73+P42+P50+P71+P40</f>
        <v>2363500</v>
      </c>
      <c r="Q18" s="285">
        <f t="shared" si="1"/>
        <v>0.38863556277668804</v>
      </c>
      <c r="R18" s="17">
        <f t="shared" si="2"/>
        <v>2363500</v>
      </c>
      <c r="S18" s="285">
        <f t="shared" si="3"/>
        <v>0.38863556277668804</v>
      </c>
      <c r="T18" s="800">
        <f>SUM(T20:T74)/41</f>
        <v>1.6550522648083621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0</v>
      </c>
      <c r="O19" s="6">
        <f t="shared" si="0"/>
        <v>0</v>
      </c>
      <c r="P19" s="5">
        <f>SUM(P20:P31)</f>
        <v>900000</v>
      </c>
      <c r="Q19" s="285">
        <f t="shared" si="1"/>
        <v>0.36636776484725725</v>
      </c>
      <c r="R19" s="17">
        <f>N19+P19</f>
        <v>900000</v>
      </c>
      <c r="S19" s="285">
        <f t="shared" si="3"/>
        <v>0.36636776484725725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v>0</v>
      </c>
      <c r="O20" s="111">
        <f t="shared" si="0"/>
        <v>0</v>
      </c>
      <c r="P20" s="115"/>
      <c r="Q20" s="286">
        <f t="shared" si="1"/>
        <v>0</v>
      </c>
      <c r="R20" s="19">
        <f t="shared" si="2"/>
        <v>0</v>
      </c>
      <c r="S20" s="286">
        <f t="shared" si="3"/>
        <v>0</v>
      </c>
      <c r="T20" s="801">
        <v>0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v>0</v>
      </c>
      <c r="O21" s="111">
        <f t="shared" si="0"/>
        <v>0</v>
      </c>
      <c r="P21" s="115"/>
      <c r="Q21" s="286">
        <f t="shared" si="1"/>
        <v>0</v>
      </c>
      <c r="R21" s="19">
        <f t="shared" si="2"/>
        <v>0</v>
      </c>
      <c r="S21" s="286">
        <f t="shared" si="3"/>
        <v>0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v>0</v>
      </c>
      <c r="O22" s="111">
        <f t="shared" si="0"/>
        <v>0</v>
      </c>
      <c r="P22" s="115">
        <v>900000</v>
      </c>
      <c r="Q22" s="286">
        <f t="shared" si="1"/>
        <v>42.857142857142854</v>
      </c>
      <c r="R22" s="19">
        <f t="shared" si="2"/>
        <v>900000</v>
      </c>
      <c r="S22" s="286">
        <f t="shared" si="3"/>
        <v>42.857142857142854</v>
      </c>
      <c r="T22" s="801">
        <f>S22</f>
        <v>42.857142857142854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/>
      <c r="O23" s="111">
        <f t="shared" si="0"/>
        <v>0</v>
      </c>
      <c r="P23" s="115"/>
      <c r="Q23" s="286">
        <f t="shared" si="1"/>
        <v>0</v>
      </c>
      <c r="R23" s="19">
        <f t="shared" si="2"/>
        <v>0</v>
      </c>
      <c r="S23" s="286">
        <f t="shared" si="3"/>
        <v>0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/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/>
      <c r="O25" s="111">
        <f t="shared" si="0"/>
        <v>0</v>
      </c>
      <c r="P25" s="115"/>
      <c r="Q25" s="286">
        <f t="shared" si="1"/>
        <v>0</v>
      </c>
      <c r="R25" s="19">
        <f t="shared" si="2"/>
        <v>0</v>
      </c>
      <c r="S25" s="286">
        <f t="shared" si="3"/>
        <v>0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v>0</v>
      </c>
      <c r="O26" s="111">
        <f t="shared" si="0"/>
        <v>0</v>
      </c>
      <c r="P26" s="115"/>
      <c r="Q26" s="286">
        <f t="shared" si="1"/>
        <v>0</v>
      </c>
      <c r="R26" s="19">
        <f t="shared" si="2"/>
        <v>0</v>
      </c>
      <c r="S26" s="286">
        <f t="shared" si="3"/>
        <v>0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/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/>
      <c r="O28" s="111">
        <f t="shared" si="0"/>
        <v>0</v>
      </c>
      <c r="P28" s="564"/>
      <c r="Q28" s="286">
        <f t="shared" si="1"/>
        <v>0</v>
      </c>
      <c r="R28" s="19">
        <f t="shared" si="2"/>
        <v>0</v>
      </c>
      <c r="S28" s="286">
        <f t="shared" si="3"/>
        <v>0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/>
      <c r="O29" s="111">
        <f t="shared" si="0"/>
        <v>0</v>
      </c>
      <c r="P29" s="564"/>
      <c r="Q29" s="286">
        <f t="shared" si="1"/>
        <v>0</v>
      </c>
      <c r="R29" s="19"/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/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/>
      <c r="O31" s="111">
        <f t="shared" si="0"/>
        <v>0</v>
      </c>
      <c r="P31" s="115"/>
      <c r="Q31" s="286">
        <f t="shared" si="1"/>
        <v>0</v>
      </c>
      <c r="R31" s="19">
        <f t="shared" si="2"/>
        <v>0</v>
      </c>
      <c r="S31" s="286">
        <f t="shared" si="3"/>
        <v>0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SUM(N34:N34)</f>
        <v>0</v>
      </c>
      <c r="O32" s="6">
        <f t="shared" si="0"/>
        <v>0</v>
      </c>
      <c r="P32" s="5">
        <f>SUM(P33:P34)</f>
        <v>960000</v>
      </c>
      <c r="Q32" s="285">
        <f t="shared" si="1"/>
        <v>1.5799868334430547</v>
      </c>
      <c r="R32" s="17">
        <f t="shared" si="2"/>
        <v>960000</v>
      </c>
      <c r="S32" s="285">
        <f t="shared" si="3"/>
        <v>1.5799868334430547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5"/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v>0</v>
      </c>
      <c r="O34" s="111">
        <f t="shared" si="0"/>
        <v>0</v>
      </c>
      <c r="P34" s="115">
        <v>960000</v>
      </c>
      <c r="Q34" s="286">
        <f t="shared" si="1"/>
        <v>6.5040650406504072</v>
      </c>
      <c r="R34" s="19">
        <f t="shared" si="2"/>
        <v>960000</v>
      </c>
      <c r="S34" s="286">
        <f t="shared" si="3"/>
        <v>6.5040650406504072</v>
      </c>
      <c r="T34" s="801">
        <f>1/12*100</f>
        <v>8.3333333333333321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0</v>
      </c>
      <c r="O35" s="6">
        <f t="shared" si="0"/>
        <v>0</v>
      </c>
      <c r="P35" s="5">
        <f>SUM(P36:P39)</f>
        <v>3500</v>
      </c>
      <c r="Q35" s="285">
        <f t="shared" si="1"/>
        <v>9.4187298170075352E-3</v>
      </c>
      <c r="R35" s="17">
        <f t="shared" si="2"/>
        <v>3500</v>
      </c>
      <c r="S35" s="285">
        <f t="shared" si="3"/>
        <v>9.4187298170075352E-3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v>0</v>
      </c>
      <c r="O37" s="111">
        <f t="shared" si="0"/>
        <v>0</v>
      </c>
      <c r="P37" s="115">
        <v>3500</v>
      </c>
      <c r="Q37" s="286">
        <f t="shared" si="1"/>
        <v>0.625</v>
      </c>
      <c r="R37" s="19">
        <f t="shared" si="2"/>
        <v>3500</v>
      </c>
      <c r="S37" s="286">
        <f t="shared" si="3"/>
        <v>0.625</v>
      </c>
      <c r="T37" s="801">
        <f>1/12*100</f>
        <v>8.3333333333333321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v>0</v>
      </c>
      <c r="O38" s="111">
        <f t="shared" si="0"/>
        <v>0</v>
      </c>
      <c r="P38" s="115"/>
      <c r="Q38" s="286">
        <f t="shared" si="1"/>
        <v>0</v>
      </c>
      <c r="R38" s="19">
        <f t="shared" si="2"/>
        <v>0</v>
      </c>
      <c r="S38" s="286">
        <f t="shared" si="3"/>
        <v>0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N41+N42+N43</f>
        <v>0</v>
      </c>
      <c r="O40" s="6">
        <f t="shared" si="0"/>
        <v>0</v>
      </c>
      <c r="P40" s="5">
        <f>P41+P42+P43</f>
        <v>0</v>
      </c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/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0</v>
      </c>
      <c r="O42" s="6">
        <f t="shared" ref="O42:O45" si="4">N42/M42*100</f>
        <v>0</v>
      </c>
      <c r="P42" s="5">
        <f>P43+P44+P45</f>
        <v>0</v>
      </c>
      <c r="Q42" s="285">
        <f t="shared" ref="Q42:Q45" si="5">P42/M42*100</f>
        <v>0</v>
      </c>
      <c r="R42" s="17">
        <f t="shared" ref="R42:R45" si="6">N42+P42</f>
        <v>0</v>
      </c>
      <c r="S42" s="285">
        <f t="shared" ref="S42:S45" si="7">R42/M42*100</f>
        <v>0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/>
      <c r="O43" s="111">
        <f t="shared" si="4"/>
        <v>0</v>
      </c>
      <c r="P43" s="115"/>
      <c r="Q43" s="286">
        <f t="shared" si="5"/>
        <v>0</v>
      </c>
      <c r="R43" s="19">
        <f t="shared" si="6"/>
        <v>0</v>
      </c>
      <c r="S43" s="286">
        <f t="shared" si="7"/>
        <v>0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v>0</v>
      </c>
      <c r="O44" s="111">
        <f t="shared" si="4"/>
        <v>0</v>
      </c>
      <c r="P44" s="116"/>
      <c r="Q44" s="286">
        <f t="shared" si="5"/>
        <v>0</v>
      </c>
      <c r="R44" s="19">
        <f t="shared" si="6"/>
        <v>0</v>
      </c>
      <c r="S44" s="286">
        <f t="shared" si="7"/>
        <v>0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v>0</v>
      </c>
      <c r="O45" s="111">
        <f t="shared" si="4"/>
        <v>0</v>
      </c>
      <c r="P45" s="116"/>
      <c r="Q45" s="286">
        <f t="shared" si="5"/>
        <v>0</v>
      </c>
      <c r="R45" s="19">
        <f t="shared" si="6"/>
        <v>0</v>
      </c>
      <c r="S45" s="286">
        <f t="shared" si="7"/>
        <v>0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0</v>
      </c>
      <c r="O46" s="6">
        <f t="shared" si="0"/>
        <v>0</v>
      </c>
      <c r="P46" s="5">
        <f>P47+P48+P49</f>
        <v>500000</v>
      </c>
      <c r="Q46" s="285">
        <f t="shared" si="1"/>
        <v>0.66110894414290522</v>
      </c>
      <c r="R46" s="17">
        <f t="shared" si="2"/>
        <v>500000</v>
      </c>
      <c r="S46" s="285">
        <f t="shared" si="3"/>
        <v>0.66110894414290522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/>
      <c r="O47" s="111">
        <f t="shared" si="0"/>
        <v>0</v>
      </c>
      <c r="P47" s="115"/>
      <c r="Q47" s="286">
        <f t="shared" si="1"/>
        <v>0</v>
      </c>
      <c r="R47" s="19">
        <f t="shared" si="2"/>
        <v>0</v>
      </c>
      <c r="S47" s="286">
        <f t="shared" si="3"/>
        <v>0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v>0</v>
      </c>
      <c r="O48" s="111">
        <f t="shared" si="0"/>
        <v>0</v>
      </c>
      <c r="P48" s="116">
        <v>500000</v>
      </c>
      <c r="Q48" s="286">
        <f t="shared" si="1"/>
        <v>5.9523809523809517</v>
      </c>
      <c r="R48" s="19">
        <f t="shared" si="2"/>
        <v>500000</v>
      </c>
      <c r="S48" s="286">
        <f t="shared" si="3"/>
        <v>5.9523809523809517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v>0</v>
      </c>
      <c r="O49" s="111">
        <f t="shared" si="0"/>
        <v>0</v>
      </c>
      <c r="P49" s="116"/>
      <c r="Q49" s="286">
        <f t="shared" si="1"/>
        <v>0</v>
      </c>
      <c r="R49" s="19">
        <f t="shared" si="2"/>
        <v>0</v>
      </c>
      <c r="S49" s="286">
        <f t="shared" si="3"/>
        <v>0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0</v>
      </c>
      <c r="O50" s="6">
        <f t="shared" ref="O50:O51" si="8">N50/M50*100</f>
        <v>0</v>
      </c>
      <c r="P50" s="114">
        <f>P51</f>
        <v>0</v>
      </c>
      <c r="Q50" s="285">
        <f t="shared" ref="Q50:Q51" si="9">P50/M50*100</f>
        <v>0</v>
      </c>
      <c r="R50" s="17">
        <f t="shared" ref="R50:R51" si="10">N50+P50</f>
        <v>0</v>
      </c>
      <c r="S50" s="285">
        <f t="shared" ref="S50:S51" si="11">R50/M50*100</f>
        <v>0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v>0</v>
      </c>
      <c r="O51" s="111">
        <f t="shared" si="8"/>
        <v>0</v>
      </c>
      <c r="P51" s="113"/>
      <c r="Q51" s="286">
        <f t="shared" si="9"/>
        <v>0</v>
      </c>
      <c r="R51" s="19">
        <f t="shared" si="10"/>
        <v>0</v>
      </c>
      <c r="S51" s="286">
        <f t="shared" si="11"/>
        <v>0</v>
      </c>
      <c r="T51" s="802">
        <v>0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0</v>
      </c>
      <c r="O54" s="6">
        <f t="shared" si="0"/>
        <v>0</v>
      </c>
      <c r="P54" s="17">
        <f>P55+P56</f>
        <v>0</v>
      </c>
      <c r="Q54" s="285">
        <f t="shared" si="1"/>
        <v>0</v>
      </c>
      <c r="R54" s="17">
        <f t="shared" si="2"/>
        <v>0</v>
      </c>
      <c r="S54" s="285">
        <f t="shared" si="3"/>
        <v>0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v>0</v>
      </c>
      <c r="O56" s="111">
        <f t="shared" si="0"/>
        <v>0</v>
      </c>
      <c r="P56" s="19"/>
      <c r="Q56" s="286">
        <f t="shared" si="1"/>
        <v>0</v>
      </c>
      <c r="R56" s="19">
        <f t="shared" si="2"/>
        <v>0</v>
      </c>
      <c r="S56" s="286">
        <f t="shared" si="3"/>
        <v>0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0</v>
      </c>
      <c r="O57" s="6">
        <f t="shared" si="0"/>
        <v>0</v>
      </c>
      <c r="P57" s="17">
        <f>P58</f>
        <v>0</v>
      </c>
      <c r="Q57" s="285">
        <f t="shared" si="1"/>
        <v>0</v>
      </c>
      <c r="R57" s="17">
        <f t="shared" si="2"/>
        <v>0</v>
      </c>
      <c r="S57" s="285">
        <f t="shared" si="3"/>
        <v>0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v>0</v>
      </c>
      <c r="O58" s="111">
        <f t="shared" si="0"/>
        <v>0</v>
      </c>
      <c r="P58" s="19"/>
      <c r="Q58" s="286">
        <f t="shared" si="1"/>
        <v>0</v>
      </c>
      <c r="R58" s="19">
        <f t="shared" si="2"/>
        <v>0</v>
      </c>
      <c r="S58" s="286">
        <f t="shared" si="3"/>
        <v>0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367</v>
      </c>
      <c r="L59" s="12"/>
      <c r="M59" s="17">
        <f>SUM(M60:M63)</f>
        <v>33500000</v>
      </c>
      <c r="N59" s="17">
        <f>SUM(N60:N63)</f>
        <v>0</v>
      </c>
      <c r="O59" s="6">
        <f t="shared" si="0"/>
        <v>0</v>
      </c>
      <c r="P59" s="17">
        <f>SUM(P60:P63)</f>
        <v>0</v>
      </c>
      <c r="Q59" s="285">
        <f t="shared" si="1"/>
        <v>0</v>
      </c>
      <c r="R59" s="17">
        <f t="shared" si="2"/>
        <v>0</v>
      </c>
      <c r="S59" s="285">
        <f t="shared" si="3"/>
        <v>0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/>
      <c r="O61" s="111">
        <f t="shared" si="0"/>
        <v>0</v>
      </c>
      <c r="P61" s="19"/>
      <c r="Q61" s="286">
        <f t="shared" si="1"/>
        <v>0</v>
      </c>
      <c r="R61" s="19">
        <f t="shared" si="2"/>
        <v>0</v>
      </c>
      <c r="S61" s="286">
        <f t="shared" si="3"/>
        <v>0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/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v>0</v>
      </c>
      <c r="O63" s="111">
        <f t="shared" si="0"/>
        <v>0</v>
      </c>
      <c r="P63" s="19"/>
      <c r="Q63" s="286">
        <f t="shared" si="1"/>
        <v>0</v>
      </c>
      <c r="R63" s="19">
        <f t="shared" si="2"/>
        <v>0</v>
      </c>
      <c r="S63" s="286">
        <f t="shared" si="3"/>
        <v>0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N67</f>
        <v>0</v>
      </c>
      <c r="O64" s="6">
        <f t="shared" si="0"/>
        <v>0</v>
      </c>
      <c r="P64" s="17">
        <f>P67</f>
        <v>0</v>
      </c>
      <c r="Q64" s="285">
        <f t="shared" si="1"/>
        <v>0</v>
      </c>
      <c r="R64" s="17">
        <f t="shared" si="2"/>
        <v>0</v>
      </c>
      <c r="S64" s="285">
        <f t="shared" si="3"/>
        <v>0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/>
      <c r="O65" s="111">
        <f t="shared" ref="O65:O66" si="12">N65/M65*100</f>
        <v>0</v>
      </c>
      <c r="P65" s="19"/>
      <c r="Q65" s="286">
        <f t="shared" ref="Q65:Q66" si="13">P65/M65*100</f>
        <v>0</v>
      </c>
      <c r="R65" s="19">
        <f t="shared" ref="R65:R66" si="14">N65+P65</f>
        <v>0</v>
      </c>
      <c r="S65" s="286">
        <f t="shared" ref="S65:S66" si="15">R65/M65*100</f>
        <v>0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/>
      <c r="O66" s="111">
        <f t="shared" si="12"/>
        <v>0</v>
      </c>
      <c r="P66" s="19"/>
      <c r="Q66" s="286">
        <f t="shared" si="13"/>
        <v>0</v>
      </c>
      <c r="R66" s="19">
        <f t="shared" si="14"/>
        <v>0</v>
      </c>
      <c r="S66" s="286">
        <f t="shared" si="15"/>
        <v>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/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0</v>
      </c>
      <c r="O68" s="6">
        <f t="shared" si="0"/>
        <v>0</v>
      </c>
      <c r="P68" s="17">
        <f>P69+P70</f>
        <v>0</v>
      </c>
      <c r="Q68" s="285">
        <f t="shared" si="1"/>
        <v>0</v>
      </c>
      <c r="R68" s="17">
        <f t="shared" si="2"/>
        <v>0</v>
      </c>
      <c r="S68" s="285">
        <f t="shared" si="3"/>
        <v>0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v>0</v>
      </c>
      <c r="O69" s="111">
        <f t="shared" si="0"/>
        <v>0</v>
      </c>
      <c r="P69" s="19"/>
      <c r="Q69" s="286">
        <f t="shared" si="1"/>
        <v>0</v>
      </c>
      <c r="R69" s="19">
        <f t="shared" si="2"/>
        <v>0</v>
      </c>
      <c r="S69" s="286">
        <f t="shared" si="3"/>
        <v>0</v>
      </c>
      <c r="T69" s="801">
        <v>0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v>0</v>
      </c>
      <c r="O70" s="111">
        <f t="shared" si="0"/>
        <v>0</v>
      </c>
      <c r="P70" s="19"/>
      <c r="Q70" s="286">
        <f t="shared" si="1"/>
        <v>0</v>
      </c>
      <c r="R70" s="19">
        <f t="shared" si="2"/>
        <v>0</v>
      </c>
      <c r="S70" s="286">
        <f t="shared" si="3"/>
        <v>0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0</v>
      </c>
      <c r="O71" s="6">
        <f t="shared" ref="O71:O72" si="16">N71/M71*100</f>
        <v>0</v>
      </c>
      <c r="P71" s="17">
        <f>P72</f>
        <v>0</v>
      </c>
      <c r="Q71" s="285">
        <f t="shared" ref="Q71:Q72" si="17">P71/M71*100</f>
        <v>0</v>
      </c>
      <c r="R71" s="17">
        <f t="shared" ref="R71:R72" si="18">N71+P71</f>
        <v>0</v>
      </c>
      <c r="S71" s="285">
        <f t="shared" ref="S71:S72" si="19">R71/M71*100</f>
        <v>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v>0</v>
      </c>
      <c r="O72" s="111">
        <f t="shared" si="16"/>
        <v>0</v>
      </c>
      <c r="P72" s="19"/>
      <c r="Q72" s="286">
        <f t="shared" si="17"/>
        <v>0</v>
      </c>
      <c r="R72" s="19">
        <f t="shared" si="18"/>
        <v>0</v>
      </c>
      <c r="S72" s="286">
        <f t="shared" si="19"/>
        <v>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0</v>
      </c>
      <c r="O73" s="6">
        <f t="shared" si="0"/>
        <v>0</v>
      </c>
      <c r="P73" s="17">
        <f>P74</f>
        <v>0</v>
      </c>
      <c r="Q73" s="285">
        <f t="shared" si="1"/>
        <v>0</v>
      </c>
      <c r="R73" s="17">
        <f t="shared" si="2"/>
        <v>0</v>
      </c>
      <c r="S73" s="285">
        <f t="shared" si="3"/>
        <v>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v>0</v>
      </c>
      <c r="O74" s="111">
        <f t="shared" si="0"/>
        <v>0</v>
      </c>
      <c r="P74" s="19"/>
      <c r="Q74" s="286">
        <f t="shared" si="1"/>
        <v>0</v>
      </c>
      <c r="R74" s="19">
        <f t="shared" si="2"/>
        <v>0</v>
      </c>
      <c r="S74" s="286">
        <f t="shared" si="3"/>
        <v>0</v>
      </c>
      <c r="T74" s="801">
        <v>0</v>
      </c>
      <c r="U74" s="11"/>
      <c r="V74" s="11"/>
    </row>
    <row r="75" spans="1:22" ht="6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5"/>
      <c r="O75" s="5"/>
      <c r="P75" s="5"/>
      <c r="Q75" s="285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0</v>
      </c>
      <c r="O76" s="6">
        <f t="shared" si="0"/>
        <v>0</v>
      </c>
      <c r="P76" s="17">
        <f>P77+P79+P82+P84+P86</f>
        <v>0</v>
      </c>
      <c r="Q76" s="285">
        <f t="shared" si="1"/>
        <v>0</v>
      </c>
      <c r="R76" s="17">
        <f t="shared" si="2"/>
        <v>0</v>
      </c>
      <c r="S76" s="285">
        <f t="shared" si="3"/>
        <v>0</v>
      </c>
      <c r="T76" s="800">
        <f>SUM(T78:T89)/8</f>
        <v>0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0</v>
      </c>
      <c r="O77" s="6">
        <f t="shared" si="0"/>
        <v>0</v>
      </c>
      <c r="P77" s="17">
        <f>P78</f>
        <v>0</v>
      </c>
      <c r="Q77" s="285">
        <f t="shared" si="1"/>
        <v>0</v>
      </c>
      <c r="R77" s="17">
        <f t="shared" si="2"/>
        <v>0</v>
      </c>
      <c r="S77" s="285">
        <f t="shared" si="3"/>
        <v>0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v>0</v>
      </c>
      <c r="O78" s="111">
        <f t="shared" si="0"/>
        <v>0</v>
      </c>
      <c r="P78" s="19"/>
      <c r="Q78" s="286">
        <f t="shared" si="1"/>
        <v>0</v>
      </c>
      <c r="R78" s="19">
        <f t="shared" si="2"/>
        <v>0</v>
      </c>
      <c r="S78" s="286">
        <f t="shared" si="3"/>
        <v>0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0</v>
      </c>
      <c r="O79" s="6">
        <f t="shared" si="0"/>
        <v>0</v>
      </c>
      <c r="P79" s="17">
        <f>SUM(P80:P81)</f>
        <v>0</v>
      </c>
      <c r="Q79" s="285">
        <f t="shared" si="1"/>
        <v>0</v>
      </c>
      <c r="R79" s="17">
        <f t="shared" si="2"/>
        <v>0</v>
      </c>
      <c r="S79" s="285">
        <f t="shared" si="3"/>
        <v>0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v>0</v>
      </c>
      <c r="O80" s="111">
        <f t="shared" si="0"/>
        <v>0</v>
      </c>
      <c r="P80" s="19"/>
      <c r="Q80" s="286">
        <f t="shared" si="1"/>
        <v>0</v>
      </c>
      <c r="R80" s="19">
        <f t="shared" si="2"/>
        <v>0</v>
      </c>
      <c r="S80" s="286">
        <f t="shared" si="3"/>
        <v>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/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/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/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SUM(N89:N90)</f>
        <v>0</v>
      </c>
      <c r="O86" s="6">
        <f>N86/M86*100</f>
        <v>0</v>
      </c>
      <c r="P86" s="17">
        <f>SUM(P89:P90)</f>
        <v>0</v>
      </c>
      <c r="Q86" s="285">
        <f>P86/M86*100</f>
        <v>0</v>
      </c>
      <c r="R86" s="17">
        <f>N86+P86</f>
        <v>0</v>
      </c>
      <c r="S86" s="285">
        <f>R86/M86*100</f>
        <v>0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/>
      <c r="O87" s="111">
        <f t="shared" ref="O87:O88" si="20">N87/M87*100</f>
        <v>0</v>
      </c>
      <c r="P87" s="19"/>
      <c r="Q87" s="286">
        <f t="shared" ref="Q87:Q88" si="21">P87/M87*100</f>
        <v>0</v>
      </c>
      <c r="R87" s="19">
        <f t="shared" ref="R87:R88" si="22">N87+P87</f>
        <v>0</v>
      </c>
      <c r="S87" s="286">
        <f t="shared" ref="S87:S88" si="23">R87/M87*100</f>
        <v>0</v>
      </c>
      <c r="T87" s="803">
        <v>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/>
      <c r="O88" s="111">
        <f t="shared" si="20"/>
        <v>0</v>
      </c>
      <c r="P88" s="19"/>
      <c r="Q88" s="286">
        <f t="shared" si="21"/>
        <v>0</v>
      </c>
      <c r="R88" s="19">
        <f t="shared" si="22"/>
        <v>0</v>
      </c>
      <c r="S88" s="286">
        <f t="shared" si="23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/>
      <c r="O89" s="111">
        <f>N89/M89*100</f>
        <v>0</v>
      </c>
      <c r="P89" s="19"/>
      <c r="Q89" s="286">
        <f>P89/M89*100</f>
        <v>0</v>
      </c>
      <c r="R89" s="19">
        <f>N89+P89</f>
        <v>0</v>
      </c>
      <c r="S89" s="286">
        <f>R89/M89*100</f>
        <v>0</v>
      </c>
      <c r="T89" s="803">
        <v>0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672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16.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16.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P8:Q8"/>
    <mergeCell ref="R8:S8"/>
    <mergeCell ref="A97:K97"/>
    <mergeCell ref="R97:U97"/>
    <mergeCell ref="A92:K92"/>
    <mergeCell ref="A93:K93"/>
    <mergeCell ref="R93:U93"/>
    <mergeCell ref="A96:K96"/>
    <mergeCell ref="R96:U96"/>
    <mergeCell ref="V6:V9"/>
    <mergeCell ref="R91:U91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N7:O7"/>
    <mergeCell ref="P7:Q7"/>
    <mergeCell ref="R7:S7"/>
    <mergeCell ref="N8:O8"/>
  </mergeCells>
  <pageMargins left="0.43307086614173229" right="0.23622047244094491" top="0.74803149606299213" bottom="0.23622047244094491" header="0.31496062992125984" footer="0.31496062992125984"/>
  <pageSetup paperSize="5" scale="57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2"/>
  <sheetViews>
    <sheetView view="pageBreakPreview" topLeftCell="H1" zoomScale="60" workbookViewId="0">
      <selection activeCell="L16" sqref="L16"/>
    </sheetView>
  </sheetViews>
  <sheetFormatPr defaultRowHeight="16.5"/>
  <cols>
    <col min="1" max="1" width="2.140625" style="24" bestFit="1" customWidth="1"/>
    <col min="2" max="5" width="3.28515625" style="24" bestFit="1" customWidth="1"/>
    <col min="6" max="7" width="2.140625" style="24" bestFit="1" customWidth="1"/>
    <col min="8" max="8" width="2.7109375" style="24" bestFit="1" customWidth="1"/>
    <col min="9" max="9" width="3.28515625" style="24" bestFit="1" customWidth="1"/>
    <col min="10" max="10" width="4" style="24" bestFit="1" customWidth="1"/>
    <col min="11" max="11" width="68" style="24" customWidth="1"/>
    <col min="12" max="12" width="10.85546875" style="24" customWidth="1"/>
    <col min="13" max="13" width="17.140625" style="24" customWidth="1"/>
    <col min="14" max="14" width="17.28515625" style="24" customWidth="1"/>
    <col min="15" max="15" width="8.5703125" style="24" customWidth="1"/>
    <col min="16" max="16" width="17.85546875" style="117" customWidth="1"/>
    <col min="17" max="17" width="10.140625" style="24" customWidth="1"/>
    <col min="18" max="18" width="17.5703125" style="24" customWidth="1"/>
    <col min="19" max="19" width="8.5703125" style="24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684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670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2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793" t="s">
        <v>15</v>
      </c>
      <c r="O9" s="793" t="s">
        <v>16</v>
      </c>
      <c r="P9" s="793" t="s">
        <v>15</v>
      </c>
      <c r="Q9" s="793" t="s">
        <v>16</v>
      </c>
      <c r="R9" s="794" t="s">
        <v>15</v>
      </c>
      <c r="S9" s="794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795" t="s">
        <v>685</v>
      </c>
      <c r="M10" s="796"/>
      <c r="N10" s="796"/>
      <c r="O10" s="796"/>
      <c r="P10" s="794"/>
      <c r="Q10" s="794"/>
      <c r="R10" s="794"/>
      <c r="S10" s="794"/>
      <c r="T10" s="799"/>
      <c r="U10" s="794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795" t="s">
        <v>19</v>
      </c>
      <c r="M11" s="796"/>
      <c r="N11" s="796"/>
      <c r="O11" s="796"/>
      <c r="P11" s="794"/>
      <c r="Q11" s="794"/>
      <c r="R11" s="794"/>
      <c r="S11" s="794"/>
      <c r="T11" s="799"/>
      <c r="U11" s="794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M13+M18+M76</f>
        <v>1836864000</v>
      </c>
      <c r="N12" s="5">
        <f>N13+N18+N76</f>
        <v>738839186</v>
      </c>
      <c r="O12" s="6">
        <f>N12/M12*100</f>
        <v>40.222857326399776</v>
      </c>
      <c r="P12" s="5">
        <f>P13+P18+P76</f>
        <v>90434030</v>
      </c>
      <c r="Q12" s="285">
        <f>P12/M12*100</f>
        <v>4.9232839230340408</v>
      </c>
      <c r="R12" s="5">
        <f>R13+R18+R76</f>
        <v>829273216</v>
      </c>
      <c r="S12" s="285">
        <f>R12/M12*100</f>
        <v>45.146141249433818</v>
      </c>
      <c r="T12" s="800">
        <f>T13+T18+T76/3</f>
        <v>10.481997677119626</v>
      </c>
      <c r="U12" s="12"/>
      <c r="V12" s="11"/>
    </row>
    <row r="13" spans="1:26">
      <c r="A13" s="561">
        <v>1</v>
      </c>
      <c r="B13" s="291" t="s">
        <v>17</v>
      </c>
      <c r="C13" s="291" t="s">
        <v>18</v>
      </c>
      <c r="D13" s="292">
        <v>38</v>
      </c>
      <c r="E13" s="291" t="s">
        <v>25</v>
      </c>
      <c r="F13" s="292">
        <v>5</v>
      </c>
      <c r="G13" s="292">
        <v>2</v>
      </c>
      <c r="H13" s="292">
        <v>1</v>
      </c>
      <c r="I13" s="292"/>
      <c r="J13" s="293"/>
      <c r="K13" s="295" t="s">
        <v>22</v>
      </c>
      <c r="L13" s="7"/>
      <c r="M13" s="5">
        <f>M15</f>
        <v>1102118400</v>
      </c>
      <c r="N13" s="5">
        <f>N15</f>
        <v>538756020</v>
      </c>
      <c r="O13" s="6">
        <f>N13/M13*100</f>
        <v>48.883678922337197</v>
      </c>
      <c r="P13" s="5">
        <f>P15</f>
        <v>74296080</v>
      </c>
      <c r="Q13" s="285">
        <f>P13/M13*100</f>
        <v>6.7412067523779662</v>
      </c>
      <c r="R13" s="5">
        <f>R15</f>
        <v>613052100</v>
      </c>
      <c r="S13" s="285">
        <f>R13/M13*100</f>
        <v>55.624885674715166</v>
      </c>
      <c r="T13" s="800">
        <f>T15</f>
        <v>8.3333333333333321</v>
      </c>
      <c r="U13" s="296"/>
      <c r="V13" s="11"/>
    </row>
    <row r="14" spans="1:26" ht="7.5" customHeight="1">
      <c r="A14" s="561"/>
      <c r="B14" s="291"/>
      <c r="C14" s="291"/>
      <c r="D14" s="291"/>
      <c r="E14" s="291"/>
      <c r="F14" s="291"/>
      <c r="G14" s="292"/>
      <c r="H14" s="292"/>
      <c r="I14" s="292"/>
      <c r="J14" s="293"/>
      <c r="K14" s="295"/>
      <c r="L14" s="4"/>
      <c r="M14" s="5"/>
      <c r="N14" s="5"/>
      <c r="O14" s="5"/>
      <c r="P14" s="5"/>
      <c r="Q14" s="286"/>
      <c r="R14" s="5"/>
      <c r="S14" s="285"/>
      <c r="T14" s="800"/>
      <c r="U14" s="11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538756020</v>
      </c>
      <c r="O15" s="6">
        <f t="shared" ref="O15:O85" si="0">N15/M15*100</f>
        <v>48.883678922337197</v>
      </c>
      <c r="P15" s="5">
        <f>P16</f>
        <v>74296080</v>
      </c>
      <c r="Q15" s="285">
        <f t="shared" ref="Q15:Q85" si="1">P15/M15*100</f>
        <v>6.7412067523779662</v>
      </c>
      <c r="R15" s="17">
        <f t="shared" ref="R15:R85" si="2">N15+P15</f>
        <v>613052100</v>
      </c>
      <c r="S15" s="285">
        <f t="shared" ref="S15:S85" si="3">R15/M15*100</f>
        <v>55.624885674715166</v>
      </c>
      <c r="T15" s="800">
        <f>T16</f>
        <v>8.3333333333333321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f>jul!R16</f>
        <v>538756020</v>
      </c>
      <c r="O16" s="111">
        <f t="shared" si="0"/>
        <v>48.883678922337197</v>
      </c>
      <c r="P16" s="9">
        <v>74296080</v>
      </c>
      <c r="Q16" s="286">
        <f t="shared" si="1"/>
        <v>6.7412067523779662</v>
      </c>
      <c r="R16" s="19">
        <f t="shared" si="2"/>
        <v>613052100</v>
      </c>
      <c r="S16" s="286">
        <f t="shared" si="3"/>
        <v>55.624885674715166</v>
      </c>
      <c r="T16" s="801">
        <f>1/12*100</f>
        <v>8.3333333333333321</v>
      </c>
      <c r="U16" s="11"/>
      <c r="V16" s="11"/>
    </row>
    <row r="17" spans="1:22" ht="7.5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6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N19+N32+N35+N46+N54+N57+N59+N64+N68+N73+N42+N50+N71+N40</f>
        <v>165210666</v>
      </c>
      <c r="O18" s="6">
        <f t="shared" si="0"/>
        <v>27.165957333455232</v>
      </c>
      <c r="P18" s="5">
        <f>P19+P32+P35+P46+P52+P54+P57+P59+P64+P68+P73</f>
        <v>16137950</v>
      </c>
      <c r="Q18" s="285">
        <f t="shared" si="1"/>
        <v>2.653599018536938</v>
      </c>
      <c r="R18" s="17">
        <f t="shared" si="2"/>
        <v>181348616</v>
      </c>
      <c r="S18" s="285">
        <f t="shared" si="3"/>
        <v>29.819556351992173</v>
      </c>
      <c r="T18" s="800">
        <f>SUM(T20:T74)/41</f>
        <v>2.1486643437862947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30726850</v>
      </c>
      <c r="O19" s="6">
        <f t="shared" si="0"/>
        <v>12.508141505885495</v>
      </c>
      <c r="P19" s="5">
        <f>SUM(P20:P31)</f>
        <v>14085050</v>
      </c>
      <c r="Q19" s="285">
        <f t="shared" si="1"/>
        <v>5.7336758736242892</v>
      </c>
      <c r="R19" s="17">
        <f>N19+P19</f>
        <v>44811900</v>
      </c>
      <c r="S19" s="285">
        <f t="shared" si="3"/>
        <v>18.241817379509783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f>jul!R20</f>
        <v>13994900</v>
      </c>
      <c r="O20" s="111">
        <f t="shared" si="0"/>
        <v>50.107412154759437</v>
      </c>
      <c r="P20" s="115">
        <v>12900000</v>
      </c>
      <c r="Q20" s="286">
        <f t="shared" si="1"/>
        <v>46.187226546556012</v>
      </c>
      <c r="R20" s="19">
        <f t="shared" si="2"/>
        <v>26894900</v>
      </c>
      <c r="S20" s="286">
        <f t="shared" si="3"/>
        <v>96.294638701315435</v>
      </c>
      <c r="T20" s="801">
        <v>0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f>jul!R21</f>
        <v>1698000</v>
      </c>
      <c r="O21" s="111">
        <f t="shared" si="0"/>
        <v>97.028571428571425</v>
      </c>
      <c r="P21" s="115"/>
      <c r="Q21" s="286">
        <f t="shared" si="1"/>
        <v>0</v>
      </c>
      <c r="R21" s="19">
        <f t="shared" si="2"/>
        <v>1698000</v>
      </c>
      <c r="S21" s="286">
        <f t="shared" si="3"/>
        <v>97.028571428571425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f>jul!R22</f>
        <v>1500000</v>
      </c>
      <c r="O22" s="111">
        <f t="shared" si="0"/>
        <v>71.428571428571431</v>
      </c>
      <c r="P22" s="115"/>
      <c r="Q22" s="286">
        <f t="shared" si="1"/>
        <v>0</v>
      </c>
      <c r="R22" s="19">
        <f t="shared" si="2"/>
        <v>1500000</v>
      </c>
      <c r="S22" s="286">
        <f t="shared" si="3"/>
        <v>71.428571428571431</v>
      </c>
      <c r="T22" s="801">
        <f>S22</f>
        <v>71.428571428571431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>
        <f>jul!R23</f>
        <v>8000000</v>
      </c>
      <c r="O23" s="111">
        <f t="shared" si="0"/>
        <v>98.461538461538467</v>
      </c>
      <c r="P23" s="115"/>
      <c r="Q23" s="286">
        <f t="shared" si="1"/>
        <v>0</v>
      </c>
      <c r="R23" s="19">
        <f t="shared" si="2"/>
        <v>8000000</v>
      </c>
      <c r="S23" s="286">
        <f t="shared" si="3"/>
        <v>98.461538461538467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>
        <f>jul!R24</f>
        <v>0</v>
      </c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>
        <f>jul!R25</f>
        <v>175000</v>
      </c>
      <c r="O25" s="111">
        <f t="shared" si="0"/>
        <v>17.5</v>
      </c>
      <c r="P25" s="115"/>
      <c r="Q25" s="286">
        <f t="shared" si="1"/>
        <v>0</v>
      </c>
      <c r="R25" s="19">
        <f t="shared" si="2"/>
        <v>175000</v>
      </c>
      <c r="S25" s="286">
        <f t="shared" si="3"/>
        <v>17.5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f>jul!R26</f>
        <v>3245950</v>
      </c>
      <c r="O26" s="111">
        <f t="shared" si="0"/>
        <v>18.133798882681564</v>
      </c>
      <c r="P26" s="115">
        <v>622300</v>
      </c>
      <c r="Q26" s="286">
        <f t="shared" si="1"/>
        <v>3.476536312849162</v>
      </c>
      <c r="R26" s="19">
        <f t="shared" si="2"/>
        <v>3868250</v>
      </c>
      <c r="S26" s="286">
        <f t="shared" si="3"/>
        <v>21.610335195530723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>
        <f>jul!R27</f>
        <v>0</v>
      </c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>
        <f>jul!R28</f>
        <v>1793000</v>
      </c>
      <c r="O28" s="111">
        <f t="shared" si="0"/>
        <v>28.015625</v>
      </c>
      <c r="P28" s="115">
        <v>162750</v>
      </c>
      <c r="Q28" s="286">
        <f t="shared" si="1"/>
        <v>2.54296875</v>
      </c>
      <c r="R28" s="19">
        <f t="shared" si="2"/>
        <v>1955750</v>
      </c>
      <c r="S28" s="286">
        <f t="shared" si="3"/>
        <v>30.55859375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>
        <f>jul!R29</f>
        <v>0</v>
      </c>
      <c r="O29" s="111">
        <f t="shared" si="0"/>
        <v>0</v>
      </c>
      <c r="P29" s="115">
        <v>400000</v>
      </c>
      <c r="Q29" s="286">
        <f t="shared" si="1"/>
        <v>100</v>
      </c>
      <c r="R29" s="19">
        <f t="shared" si="2"/>
        <v>400000</v>
      </c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>
        <f>jul!R30</f>
        <v>0</v>
      </c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>
        <f>jul!R31</f>
        <v>320000</v>
      </c>
      <c r="O31" s="111">
        <f t="shared" si="0"/>
        <v>3.7209302325581395</v>
      </c>
      <c r="P31" s="115"/>
      <c r="Q31" s="286">
        <f t="shared" si="1"/>
        <v>0</v>
      </c>
      <c r="R31" s="19">
        <f t="shared" si="2"/>
        <v>320000</v>
      </c>
      <c r="S31" s="286">
        <f t="shared" si="3"/>
        <v>3.7209302325581395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SUM(N33:N34)</f>
        <v>5434000</v>
      </c>
      <c r="O32" s="6">
        <f t="shared" si="0"/>
        <v>8.9433838051349586</v>
      </c>
      <c r="P32" s="5">
        <f>SUM(P34:P34)</f>
        <v>670000</v>
      </c>
      <c r="Q32" s="285">
        <f t="shared" si="1"/>
        <v>1.1026991441737986</v>
      </c>
      <c r="R32" s="17">
        <f t="shared" si="2"/>
        <v>6104000</v>
      </c>
      <c r="S32" s="285">
        <f t="shared" si="3"/>
        <v>10.046082949308756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9">
        <f>jul!R33</f>
        <v>0</v>
      </c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f>jul!R34</f>
        <v>5434000</v>
      </c>
      <c r="O34" s="111">
        <f t="shared" si="0"/>
        <v>36.815718157181571</v>
      </c>
      <c r="P34" s="115">
        <v>670000</v>
      </c>
      <c r="Q34" s="286">
        <f t="shared" si="1"/>
        <v>4.539295392953929</v>
      </c>
      <c r="R34" s="19">
        <f t="shared" si="2"/>
        <v>6104000</v>
      </c>
      <c r="S34" s="286">
        <f t="shared" si="3"/>
        <v>41.355013550135503</v>
      </c>
      <c r="T34" s="801">
        <f>1/12*100</f>
        <v>8.3333333333333321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1732100</v>
      </c>
      <c r="O35" s="6">
        <f t="shared" si="0"/>
        <v>4.661194833153929</v>
      </c>
      <c r="P35" s="5">
        <f>SUM(P36:P39)</f>
        <v>2900</v>
      </c>
      <c r="Q35" s="285">
        <f t="shared" si="1"/>
        <v>7.8040904198062432E-3</v>
      </c>
      <c r="R35" s="17">
        <f t="shared" si="2"/>
        <v>1735000</v>
      </c>
      <c r="S35" s="285">
        <f t="shared" si="3"/>
        <v>4.668998923573735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f>jul!R36</f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f>jul!R37</f>
        <v>112100</v>
      </c>
      <c r="O37" s="111">
        <f t="shared" si="0"/>
        <v>20.017857142857142</v>
      </c>
      <c r="P37" s="115">
        <v>2900</v>
      </c>
      <c r="Q37" s="286">
        <f t="shared" si="1"/>
        <v>0.51785714285714279</v>
      </c>
      <c r="R37" s="19">
        <f t="shared" si="2"/>
        <v>115000</v>
      </c>
      <c r="S37" s="286">
        <f t="shared" si="3"/>
        <v>20.535714285714285</v>
      </c>
      <c r="T37" s="801">
        <v>0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f>jul!R38</f>
        <v>1620000</v>
      </c>
      <c r="O38" s="111">
        <f t="shared" si="0"/>
        <v>16.2</v>
      </c>
      <c r="P38" s="115"/>
      <c r="Q38" s="286">
        <f t="shared" si="1"/>
        <v>0</v>
      </c>
      <c r="R38" s="19">
        <f t="shared" si="2"/>
        <v>1620000</v>
      </c>
      <c r="S38" s="286">
        <f t="shared" si="3"/>
        <v>16.2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f>jul!R39</f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</f>
        <v>0</v>
      </c>
      <c r="O40" s="6">
        <f t="shared" si="0"/>
        <v>0</v>
      </c>
      <c r="P40" s="5">
        <f>SUM(P41)</f>
        <v>0</v>
      </c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>
        <f>jul!R41</f>
        <v>0</v>
      </c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621000</v>
      </c>
      <c r="O42" s="6">
        <f t="shared" si="0"/>
        <v>5.447368421052631</v>
      </c>
      <c r="P42" s="5">
        <f>P43+P44+P45</f>
        <v>0</v>
      </c>
      <c r="Q42" s="285">
        <f t="shared" si="1"/>
        <v>0</v>
      </c>
      <c r="R42" s="17">
        <f t="shared" si="2"/>
        <v>621000</v>
      </c>
      <c r="S42" s="285">
        <f t="shared" si="3"/>
        <v>5.447368421052631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>
        <f>jul!R43</f>
        <v>520000</v>
      </c>
      <c r="O43" s="111">
        <f t="shared" si="0"/>
        <v>18.571428571428573</v>
      </c>
      <c r="P43" s="115"/>
      <c r="Q43" s="286">
        <f t="shared" si="1"/>
        <v>0</v>
      </c>
      <c r="R43" s="19">
        <f t="shared" si="2"/>
        <v>520000</v>
      </c>
      <c r="S43" s="286">
        <f t="shared" si="3"/>
        <v>18.571428571428573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f>jul!R44</f>
        <v>101000</v>
      </c>
      <c r="O44" s="111">
        <f t="shared" si="0"/>
        <v>1.4852941176470589</v>
      </c>
      <c r="P44" s="116"/>
      <c r="Q44" s="286">
        <f t="shared" si="1"/>
        <v>0</v>
      </c>
      <c r="R44" s="19">
        <f t="shared" si="2"/>
        <v>101000</v>
      </c>
      <c r="S44" s="286">
        <f t="shared" si="3"/>
        <v>1.4852941176470589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f>jul!R45</f>
        <v>0</v>
      </c>
      <c r="O45" s="111">
        <f t="shared" si="0"/>
        <v>0</v>
      </c>
      <c r="P45" s="116"/>
      <c r="Q45" s="286">
        <f t="shared" si="1"/>
        <v>0</v>
      </c>
      <c r="R45" s="19">
        <f t="shared" si="2"/>
        <v>0</v>
      </c>
      <c r="S45" s="286">
        <f t="shared" si="3"/>
        <v>0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66500000</v>
      </c>
      <c r="O46" s="6">
        <f t="shared" si="0"/>
        <v>87.927489571006404</v>
      </c>
      <c r="P46" s="5">
        <f>P47+P48+P49</f>
        <v>880000</v>
      </c>
      <c r="Q46" s="285">
        <f t="shared" si="1"/>
        <v>1.1635517416915133</v>
      </c>
      <c r="R46" s="17">
        <f t="shared" si="2"/>
        <v>67380000</v>
      </c>
      <c r="S46" s="285">
        <f t="shared" si="3"/>
        <v>89.091041312697911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>
        <f>jul!R47</f>
        <v>63500000</v>
      </c>
      <c r="O47" s="111">
        <f t="shared" si="0"/>
        <v>96.606598154585768</v>
      </c>
      <c r="P47" s="115"/>
      <c r="Q47" s="286">
        <f t="shared" si="1"/>
        <v>0</v>
      </c>
      <c r="R47" s="19">
        <f t="shared" si="2"/>
        <v>63500000</v>
      </c>
      <c r="S47" s="286">
        <f t="shared" si="3"/>
        <v>96.606598154585768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f>jul!R48</f>
        <v>3000000</v>
      </c>
      <c r="O48" s="111">
        <f t="shared" si="0"/>
        <v>35.714285714285715</v>
      </c>
      <c r="P48" s="116">
        <v>600000</v>
      </c>
      <c r="Q48" s="286">
        <f t="shared" si="1"/>
        <v>7.1428571428571423</v>
      </c>
      <c r="R48" s="19">
        <f t="shared" si="2"/>
        <v>3600000</v>
      </c>
      <c r="S48" s="286">
        <f t="shared" si="3"/>
        <v>42.857142857142854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f>jul!R49</f>
        <v>0</v>
      </c>
      <c r="O49" s="111">
        <f t="shared" si="0"/>
        <v>0</v>
      </c>
      <c r="P49" s="116">
        <v>280000</v>
      </c>
      <c r="Q49" s="286">
        <f t="shared" si="1"/>
        <v>18.666666666666668</v>
      </c>
      <c r="R49" s="19">
        <f t="shared" si="2"/>
        <v>280000</v>
      </c>
      <c r="S49" s="286">
        <f t="shared" si="3"/>
        <v>18.666666666666668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6500000</v>
      </c>
      <c r="O50" s="6">
        <f t="shared" si="0"/>
        <v>24.95201535508637</v>
      </c>
      <c r="P50" s="114">
        <f>P51</f>
        <v>0</v>
      </c>
      <c r="Q50" s="285">
        <f t="shared" si="1"/>
        <v>0</v>
      </c>
      <c r="R50" s="17">
        <f t="shared" si="2"/>
        <v>6500000</v>
      </c>
      <c r="S50" s="285">
        <f t="shared" si="3"/>
        <v>24.95201535508637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f>jul!R51</f>
        <v>6500000</v>
      </c>
      <c r="O51" s="111">
        <f t="shared" si="0"/>
        <v>24.95201535508637</v>
      </c>
      <c r="P51" s="113"/>
      <c r="Q51" s="286">
        <f t="shared" si="1"/>
        <v>0</v>
      </c>
      <c r="R51" s="19">
        <f t="shared" si="2"/>
        <v>6500000</v>
      </c>
      <c r="S51" s="286">
        <f t="shared" si="3"/>
        <v>24.95201535508637</v>
      </c>
      <c r="T51" s="802">
        <v>0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f>jul!R53</f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6196716</v>
      </c>
      <c r="O54" s="6">
        <f t="shared" si="0"/>
        <v>29.510981998285551</v>
      </c>
      <c r="P54" s="17">
        <f>P55+P56</f>
        <v>0</v>
      </c>
      <c r="Q54" s="285">
        <f t="shared" si="1"/>
        <v>0</v>
      </c>
      <c r="R54" s="17">
        <f t="shared" si="2"/>
        <v>6196716</v>
      </c>
      <c r="S54" s="285">
        <f t="shared" si="3"/>
        <v>29.510981998285551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f>jul!R55</f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f>jul!R56</f>
        <v>6196716</v>
      </c>
      <c r="O56" s="111">
        <f t="shared" si="0"/>
        <v>37.56040732209965</v>
      </c>
      <c r="P56" s="19"/>
      <c r="Q56" s="286">
        <f t="shared" si="1"/>
        <v>0</v>
      </c>
      <c r="R56" s="19">
        <f t="shared" si="2"/>
        <v>6196716</v>
      </c>
      <c r="S56" s="286">
        <f t="shared" si="3"/>
        <v>37.56040732209965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10000000</v>
      </c>
      <c r="O57" s="6">
        <f t="shared" si="0"/>
        <v>35.714285714285715</v>
      </c>
      <c r="P57" s="17">
        <f>P58</f>
        <v>0</v>
      </c>
      <c r="Q57" s="285">
        <f t="shared" si="1"/>
        <v>0</v>
      </c>
      <c r="R57" s="17">
        <f t="shared" si="2"/>
        <v>10000000</v>
      </c>
      <c r="S57" s="285">
        <f t="shared" si="3"/>
        <v>35.714285714285715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f>jul!R58</f>
        <v>10000000</v>
      </c>
      <c r="O58" s="111">
        <f t="shared" si="0"/>
        <v>35.714285714285715</v>
      </c>
      <c r="P58" s="19"/>
      <c r="Q58" s="286">
        <f t="shared" si="1"/>
        <v>0</v>
      </c>
      <c r="R58" s="19">
        <f t="shared" si="2"/>
        <v>10000000</v>
      </c>
      <c r="S58" s="286">
        <f t="shared" si="3"/>
        <v>35.714285714285715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688</v>
      </c>
      <c r="L59" s="12"/>
      <c r="M59" s="17">
        <f>SUM(M60:M63)</f>
        <v>33500000</v>
      </c>
      <c r="N59" s="17">
        <f>SUM(N60:N63)</f>
        <v>13950000</v>
      </c>
      <c r="O59" s="6">
        <f t="shared" si="0"/>
        <v>41.64179104477612</v>
      </c>
      <c r="P59" s="17">
        <f>SUM(P60:P63)</f>
        <v>500000</v>
      </c>
      <c r="Q59" s="285">
        <f t="shared" si="1"/>
        <v>1.4925373134328357</v>
      </c>
      <c r="R59" s="17">
        <f t="shared" si="2"/>
        <v>14450000</v>
      </c>
      <c r="S59" s="285">
        <f t="shared" si="3"/>
        <v>43.134328358208954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f>jul!R60</f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>
        <f>jul!R61</f>
        <v>10450000</v>
      </c>
      <c r="O61" s="111">
        <f t="shared" si="0"/>
        <v>99.523809523809518</v>
      </c>
      <c r="P61" s="19"/>
      <c r="Q61" s="286">
        <f t="shared" si="1"/>
        <v>0</v>
      </c>
      <c r="R61" s="19">
        <f t="shared" si="2"/>
        <v>10450000</v>
      </c>
      <c r="S61" s="286">
        <f t="shared" si="3"/>
        <v>99.523809523809518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>
        <f>jul!R62</f>
        <v>0</v>
      </c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f>jul!R63</f>
        <v>3500000</v>
      </c>
      <c r="O63" s="111">
        <f t="shared" si="0"/>
        <v>31.818181818181817</v>
      </c>
      <c r="P63" s="19">
        <v>500000</v>
      </c>
      <c r="Q63" s="286">
        <f t="shared" si="1"/>
        <v>4.5454545454545459</v>
      </c>
      <c r="R63" s="19">
        <f t="shared" si="2"/>
        <v>4000000</v>
      </c>
      <c r="S63" s="286">
        <f t="shared" si="3"/>
        <v>36.363636363636367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SUM(N65:N67)</f>
        <v>6300000</v>
      </c>
      <c r="O64" s="6">
        <f t="shared" si="0"/>
        <v>66.315789473684205</v>
      </c>
      <c r="P64" s="17">
        <f>P67</f>
        <v>0</v>
      </c>
      <c r="Q64" s="285">
        <f t="shared" si="1"/>
        <v>0</v>
      </c>
      <c r="R64" s="17">
        <f t="shared" si="2"/>
        <v>6300000</v>
      </c>
      <c r="S64" s="285">
        <f t="shared" si="3"/>
        <v>66.315789473684205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>
        <f>jul!R65</f>
        <v>1300000</v>
      </c>
      <c r="O65" s="111">
        <f t="shared" si="0"/>
        <v>43.333333333333336</v>
      </c>
      <c r="P65" s="19"/>
      <c r="Q65" s="286">
        <f t="shared" si="1"/>
        <v>0</v>
      </c>
      <c r="R65" s="19">
        <f t="shared" si="2"/>
        <v>1300000</v>
      </c>
      <c r="S65" s="286">
        <f t="shared" si="3"/>
        <v>43.333333333333336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>
        <f>jul!R66</f>
        <v>5000000</v>
      </c>
      <c r="O66" s="111">
        <f t="shared" si="0"/>
        <v>100</v>
      </c>
      <c r="P66" s="19"/>
      <c r="Q66" s="286">
        <f t="shared" si="1"/>
        <v>0</v>
      </c>
      <c r="R66" s="19">
        <f t="shared" si="2"/>
        <v>5000000</v>
      </c>
      <c r="S66" s="286">
        <f t="shared" si="3"/>
        <v>100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>
        <f>jul!R67</f>
        <v>0</v>
      </c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 ht="33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10750000</v>
      </c>
      <c r="O68" s="6">
        <f t="shared" si="0"/>
        <v>31.617647058823529</v>
      </c>
      <c r="P68" s="17">
        <f>P69+P70</f>
        <v>0</v>
      </c>
      <c r="Q68" s="285">
        <f t="shared" si="1"/>
        <v>0</v>
      </c>
      <c r="R68" s="17">
        <f t="shared" si="2"/>
        <v>10750000</v>
      </c>
      <c r="S68" s="285">
        <f t="shared" si="3"/>
        <v>31.617647058823529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f>jul!R69</f>
        <v>750000</v>
      </c>
      <c r="O69" s="111">
        <f t="shared" si="0"/>
        <v>5.2083333333333339</v>
      </c>
      <c r="P69" s="19"/>
      <c r="Q69" s="286">
        <f t="shared" si="1"/>
        <v>0</v>
      </c>
      <c r="R69" s="19">
        <f t="shared" si="2"/>
        <v>750000</v>
      </c>
      <c r="S69" s="286">
        <f t="shared" si="3"/>
        <v>5.2083333333333339</v>
      </c>
      <c r="T69" s="801">
        <v>0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f>jul!R70</f>
        <v>10000000</v>
      </c>
      <c r="O70" s="111">
        <f t="shared" si="0"/>
        <v>51.020408163265309</v>
      </c>
      <c r="P70" s="19"/>
      <c r="Q70" s="286">
        <f t="shared" si="1"/>
        <v>0</v>
      </c>
      <c r="R70" s="19">
        <f t="shared" si="2"/>
        <v>10000000</v>
      </c>
      <c r="S70" s="286">
        <f t="shared" si="3"/>
        <v>51.020408163265309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6000000</v>
      </c>
      <c r="O71" s="6">
        <f t="shared" si="0"/>
        <v>50</v>
      </c>
      <c r="P71" s="17">
        <f>P72</f>
        <v>0</v>
      </c>
      <c r="Q71" s="285">
        <f t="shared" si="1"/>
        <v>0</v>
      </c>
      <c r="R71" s="17">
        <f t="shared" si="2"/>
        <v>6000000</v>
      </c>
      <c r="S71" s="285">
        <f t="shared" si="3"/>
        <v>50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f>jul!R72</f>
        <v>6000000</v>
      </c>
      <c r="O72" s="111">
        <f t="shared" si="0"/>
        <v>50</v>
      </c>
      <c r="P72" s="19"/>
      <c r="Q72" s="286">
        <f t="shared" si="1"/>
        <v>0</v>
      </c>
      <c r="R72" s="19">
        <f t="shared" si="2"/>
        <v>6000000</v>
      </c>
      <c r="S72" s="286">
        <f t="shared" si="3"/>
        <v>50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500000</v>
      </c>
      <c r="O73" s="6">
        <f t="shared" si="0"/>
        <v>100</v>
      </c>
      <c r="P73" s="17">
        <f>P74</f>
        <v>0</v>
      </c>
      <c r="Q73" s="285">
        <f t="shared" si="1"/>
        <v>0</v>
      </c>
      <c r="R73" s="17">
        <f t="shared" si="2"/>
        <v>500000</v>
      </c>
      <c r="S73" s="285">
        <f t="shared" si="3"/>
        <v>100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f>jul!R74</f>
        <v>500000</v>
      </c>
      <c r="O74" s="111">
        <f t="shared" si="0"/>
        <v>100</v>
      </c>
      <c r="P74" s="19"/>
      <c r="Q74" s="286">
        <f t="shared" si="1"/>
        <v>0</v>
      </c>
      <c r="R74" s="19">
        <f t="shared" si="2"/>
        <v>500000</v>
      </c>
      <c r="S74" s="286">
        <f t="shared" si="3"/>
        <v>100</v>
      </c>
      <c r="T74" s="801">
        <v>0</v>
      </c>
      <c r="U74" s="11"/>
      <c r="V74" s="11"/>
    </row>
    <row r="75" spans="1:22" ht="7.5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9">
        <f>jul!R75</f>
        <v>0</v>
      </c>
      <c r="O75" s="5"/>
      <c r="P75" s="5"/>
      <c r="Q75" s="286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34872500</v>
      </c>
      <c r="O76" s="6">
        <f t="shared" si="0"/>
        <v>27.547094096560375</v>
      </c>
      <c r="P76" s="17">
        <f>P77+P79+P82+P84+P86</f>
        <v>0</v>
      </c>
      <c r="Q76" s="285">
        <f t="shared" si="1"/>
        <v>0</v>
      </c>
      <c r="R76" s="17">
        <f t="shared" si="2"/>
        <v>34872500</v>
      </c>
      <c r="S76" s="285">
        <f t="shared" si="3"/>
        <v>27.547094096560375</v>
      </c>
      <c r="T76" s="800">
        <f>SUM(T78:T89)/8</f>
        <v>0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9985000</v>
      </c>
      <c r="O77" s="6">
        <f t="shared" si="0"/>
        <v>90.772727272727266</v>
      </c>
      <c r="P77" s="17">
        <f>P78</f>
        <v>0</v>
      </c>
      <c r="Q77" s="285">
        <f t="shared" si="1"/>
        <v>0</v>
      </c>
      <c r="R77" s="17">
        <f t="shared" si="2"/>
        <v>9985000</v>
      </c>
      <c r="S77" s="285">
        <f t="shared" si="3"/>
        <v>90.772727272727266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f>jul!R78</f>
        <v>9985000</v>
      </c>
      <c r="O78" s="111">
        <f t="shared" si="0"/>
        <v>90.772727272727266</v>
      </c>
      <c r="P78" s="19"/>
      <c r="Q78" s="286">
        <f t="shared" si="1"/>
        <v>0</v>
      </c>
      <c r="R78" s="19">
        <f t="shared" si="2"/>
        <v>9985000</v>
      </c>
      <c r="S78" s="286">
        <f t="shared" si="3"/>
        <v>90.772727272727266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15000000</v>
      </c>
      <c r="O79" s="6">
        <f t="shared" si="0"/>
        <v>73.170731707317074</v>
      </c>
      <c r="P79" s="17">
        <f>SUM(P80:P81)</f>
        <v>0</v>
      </c>
      <c r="Q79" s="285">
        <f t="shared" si="1"/>
        <v>0</v>
      </c>
      <c r="R79" s="17">
        <f t="shared" si="2"/>
        <v>15000000</v>
      </c>
      <c r="S79" s="285">
        <f t="shared" si="3"/>
        <v>73.170731707317074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f>jul!R80</f>
        <v>15000000</v>
      </c>
      <c r="O80" s="111">
        <f t="shared" si="0"/>
        <v>100</v>
      </c>
      <c r="P80" s="19"/>
      <c r="Q80" s="286">
        <f t="shared" si="1"/>
        <v>0</v>
      </c>
      <c r="R80" s="19">
        <f t="shared" si="2"/>
        <v>15000000</v>
      </c>
      <c r="S80" s="286">
        <f t="shared" si="3"/>
        <v>100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>
        <f>jul!R81</f>
        <v>0</v>
      </c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>
        <f>jul!R83</f>
        <v>0</v>
      </c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>
        <f>jul!R85</f>
        <v>0</v>
      </c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SUM(N87:N89)</f>
        <v>9887500</v>
      </c>
      <c r="O86" s="6">
        <f>N86/M86*100</f>
        <v>39.294272872148063</v>
      </c>
      <c r="P86" s="17">
        <f>SUM(P89:P90)</f>
        <v>0</v>
      </c>
      <c r="Q86" s="285">
        <f>P86/M86*100</f>
        <v>0</v>
      </c>
      <c r="R86" s="17">
        <f>N86+P86</f>
        <v>9887500</v>
      </c>
      <c r="S86" s="285">
        <f>R86/M86*100</f>
        <v>39.294272872148063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>
        <f>jul!R87</f>
        <v>7987500</v>
      </c>
      <c r="O87" s="111">
        <f t="shared" ref="O87:O88" si="4">N87/M87*100</f>
        <v>97.853651365357052</v>
      </c>
      <c r="P87" s="19"/>
      <c r="Q87" s="286">
        <f t="shared" ref="Q87:Q88" si="5">P87/M87*100</f>
        <v>0</v>
      </c>
      <c r="R87" s="19">
        <f t="shared" ref="R87:R88" si="6">N87+P87</f>
        <v>7987500</v>
      </c>
      <c r="S87" s="286">
        <f t="shared" ref="S87:S88" si="7">R87/M87*100</f>
        <v>97.853651365357052</v>
      </c>
      <c r="T87" s="803">
        <v>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>
        <f>jul!R88</f>
        <v>0</v>
      </c>
      <c r="O88" s="111">
        <f t="shared" si="4"/>
        <v>0</v>
      </c>
      <c r="P88" s="19"/>
      <c r="Q88" s="286">
        <f t="shared" si="5"/>
        <v>0</v>
      </c>
      <c r="R88" s="19">
        <f t="shared" si="6"/>
        <v>0</v>
      </c>
      <c r="S88" s="286">
        <f t="shared" si="7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>
        <f>jul!R89</f>
        <v>1900000</v>
      </c>
      <c r="O89" s="111">
        <f>N89/M89*100</f>
        <v>95</v>
      </c>
      <c r="P89" s="19"/>
      <c r="Q89" s="286">
        <f>P89/M89*100</f>
        <v>0</v>
      </c>
      <c r="R89" s="19">
        <f>N89+P89</f>
        <v>1900000</v>
      </c>
      <c r="S89" s="286">
        <f>R89/M89*100</f>
        <v>95</v>
      </c>
      <c r="T89" s="803">
        <v>0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679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21.7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21.7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</mergeCells>
  <pageMargins left="0.45" right="0.25" top="0.75" bottom="0.25" header="0.3" footer="0.3"/>
  <pageSetup paperSize="5" scale="57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42"/>
  <sheetViews>
    <sheetView view="pageBreakPreview" topLeftCell="J13" zoomScale="60" workbookViewId="0">
      <selection activeCell="P44" sqref="P44"/>
    </sheetView>
  </sheetViews>
  <sheetFormatPr defaultRowHeight="16.5"/>
  <cols>
    <col min="1" max="1" width="2.140625" style="24" bestFit="1" customWidth="1"/>
    <col min="2" max="5" width="3.28515625" style="24" bestFit="1" customWidth="1"/>
    <col min="6" max="8" width="2.140625" style="24" bestFit="1" customWidth="1"/>
    <col min="9" max="9" width="3.28515625" style="24" bestFit="1" customWidth="1"/>
    <col min="10" max="10" width="4" style="24" bestFit="1" customWidth="1"/>
    <col min="11" max="11" width="68.28515625" style="24" customWidth="1"/>
    <col min="12" max="12" width="10.85546875" style="24" customWidth="1"/>
    <col min="13" max="13" width="17.140625" style="24" customWidth="1"/>
    <col min="14" max="14" width="17.28515625" style="24" customWidth="1"/>
    <col min="15" max="15" width="8.5703125" style="24" customWidth="1"/>
    <col min="16" max="16" width="17.85546875" style="117" customWidth="1"/>
    <col min="17" max="17" width="10.140625" style="24" customWidth="1"/>
    <col min="18" max="18" width="17.5703125" style="24" customWidth="1"/>
    <col min="19" max="19" width="8.5703125" style="24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684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669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2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793" t="s">
        <v>15</v>
      </c>
      <c r="O9" s="793" t="s">
        <v>16</v>
      </c>
      <c r="P9" s="793" t="s">
        <v>15</v>
      </c>
      <c r="Q9" s="793" t="s">
        <v>16</v>
      </c>
      <c r="R9" s="794" t="s">
        <v>15</v>
      </c>
      <c r="S9" s="794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795" t="s">
        <v>685</v>
      </c>
      <c r="M10" s="796"/>
      <c r="N10" s="796"/>
      <c r="O10" s="796"/>
      <c r="P10" s="794"/>
      <c r="Q10" s="794"/>
      <c r="R10" s="794"/>
      <c r="S10" s="794"/>
      <c r="T10" s="799"/>
      <c r="U10" s="794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795" t="s">
        <v>19</v>
      </c>
      <c r="M11" s="796"/>
      <c r="N11" s="796"/>
      <c r="O11" s="796"/>
      <c r="P11" s="794"/>
      <c r="Q11" s="794"/>
      <c r="R11" s="794"/>
      <c r="S11" s="794"/>
      <c r="T11" s="799"/>
      <c r="U11" s="794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M13+M18+M76</f>
        <v>1836864000</v>
      </c>
      <c r="N12" s="5">
        <f>N13+N18+N76</f>
        <v>829273216</v>
      </c>
      <c r="O12" s="6">
        <f>N12/M12*100</f>
        <v>45.146141249433818</v>
      </c>
      <c r="P12" s="5">
        <f>P13+P18+P76</f>
        <v>79138735</v>
      </c>
      <c r="Q12" s="285">
        <f>P12/M12*100</f>
        <v>4.3083611524859764</v>
      </c>
      <c r="R12" s="5">
        <f>R13+R18+R76</f>
        <v>908411951</v>
      </c>
      <c r="S12" s="285">
        <f>R12/M12*100</f>
        <v>49.45450240191979</v>
      </c>
      <c r="T12" s="800">
        <f>T13+T18+T76/3</f>
        <v>10.481997677119626</v>
      </c>
      <c r="U12" s="12"/>
      <c r="V12" s="11"/>
    </row>
    <row r="13" spans="1:26">
      <c r="A13" s="561">
        <v>1</v>
      </c>
      <c r="B13" s="291" t="s">
        <v>17</v>
      </c>
      <c r="C13" s="291" t="s">
        <v>18</v>
      </c>
      <c r="D13" s="292">
        <v>38</v>
      </c>
      <c r="E13" s="291" t="s">
        <v>25</v>
      </c>
      <c r="F13" s="292">
        <v>5</v>
      </c>
      <c r="G13" s="292">
        <v>2</v>
      </c>
      <c r="H13" s="292">
        <v>1</v>
      </c>
      <c r="I13" s="292"/>
      <c r="J13" s="293"/>
      <c r="K13" s="295" t="s">
        <v>22</v>
      </c>
      <c r="L13" s="7"/>
      <c r="M13" s="5">
        <f>M15</f>
        <v>1102118400</v>
      </c>
      <c r="N13" s="5">
        <f>N15</f>
        <v>613052100</v>
      </c>
      <c r="O13" s="6">
        <f>N13/M13*100</f>
        <v>55.624885674715166</v>
      </c>
      <c r="P13" s="5">
        <f>P15</f>
        <v>71060760</v>
      </c>
      <c r="Q13" s="285">
        <f>P13/M13*100</f>
        <v>6.4476520852931953</v>
      </c>
      <c r="R13" s="5">
        <f>R15</f>
        <v>684112860</v>
      </c>
      <c r="S13" s="285">
        <f>R13/M13*100</f>
        <v>62.072537760008359</v>
      </c>
      <c r="T13" s="800">
        <f>T15</f>
        <v>8.3333333333333321</v>
      </c>
      <c r="U13" s="296"/>
      <c r="V13" s="11"/>
    </row>
    <row r="14" spans="1:26" ht="7.5" customHeight="1">
      <c r="A14" s="561"/>
      <c r="B14" s="291"/>
      <c r="C14" s="291"/>
      <c r="D14" s="291"/>
      <c r="E14" s="291"/>
      <c r="F14" s="291"/>
      <c r="G14" s="292"/>
      <c r="H14" s="292"/>
      <c r="I14" s="292"/>
      <c r="J14" s="293"/>
      <c r="K14" s="295"/>
      <c r="L14" s="4"/>
      <c r="M14" s="5"/>
      <c r="N14" s="5"/>
      <c r="O14" s="5"/>
      <c r="P14" s="5"/>
      <c r="Q14" s="286"/>
      <c r="R14" s="5"/>
      <c r="S14" s="285"/>
      <c r="T14" s="800"/>
      <c r="U14" s="11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613052100</v>
      </c>
      <c r="O15" s="6">
        <f t="shared" ref="O15:O85" si="0">N15/M15*100</f>
        <v>55.624885674715166</v>
      </c>
      <c r="P15" s="5">
        <f>P16</f>
        <v>71060760</v>
      </c>
      <c r="Q15" s="285">
        <f t="shared" ref="Q15:Q85" si="1">P15/M15*100</f>
        <v>6.4476520852931953</v>
      </c>
      <c r="R15" s="17">
        <f t="shared" ref="R15:R85" si="2">N15+P15</f>
        <v>684112860</v>
      </c>
      <c r="S15" s="285">
        <f t="shared" ref="S15:S85" si="3">R15/M15*100</f>
        <v>62.072537760008359</v>
      </c>
      <c r="T15" s="800">
        <f>T16</f>
        <v>8.3333333333333321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f>ags!R16</f>
        <v>613052100</v>
      </c>
      <c r="O16" s="111">
        <f t="shared" si="0"/>
        <v>55.624885674715166</v>
      </c>
      <c r="P16" s="9">
        <v>71060760</v>
      </c>
      <c r="Q16" s="286">
        <f t="shared" si="1"/>
        <v>6.4476520852931953</v>
      </c>
      <c r="R16" s="19">
        <f t="shared" si="2"/>
        <v>684112860</v>
      </c>
      <c r="S16" s="286">
        <f t="shared" si="3"/>
        <v>62.072537760008359</v>
      </c>
      <c r="T16" s="801">
        <f>1/12*100</f>
        <v>8.3333333333333321</v>
      </c>
      <c r="U16" s="11"/>
      <c r="V16" s="11"/>
    </row>
    <row r="17" spans="1:22" ht="7.5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6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N19+N32+N35+N46+N54+N57+N59+N64+N68+N73+N42+N50+N71+N40</f>
        <v>181348616</v>
      </c>
      <c r="O18" s="6">
        <f t="shared" si="0"/>
        <v>29.819556351992173</v>
      </c>
      <c r="P18" s="5">
        <f>P19+P32+P35+P46+P52+P54+P57+P59+P64+P68+P73+P42</f>
        <v>8077975</v>
      </c>
      <c r="Q18" s="285">
        <f t="shared" si="1"/>
        <v>1.3282793992896198</v>
      </c>
      <c r="R18" s="17">
        <f t="shared" si="2"/>
        <v>189426591</v>
      </c>
      <c r="S18" s="285">
        <f t="shared" si="3"/>
        <v>31.147835751281789</v>
      </c>
      <c r="T18" s="800">
        <f>SUM(T20:T74)/41</f>
        <v>2.1486643437862947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44811900</v>
      </c>
      <c r="O19" s="6">
        <f t="shared" si="0"/>
        <v>18.241817379509783</v>
      </c>
      <c r="P19" s="5">
        <f>SUM(P20:P31)</f>
        <v>5484000</v>
      </c>
      <c r="Q19" s="285">
        <f t="shared" si="1"/>
        <v>2.2324009138026208</v>
      </c>
      <c r="R19" s="17">
        <f>N19+P19</f>
        <v>50295900</v>
      </c>
      <c r="S19" s="285">
        <f t="shared" si="3"/>
        <v>20.474218293312404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f>ags!R20</f>
        <v>26894900</v>
      </c>
      <c r="O20" s="111">
        <f t="shared" si="0"/>
        <v>96.294638701315435</v>
      </c>
      <c r="P20" s="115"/>
      <c r="Q20" s="286">
        <f t="shared" si="1"/>
        <v>0</v>
      </c>
      <c r="R20" s="19">
        <f t="shared" si="2"/>
        <v>26894900</v>
      </c>
      <c r="S20" s="286">
        <f t="shared" si="3"/>
        <v>96.294638701315435</v>
      </c>
      <c r="T20" s="801">
        <v>0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f>ags!R21</f>
        <v>1698000</v>
      </c>
      <c r="O21" s="111">
        <f t="shared" si="0"/>
        <v>97.028571428571425</v>
      </c>
      <c r="P21" s="115"/>
      <c r="Q21" s="286">
        <f t="shared" si="1"/>
        <v>0</v>
      </c>
      <c r="R21" s="19">
        <f t="shared" si="2"/>
        <v>1698000</v>
      </c>
      <c r="S21" s="286">
        <f t="shared" si="3"/>
        <v>97.028571428571425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f>ags!R22</f>
        <v>1500000</v>
      </c>
      <c r="O22" s="111">
        <f t="shared" si="0"/>
        <v>71.428571428571431</v>
      </c>
      <c r="P22" s="115"/>
      <c r="Q22" s="286">
        <f t="shared" si="1"/>
        <v>0</v>
      </c>
      <c r="R22" s="19">
        <f t="shared" si="2"/>
        <v>1500000</v>
      </c>
      <c r="S22" s="286">
        <f t="shared" si="3"/>
        <v>71.428571428571431</v>
      </c>
      <c r="T22" s="801">
        <f>S22</f>
        <v>71.428571428571431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>
        <f>ags!R23</f>
        <v>8000000</v>
      </c>
      <c r="O23" s="111">
        <f t="shared" si="0"/>
        <v>98.461538461538467</v>
      </c>
      <c r="P23" s="115"/>
      <c r="Q23" s="286">
        <f t="shared" si="1"/>
        <v>0</v>
      </c>
      <c r="R23" s="19">
        <f t="shared" si="2"/>
        <v>8000000</v>
      </c>
      <c r="S23" s="286">
        <f t="shared" si="3"/>
        <v>98.461538461538467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>
        <f>ags!R24</f>
        <v>0</v>
      </c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>
        <f>ags!R25</f>
        <v>175000</v>
      </c>
      <c r="O25" s="111">
        <f t="shared" si="0"/>
        <v>17.5</v>
      </c>
      <c r="P25" s="115"/>
      <c r="Q25" s="286">
        <f t="shared" si="1"/>
        <v>0</v>
      </c>
      <c r="R25" s="19">
        <f t="shared" si="2"/>
        <v>175000</v>
      </c>
      <c r="S25" s="286">
        <f t="shared" si="3"/>
        <v>17.5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f>ags!R26</f>
        <v>3868250</v>
      </c>
      <c r="O26" s="111">
        <f t="shared" si="0"/>
        <v>21.610335195530723</v>
      </c>
      <c r="P26" s="115">
        <v>484000</v>
      </c>
      <c r="Q26" s="286">
        <f t="shared" si="1"/>
        <v>2.7039106145251397</v>
      </c>
      <c r="R26" s="19">
        <f t="shared" si="2"/>
        <v>4352250</v>
      </c>
      <c r="S26" s="286">
        <f t="shared" si="3"/>
        <v>24.314245810055866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>
        <f>ags!R27</f>
        <v>0</v>
      </c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>
        <f>ags!R28</f>
        <v>1955750</v>
      </c>
      <c r="O28" s="111">
        <f t="shared" si="0"/>
        <v>30.55859375</v>
      </c>
      <c r="P28" s="115">
        <v>250000</v>
      </c>
      <c r="Q28" s="286">
        <f t="shared" si="1"/>
        <v>3.90625</v>
      </c>
      <c r="R28" s="19">
        <f t="shared" si="2"/>
        <v>2205750</v>
      </c>
      <c r="S28" s="286">
        <f t="shared" si="3"/>
        <v>34.46484375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>
        <f>ags!R29</f>
        <v>400000</v>
      </c>
      <c r="O29" s="111">
        <f t="shared" si="0"/>
        <v>100</v>
      </c>
      <c r="P29" s="564"/>
      <c r="Q29" s="286">
        <f t="shared" si="1"/>
        <v>0</v>
      </c>
      <c r="R29" s="19">
        <f t="shared" si="2"/>
        <v>400000</v>
      </c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>
        <f>ags!R30</f>
        <v>0</v>
      </c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>
        <f>ags!R31</f>
        <v>320000</v>
      </c>
      <c r="O31" s="111">
        <f t="shared" si="0"/>
        <v>3.7209302325581395</v>
      </c>
      <c r="P31" s="115">
        <v>4750000</v>
      </c>
      <c r="Q31" s="286">
        <f t="shared" si="1"/>
        <v>55.232558139534881</v>
      </c>
      <c r="R31" s="19">
        <f t="shared" si="2"/>
        <v>5070000</v>
      </c>
      <c r="S31" s="286">
        <f t="shared" si="3"/>
        <v>58.95348837209302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SUM(N33:N34)</f>
        <v>6104000</v>
      </c>
      <c r="O32" s="6">
        <f t="shared" si="0"/>
        <v>10.046082949308756</v>
      </c>
      <c r="P32" s="5">
        <f>SUM(P34:P34)</f>
        <v>678000</v>
      </c>
      <c r="Q32" s="285">
        <f t="shared" si="1"/>
        <v>1.1158657011191573</v>
      </c>
      <c r="R32" s="17">
        <f t="shared" si="2"/>
        <v>6782000</v>
      </c>
      <c r="S32" s="285">
        <f t="shared" si="3"/>
        <v>11.161948650427913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9">
        <f>ags!R33</f>
        <v>0</v>
      </c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f>ags!R34</f>
        <v>6104000</v>
      </c>
      <c r="O34" s="111">
        <f t="shared" si="0"/>
        <v>41.355013550135503</v>
      </c>
      <c r="P34" s="115">
        <v>678000</v>
      </c>
      <c r="Q34" s="286">
        <f t="shared" si="1"/>
        <v>4.5934959349593498</v>
      </c>
      <c r="R34" s="19">
        <f t="shared" si="2"/>
        <v>6782000</v>
      </c>
      <c r="S34" s="286">
        <f t="shared" si="3"/>
        <v>45.948509485094853</v>
      </c>
      <c r="T34" s="801">
        <f>1/12*100</f>
        <v>8.3333333333333321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1735000</v>
      </c>
      <c r="O35" s="6">
        <f t="shared" si="0"/>
        <v>4.668998923573735</v>
      </c>
      <c r="P35" s="5">
        <f>SUM(P36:P39)</f>
        <v>2900</v>
      </c>
      <c r="Q35" s="285">
        <f t="shared" si="1"/>
        <v>7.8040904198062432E-3</v>
      </c>
      <c r="R35" s="17">
        <f t="shared" si="2"/>
        <v>1737900</v>
      </c>
      <c r="S35" s="285">
        <f t="shared" si="3"/>
        <v>4.676803013993541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f>ags!R36</f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f>ags!R37</f>
        <v>115000</v>
      </c>
      <c r="O37" s="111">
        <f t="shared" si="0"/>
        <v>20.535714285714285</v>
      </c>
      <c r="P37" s="115">
        <v>2900</v>
      </c>
      <c r="Q37" s="286">
        <f t="shared" si="1"/>
        <v>0.51785714285714279</v>
      </c>
      <c r="R37" s="19">
        <f t="shared" si="2"/>
        <v>117900</v>
      </c>
      <c r="S37" s="286">
        <f t="shared" si="3"/>
        <v>21.053571428571431</v>
      </c>
      <c r="T37" s="801">
        <v>0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f>ags!R38</f>
        <v>1620000</v>
      </c>
      <c r="O38" s="111">
        <f t="shared" si="0"/>
        <v>16.2</v>
      </c>
      <c r="P38" s="115"/>
      <c r="Q38" s="286">
        <f t="shared" si="1"/>
        <v>0</v>
      </c>
      <c r="R38" s="19">
        <f t="shared" si="2"/>
        <v>1620000</v>
      </c>
      <c r="S38" s="286">
        <f t="shared" si="3"/>
        <v>16.2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f>ags!R39</f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</f>
        <v>0</v>
      </c>
      <c r="O40" s="6">
        <f t="shared" si="0"/>
        <v>0</v>
      </c>
      <c r="P40" s="5">
        <f>SUM(P41)</f>
        <v>0</v>
      </c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>
        <f>ags!R41</f>
        <v>0</v>
      </c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621000</v>
      </c>
      <c r="O42" s="6">
        <f t="shared" si="0"/>
        <v>5.447368421052631</v>
      </c>
      <c r="P42" s="5">
        <f>P43+P44+P45</f>
        <v>363075</v>
      </c>
      <c r="Q42" s="285">
        <f t="shared" si="1"/>
        <v>3.1848684210526312</v>
      </c>
      <c r="R42" s="17">
        <f t="shared" si="2"/>
        <v>984075</v>
      </c>
      <c r="S42" s="285">
        <f t="shared" si="3"/>
        <v>8.6322368421052627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>
        <f>ags!R43</f>
        <v>520000</v>
      </c>
      <c r="O43" s="111">
        <f t="shared" si="0"/>
        <v>18.571428571428573</v>
      </c>
      <c r="P43" s="115">
        <v>123200</v>
      </c>
      <c r="Q43" s="286">
        <f t="shared" si="1"/>
        <v>4.3999999999999995</v>
      </c>
      <c r="R43" s="19">
        <f t="shared" si="2"/>
        <v>643200</v>
      </c>
      <c r="S43" s="286">
        <f t="shared" si="3"/>
        <v>22.971428571428572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f>ags!R44</f>
        <v>101000</v>
      </c>
      <c r="O44" s="111">
        <f t="shared" si="0"/>
        <v>1.4852941176470589</v>
      </c>
      <c r="P44" s="116">
        <v>125875</v>
      </c>
      <c r="Q44" s="286">
        <f t="shared" si="1"/>
        <v>1.8511029411764708</v>
      </c>
      <c r="R44" s="19">
        <f t="shared" si="2"/>
        <v>226875</v>
      </c>
      <c r="S44" s="286">
        <f t="shared" si="3"/>
        <v>3.3363970588235294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f>ags!R45</f>
        <v>0</v>
      </c>
      <c r="O45" s="111">
        <f t="shared" si="0"/>
        <v>0</v>
      </c>
      <c r="P45" s="116">
        <v>114000</v>
      </c>
      <c r="Q45" s="286">
        <f t="shared" si="1"/>
        <v>6.3333333333333339</v>
      </c>
      <c r="R45" s="19">
        <f t="shared" si="2"/>
        <v>114000</v>
      </c>
      <c r="S45" s="286">
        <f t="shared" si="3"/>
        <v>6.3333333333333339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67380000</v>
      </c>
      <c r="O46" s="6">
        <f t="shared" si="0"/>
        <v>89.091041312697911</v>
      </c>
      <c r="P46" s="5">
        <f>P47+P48+P49</f>
        <v>1050000</v>
      </c>
      <c r="Q46" s="285">
        <f t="shared" si="1"/>
        <v>1.3883287827001012</v>
      </c>
      <c r="R46" s="17">
        <f t="shared" si="2"/>
        <v>68430000</v>
      </c>
      <c r="S46" s="285">
        <f t="shared" si="3"/>
        <v>90.479370095398011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>
        <f>ags!R47</f>
        <v>63500000</v>
      </c>
      <c r="O47" s="111">
        <f t="shared" si="0"/>
        <v>96.606598154585768</v>
      </c>
      <c r="P47" s="115"/>
      <c r="Q47" s="286">
        <f t="shared" si="1"/>
        <v>0</v>
      </c>
      <c r="R47" s="19">
        <f t="shared" si="2"/>
        <v>63500000</v>
      </c>
      <c r="S47" s="286">
        <f t="shared" si="3"/>
        <v>96.606598154585768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f>ags!R48</f>
        <v>3600000</v>
      </c>
      <c r="O48" s="111">
        <f t="shared" si="0"/>
        <v>42.857142857142854</v>
      </c>
      <c r="P48" s="116">
        <v>700000</v>
      </c>
      <c r="Q48" s="286">
        <f t="shared" si="1"/>
        <v>8.3333333333333321</v>
      </c>
      <c r="R48" s="19">
        <f t="shared" si="2"/>
        <v>4300000</v>
      </c>
      <c r="S48" s="286">
        <f t="shared" si="3"/>
        <v>51.19047619047619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f>ags!R49</f>
        <v>280000</v>
      </c>
      <c r="O49" s="111">
        <f t="shared" si="0"/>
        <v>18.666666666666668</v>
      </c>
      <c r="P49" s="116">
        <v>350000</v>
      </c>
      <c r="Q49" s="286">
        <f t="shared" si="1"/>
        <v>23.333333333333332</v>
      </c>
      <c r="R49" s="19">
        <f t="shared" si="2"/>
        <v>630000</v>
      </c>
      <c r="S49" s="286">
        <f t="shared" si="3"/>
        <v>42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6500000</v>
      </c>
      <c r="O50" s="6">
        <f t="shared" si="0"/>
        <v>24.95201535508637</v>
      </c>
      <c r="P50" s="114">
        <f>P51</f>
        <v>0</v>
      </c>
      <c r="Q50" s="285">
        <f t="shared" si="1"/>
        <v>0</v>
      </c>
      <c r="R50" s="17">
        <f t="shared" si="2"/>
        <v>6500000</v>
      </c>
      <c r="S50" s="285">
        <f t="shared" si="3"/>
        <v>24.95201535508637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f>ags!R51</f>
        <v>6500000</v>
      </c>
      <c r="O51" s="111">
        <f t="shared" si="0"/>
        <v>24.95201535508637</v>
      </c>
      <c r="P51" s="113"/>
      <c r="Q51" s="286">
        <f t="shared" si="1"/>
        <v>0</v>
      </c>
      <c r="R51" s="19">
        <f t="shared" si="2"/>
        <v>6500000</v>
      </c>
      <c r="S51" s="286">
        <f t="shared" si="3"/>
        <v>24.95201535508637</v>
      </c>
      <c r="T51" s="802">
        <v>0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f>ags!R53</f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6196716</v>
      </c>
      <c r="O54" s="6">
        <f t="shared" si="0"/>
        <v>29.510981998285551</v>
      </c>
      <c r="P54" s="17">
        <f>P55+P56</f>
        <v>0</v>
      </c>
      <c r="Q54" s="285">
        <f t="shared" si="1"/>
        <v>0</v>
      </c>
      <c r="R54" s="17">
        <f t="shared" si="2"/>
        <v>6196716</v>
      </c>
      <c r="S54" s="285">
        <f t="shared" si="3"/>
        <v>29.510981998285551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f>ags!R55</f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f>ags!R56</f>
        <v>6196716</v>
      </c>
      <c r="O56" s="111">
        <f t="shared" si="0"/>
        <v>37.56040732209965</v>
      </c>
      <c r="P56" s="19"/>
      <c r="Q56" s="286">
        <f t="shared" si="1"/>
        <v>0</v>
      </c>
      <c r="R56" s="19">
        <f t="shared" si="2"/>
        <v>6196716</v>
      </c>
      <c r="S56" s="286">
        <f t="shared" si="3"/>
        <v>37.56040732209965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10000000</v>
      </c>
      <c r="O57" s="6">
        <f t="shared" si="0"/>
        <v>35.714285714285715</v>
      </c>
      <c r="P57" s="17">
        <f>P58</f>
        <v>0</v>
      </c>
      <c r="Q57" s="285">
        <f t="shared" si="1"/>
        <v>0</v>
      </c>
      <c r="R57" s="17">
        <f t="shared" si="2"/>
        <v>10000000</v>
      </c>
      <c r="S57" s="285">
        <f t="shared" si="3"/>
        <v>35.714285714285715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f>ags!R58</f>
        <v>10000000</v>
      </c>
      <c r="O58" s="111">
        <f t="shared" si="0"/>
        <v>35.714285714285715</v>
      </c>
      <c r="P58" s="19"/>
      <c r="Q58" s="286">
        <f t="shared" si="1"/>
        <v>0</v>
      </c>
      <c r="R58" s="19">
        <f t="shared" si="2"/>
        <v>10000000</v>
      </c>
      <c r="S58" s="286">
        <f t="shared" si="3"/>
        <v>35.714285714285715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367</v>
      </c>
      <c r="L59" s="12"/>
      <c r="M59" s="17">
        <f>SUM(M60:M63)</f>
        <v>33500000</v>
      </c>
      <c r="N59" s="17">
        <f>SUM(N60:N63)</f>
        <v>14450000</v>
      </c>
      <c r="O59" s="6">
        <f t="shared" si="0"/>
        <v>43.134328358208954</v>
      </c>
      <c r="P59" s="17">
        <f>SUM(P60:P63)</f>
        <v>500000</v>
      </c>
      <c r="Q59" s="285">
        <f t="shared" si="1"/>
        <v>1.4925373134328357</v>
      </c>
      <c r="R59" s="17">
        <f t="shared" si="2"/>
        <v>14950000</v>
      </c>
      <c r="S59" s="285">
        <f t="shared" si="3"/>
        <v>44.626865671641788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f>ags!R60</f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>
        <f>ags!R61</f>
        <v>10450000</v>
      </c>
      <c r="O61" s="111">
        <f t="shared" si="0"/>
        <v>99.523809523809518</v>
      </c>
      <c r="P61" s="19"/>
      <c r="Q61" s="286">
        <f t="shared" si="1"/>
        <v>0</v>
      </c>
      <c r="R61" s="19">
        <f t="shared" si="2"/>
        <v>10450000</v>
      </c>
      <c r="S61" s="286">
        <f t="shared" si="3"/>
        <v>99.523809523809518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>
        <f>ags!R62</f>
        <v>0</v>
      </c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f>ags!R63</f>
        <v>4000000</v>
      </c>
      <c r="O63" s="111">
        <f t="shared" si="0"/>
        <v>36.363636363636367</v>
      </c>
      <c r="P63" s="19">
        <v>500000</v>
      </c>
      <c r="Q63" s="286">
        <f t="shared" si="1"/>
        <v>4.5454545454545459</v>
      </c>
      <c r="R63" s="19">
        <f t="shared" si="2"/>
        <v>4500000</v>
      </c>
      <c r="S63" s="286">
        <f t="shared" si="3"/>
        <v>40.909090909090914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SUM(N65:N67)</f>
        <v>6300000</v>
      </c>
      <c r="O64" s="6">
        <f t="shared" si="0"/>
        <v>66.315789473684205</v>
      </c>
      <c r="P64" s="17">
        <f>P67</f>
        <v>0</v>
      </c>
      <c r="Q64" s="285">
        <f t="shared" si="1"/>
        <v>0</v>
      </c>
      <c r="R64" s="17">
        <f t="shared" si="2"/>
        <v>6300000</v>
      </c>
      <c r="S64" s="285">
        <f t="shared" si="3"/>
        <v>66.315789473684205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>
        <f>ags!R65</f>
        <v>1300000</v>
      </c>
      <c r="O65" s="111">
        <f t="shared" si="0"/>
        <v>43.333333333333336</v>
      </c>
      <c r="P65" s="19"/>
      <c r="Q65" s="286">
        <f t="shared" si="1"/>
        <v>0</v>
      </c>
      <c r="R65" s="19">
        <f t="shared" si="2"/>
        <v>1300000</v>
      </c>
      <c r="S65" s="286">
        <f t="shared" si="3"/>
        <v>43.333333333333336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>
        <f>ags!R66</f>
        <v>5000000</v>
      </c>
      <c r="O66" s="111">
        <f t="shared" si="0"/>
        <v>100</v>
      </c>
      <c r="P66" s="19"/>
      <c r="Q66" s="286">
        <f t="shared" si="1"/>
        <v>0</v>
      </c>
      <c r="R66" s="19">
        <f t="shared" si="2"/>
        <v>5000000</v>
      </c>
      <c r="S66" s="286">
        <f t="shared" si="3"/>
        <v>100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>
        <f>ags!R67</f>
        <v>0</v>
      </c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 ht="33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10750000</v>
      </c>
      <c r="O68" s="6">
        <f t="shared" si="0"/>
        <v>31.617647058823529</v>
      </c>
      <c r="P68" s="17">
        <f>P69+P70</f>
        <v>0</v>
      </c>
      <c r="Q68" s="285">
        <f t="shared" si="1"/>
        <v>0</v>
      </c>
      <c r="R68" s="17">
        <f t="shared" si="2"/>
        <v>10750000</v>
      </c>
      <c r="S68" s="285">
        <f t="shared" si="3"/>
        <v>31.617647058823529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f>ags!R69</f>
        <v>750000</v>
      </c>
      <c r="O69" s="111">
        <f t="shared" si="0"/>
        <v>5.2083333333333339</v>
      </c>
      <c r="P69" s="19"/>
      <c r="Q69" s="286">
        <f t="shared" si="1"/>
        <v>0</v>
      </c>
      <c r="R69" s="19">
        <f t="shared" si="2"/>
        <v>750000</v>
      </c>
      <c r="S69" s="286">
        <f t="shared" si="3"/>
        <v>5.2083333333333339</v>
      </c>
      <c r="T69" s="801">
        <v>0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f>ags!R70</f>
        <v>10000000</v>
      </c>
      <c r="O70" s="111">
        <f t="shared" si="0"/>
        <v>51.020408163265309</v>
      </c>
      <c r="P70" s="19"/>
      <c r="Q70" s="286">
        <f t="shared" si="1"/>
        <v>0</v>
      </c>
      <c r="R70" s="19">
        <f t="shared" si="2"/>
        <v>10000000</v>
      </c>
      <c r="S70" s="286">
        <f t="shared" si="3"/>
        <v>51.020408163265309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6000000</v>
      </c>
      <c r="O71" s="6">
        <f t="shared" si="0"/>
        <v>50</v>
      </c>
      <c r="P71" s="17">
        <f>P72</f>
        <v>0</v>
      </c>
      <c r="Q71" s="285">
        <f t="shared" si="1"/>
        <v>0</v>
      </c>
      <c r="R71" s="17">
        <f t="shared" si="2"/>
        <v>6000000</v>
      </c>
      <c r="S71" s="285">
        <f t="shared" si="3"/>
        <v>50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f>ags!R72</f>
        <v>6000000</v>
      </c>
      <c r="O72" s="111">
        <f t="shared" si="0"/>
        <v>50</v>
      </c>
      <c r="P72" s="19"/>
      <c r="Q72" s="286">
        <f t="shared" si="1"/>
        <v>0</v>
      </c>
      <c r="R72" s="19">
        <f t="shared" si="2"/>
        <v>6000000</v>
      </c>
      <c r="S72" s="286">
        <f t="shared" si="3"/>
        <v>50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500000</v>
      </c>
      <c r="O73" s="6">
        <f t="shared" si="0"/>
        <v>100</v>
      </c>
      <c r="P73" s="17">
        <f>P74</f>
        <v>0</v>
      </c>
      <c r="Q73" s="285">
        <f t="shared" si="1"/>
        <v>0</v>
      </c>
      <c r="R73" s="17">
        <f t="shared" si="2"/>
        <v>500000</v>
      </c>
      <c r="S73" s="285">
        <f t="shared" si="3"/>
        <v>100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f>ags!R74</f>
        <v>500000</v>
      </c>
      <c r="O74" s="111">
        <f t="shared" si="0"/>
        <v>100</v>
      </c>
      <c r="P74" s="19"/>
      <c r="Q74" s="286">
        <f t="shared" si="1"/>
        <v>0</v>
      </c>
      <c r="R74" s="19">
        <f t="shared" si="2"/>
        <v>500000</v>
      </c>
      <c r="S74" s="286">
        <f t="shared" si="3"/>
        <v>100</v>
      </c>
      <c r="T74" s="801">
        <v>0</v>
      </c>
      <c r="U74" s="11"/>
      <c r="V74" s="11"/>
    </row>
    <row r="75" spans="1:22" ht="7.5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9">
        <f>ags!R75</f>
        <v>0</v>
      </c>
      <c r="O75" s="5"/>
      <c r="P75" s="5"/>
      <c r="Q75" s="286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34872500</v>
      </c>
      <c r="O76" s="6">
        <f t="shared" si="0"/>
        <v>27.547094096560375</v>
      </c>
      <c r="P76" s="17">
        <f>P77+P79+P82+P84+P86</f>
        <v>0</v>
      </c>
      <c r="Q76" s="285">
        <f t="shared" si="1"/>
        <v>0</v>
      </c>
      <c r="R76" s="17">
        <f t="shared" si="2"/>
        <v>34872500</v>
      </c>
      <c r="S76" s="285">
        <f t="shared" si="3"/>
        <v>27.547094096560375</v>
      </c>
      <c r="T76" s="800">
        <f>SUM(T78:T89)/8</f>
        <v>0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9985000</v>
      </c>
      <c r="O77" s="6">
        <f t="shared" si="0"/>
        <v>90.772727272727266</v>
      </c>
      <c r="P77" s="17">
        <f>P78</f>
        <v>0</v>
      </c>
      <c r="Q77" s="285">
        <f t="shared" si="1"/>
        <v>0</v>
      </c>
      <c r="R77" s="17">
        <f t="shared" si="2"/>
        <v>9985000</v>
      </c>
      <c r="S77" s="285">
        <f t="shared" si="3"/>
        <v>90.772727272727266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f>ags!R78</f>
        <v>9985000</v>
      </c>
      <c r="O78" s="111">
        <f t="shared" si="0"/>
        <v>90.772727272727266</v>
      </c>
      <c r="P78" s="19"/>
      <c r="Q78" s="286">
        <f t="shared" si="1"/>
        <v>0</v>
      </c>
      <c r="R78" s="19">
        <f t="shared" si="2"/>
        <v>9985000</v>
      </c>
      <c r="S78" s="286">
        <f t="shared" si="3"/>
        <v>90.772727272727266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15000000</v>
      </c>
      <c r="O79" s="6">
        <f t="shared" si="0"/>
        <v>73.170731707317074</v>
      </c>
      <c r="P79" s="17">
        <f>SUM(P80:P81)</f>
        <v>0</v>
      </c>
      <c r="Q79" s="285">
        <f t="shared" si="1"/>
        <v>0</v>
      </c>
      <c r="R79" s="17">
        <f t="shared" si="2"/>
        <v>15000000</v>
      </c>
      <c r="S79" s="285">
        <f t="shared" si="3"/>
        <v>73.170731707317074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f>ags!R80</f>
        <v>15000000</v>
      </c>
      <c r="O80" s="111">
        <f t="shared" si="0"/>
        <v>100</v>
      </c>
      <c r="P80" s="19"/>
      <c r="Q80" s="286">
        <f t="shared" si="1"/>
        <v>0</v>
      </c>
      <c r="R80" s="19">
        <f t="shared" si="2"/>
        <v>15000000</v>
      </c>
      <c r="S80" s="286">
        <f t="shared" si="3"/>
        <v>100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>
        <f>ags!R81</f>
        <v>0</v>
      </c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>
        <f>ags!R83</f>
        <v>0</v>
      </c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>
        <f>ags!R85</f>
        <v>0</v>
      </c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SUM(N87:N89)</f>
        <v>9887500</v>
      </c>
      <c r="O86" s="6">
        <f>N86/M86*100</f>
        <v>39.294272872148063</v>
      </c>
      <c r="P86" s="17">
        <f>SUM(P89:P90)</f>
        <v>0</v>
      </c>
      <c r="Q86" s="285">
        <f>P86/M86*100</f>
        <v>0</v>
      </c>
      <c r="R86" s="17">
        <f>N86+P86</f>
        <v>9887500</v>
      </c>
      <c r="S86" s="285">
        <f>R86/M86*100</f>
        <v>39.294272872148063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>
        <f>ags!R87</f>
        <v>7987500</v>
      </c>
      <c r="O87" s="111">
        <f t="shared" ref="O87:O88" si="4">N87/M87*100</f>
        <v>97.853651365357052</v>
      </c>
      <c r="P87" s="19"/>
      <c r="Q87" s="286">
        <f t="shared" ref="Q87:Q88" si="5">P87/M87*100</f>
        <v>0</v>
      </c>
      <c r="R87" s="19">
        <f t="shared" ref="R87:R88" si="6">N87+P87</f>
        <v>7987500</v>
      </c>
      <c r="S87" s="286">
        <f t="shared" ref="S87:S88" si="7">R87/M87*100</f>
        <v>97.853651365357052</v>
      </c>
      <c r="T87" s="803">
        <v>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>
        <f>ags!R88</f>
        <v>0</v>
      </c>
      <c r="O88" s="111">
        <f t="shared" si="4"/>
        <v>0</v>
      </c>
      <c r="P88" s="19"/>
      <c r="Q88" s="286">
        <f t="shared" si="5"/>
        <v>0</v>
      </c>
      <c r="R88" s="19">
        <f t="shared" si="6"/>
        <v>0</v>
      </c>
      <c r="S88" s="286">
        <f t="shared" si="7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>
        <f>ags!R89</f>
        <v>1900000</v>
      </c>
      <c r="O89" s="111">
        <f>N89/M89*100</f>
        <v>95</v>
      </c>
      <c r="P89" s="19"/>
      <c r="Q89" s="286">
        <f>P89/M89*100</f>
        <v>0</v>
      </c>
      <c r="R89" s="19">
        <f>N89+P89</f>
        <v>1900000</v>
      </c>
      <c r="S89" s="286">
        <f>R89/M89*100</f>
        <v>95</v>
      </c>
      <c r="T89" s="803">
        <v>0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680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21.7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21.7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</mergeCells>
  <pageMargins left="0.45" right="0.25" top="0.75" bottom="0.25" header="0.3" footer="0.3"/>
  <pageSetup paperSize="5" scale="57"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AT122"/>
  <sheetViews>
    <sheetView workbookViewId="0">
      <selection activeCell="AT122" sqref="AT122"/>
    </sheetView>
  </sheetViews>
  <sheetFormatPr defaultRowHeight="15.75"/>
  <cols>
    <col min="1" max="1" width="4.42578125" style="189" customWidth="1"/>
    <col min="2" max="2" width="3.5703125" style="189" customWidth="1"/>
    <col min="3" max="3" width="13.7109375" style="189" customWidth="1"/>
    <col min="4" max="4" width="25.5703125" style="189" customWidth="1"/>
    <col min="5" max="5" width="6.7109375" style="189" bestFit="1" customWidth="1"/>
    <col min="6" max="6" width="5.5703125" style="189" bestFit="1" customWidth="1"/>
    <col min="7" max="7" width="8.85546875" style="189" bestFit="1" customWidth="1"/>
    <col min="8" max="8" width="3.85546875" style="189" bestFit="1" customWidth="1"/>
    <col min="9" max="9" width="33.140625" style="189" customWidth="1"/>
    <col min="10" max="10" width="9.140625" style="244" bestFit="1" customWidth="1"/>
    <col min="11" max="11" width="14" style="254" bestFit="1" customWidth="1"/>
    <col min="12" max="12" width="14.140625" style="255" customWidth="1"/>
    <col min="13" max="13" width="8.28515625" style="189" customWidth="1"/>
    <col min="14" max="14" width="5.28515625" style="189" bestFit="1" customWidth="1"/>
    <col min="15" max="15" width="6.5703125" style="189" customWidth="1"/>
    <col min="16" max="16" width="9.140625" style="230"/>
    <col min="17" max="17" width="10.85546875" style="191" bestFit="1" customWidth="1"/>
    <col min="18" max="18" width="30" style="191" customWidth="1"/>
    <col min="19" max="19" width="14.7109375" style="192" customWidth="1"/>
    <col min="20" max="22" width="10.42578125" style="192" bestFit="1" customWidth="1"/>
    <col min="23" max="30" width="3.140625" style="192" customWidth="1"/>
    <col min="31" max="31" width="10.42578125" style="192" bestFit="1" customWidth="1"/>
    <col min="32" max="33" width="10.7109375" style="191" bestFit="1" customWidth="1"/>
    <col min="34" max="34" width="9.28515625" style="191" bestFit="1" customWidth="1"/>
    <col min="35" max="46" width="9.140625" style="191"/>
    <col min="47" max="16384" width="9.140625" style="193"/>
  </cols>
  <sheetData>
    <row r="1" spans="1:46" ht="20.25">
      <c r="C1" s="843" t="s">
        <v>221</v>
      </c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3"/>
      <c r="O1" s="190"/>
    </row>
    <row r="2" spans="1:46" ht="20.25">
      <c r="C2" s="843" t="s">
        <v>477</v>
      </c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190"/>
    </row>
    <row r="3" spans="1:46">
      <c r="A3" s="844" t="s">
        <v>279</v>
      </c>
      <c r="B3" s="844"/>
      <c r="C3" s="844"/>
      <c r="D3" s="844"/>
      <c r="E3" s="194"/>
      <c r="F3" s="194"/>
      <c r="G3" s="194"/>
      <c r="H3" s="194"/>
      <c r="I3" s="194"/>
      <c r="J3" s="195"/>
      <c r="K3" s="196"/>
      <c r="L3" s="197"/>
      <c r="M3" s="194"/>
      <c r="N3" s="194"/>
      <c r="O3" s="194"/>
    </row>
    <row r="4" spans="1:46">
      <c r="A4" s="845" t="s">
        <v>85</v>
      </c>
      <c r="B4" s="846"/>
      <c r="C4" s="849" t="s">
        <v>222</v>
      </c>
      <c r="D4" s="850"/>
      <c r="E4" s="853" t="s">
        <v>7</v>
      </c>
      <c r="F4" s="853"/>
      <c r="G4" s="854" t="s">
        <v>221</v>
      </c>
      <c r="H4" s="855"/>
      <c r="I4" s="855"/>
      <c r="J4" s="855"/>
      <c r="K4" s="855"/>
      <c r="L4" s="855"/>
      <c r="M4" s="856"/>
      <c r="N4" s="853" t="s">
        <v>223</v>
      </c>
      <c r="O4" s="191"/>
    </row>
    <row r="5" spans="1:46" ht="63">
      <c r="A5" s="847"/>
      <c r="B5" s="848"/>
      <c r="C5" s="851"/>
      <c r="D5" s="852"/>
      <c r="E5" s="198" t="s">
        <v>224</v>
      </c>
      <c r="F5" s="198" t="s">
        <v>225</v>
      </c>
      <c r="G5" s="857" t="s">
        <v>226</v>
      </c>
      <c r="H5" s="858"/>
      <c r="I5" s="859"/>
      <c r="J5" s="198" t="s">
        <v>227</v>
      </c>
      <c r="K5" s="199" t="s">
        <v>228</v>
      </c>
      <c r="L5" s="200" t="s">
        <v>229</v>
      </c>
      <c r="M5" s="198" t="s">
        <v>230</v>
      </c>
      <c r="N5" s="853"/>
      <c r="O5" s="191"/>
    </row>
    <row r="6" spans="1:46" s="207" customFormat="1">
      <c r="A6" s="838">
        <v>1</v>
      </c>
      <c r="B6" s="838"/>
      <c r="C6" s="838">
        <v>2</v>
      </c>
      <c r="D6" s="838"/>
      <c r="E6" s="201">
        <v>3</v>
      </c>
      <c r="F6" s="201">
        <v>4</v>
      </c>
      <c r="G6" s="839">
        <v>5</v>
      </c>
      <c r="H6" s="840"/>
      <c r="I6" s="841"/>
      <c r="J6" s="201">
        <v>6</v>
      </c>
      <c r="K6" s="201">
        <v>7</v>
      </c>
      <c r="L6" s="202">
        <v>8</v>
      </c>
      <c r="M6" s="201">
        <v>9</v>
      </c>
      <c r="N6" s="203">
        <v>10</v>
      </c>
      <c r="O6" s="204"/>
      <c r="P6" s="612"/>
      <c r="Q6" s="205"/>
      <c r="R6" s="205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</row>
    <row r="7" spans="1:46" ht="66.75" customHeight="1">
      <c r="A7" s="208" t="s">
        <v>231</v>
      </c>
      <c r="B7" s="208" t="s">
        <v>232</v>
      </c>
      <c r="C7" s="209" t="s">
        <v>684</v>
      </c>
      <c r="D7" s="210" t="s">
        <v>280</v>
      </c>
      <c r="E7" s="211" t="e">
        <f>#REF!</f>
        <v>#REF!</v>
      </c>
      <c r="F7" s="212" t="e">
        <f>#REF!</f>
        <v>#REF!</v>
      </c>
      <c r="G7" s="213"/>
      <c r="H7" s="213"/>
      <c r="I7" s="214"/>
      <c r="J7" s="215"/>
      <c r="K7" s="216"/>
      <c r="L7" s="216"/>
      <c r="M7" s="217"/>
      <c r="N7" s="214"/>
      <c r="O7" s="218"/>
    </row>
    <row r="8" spans="1:46" ht="16.5" customHeight="1">
      <c r="A8" s="219"/>
      <c r="B8" s="219"/>
      <c r="C8" s="220"/>
      <c r="D8" s="213"/>
      <c r="E8" s="213"/>
      <c r="F8" s="213"/>
      <c r="G8" s="213" t="s">
        <v>233</v>
      </c>
      <c r="H8" s="221" t="s">
        <v>234</v>
      </c>
      <c r="I8" s="222" t="s">
        <v>235</v>
      </c>
      <c r="J8" s="215" t="s">
        <v>236</v>
      </c>
      <c r="K8" s="216" t="e">
        <f>#REF!</f>
        <v>#REF!</v>
      </c>
      <c r="L8" s="216" t="e">
        <f>#REF!</f>
        <v>#REF!</v>
      </c>
      <c r="M8" s="223" t="e">
        <f>L8/K8*100</f>
        <v>#REF!</v>
      </c>
      <c r="N8" s="222"/>
      <c r="O8" s="224"/>
      <c r="R8" s="225" t="e">
        <f>L8-'[1]PKK tri B (1)'!L8</f>
        <v>#REF!</v>
      </c>
    </row>
    <row r="9" spans="1:46" ht="21" customHeight="1">
      <c r="A9" s="219"/>
      <c r="B9" s="219"/>
      <c r="C9" s="220"/>
      <c r="D9" s="213"/>
      <c r="E9" s="213"/>
      <c r="F9" s="213"/>
      <c r="G9" s="213"/>
      <c r="H9" s="221" t="s">
        <v>237</v>
      </c>
      <c r="I9" s="226" t="s">
        <v>238</v>
      </c>
      <c r="J9" s="227" t="s">
        <v>239</v>
      </c>
      <c r="K9" s="228">
        <v>30</v>
      </c>
      <c r="L9" s="228">
        <v>28</v>
      </c>
      <c r="M9" s="223">
        <f>L9/K9*100</f>
        <v>93.333333333333329</v>
      </c>
      <c r="N9" s="222"/>
      <c r="O9" s="224"/>
      <c r="Q9" s="225" t="e">
        <f>#REF!-'[1]PKK tri new'!#REF!</f>
        <v>#REF!</v>
      </c>
    </row>
    <row r="10" spans="1:46" ht="16.5" customHeight="1">
      <c r="A10" s="219"/>
      <c r="B10" s="219"/>
      <c r="C10" s="220"/>
      <c r="D10" s="213"/>
      <c r="E10" s="213"/>
      <c r="F10" s="213"/>
      <c r="G10" s="213"/>
      <c r="H10" s="221" t="s">
        <v>240</v>
      </c>
      <c r="I10" s="226" t="s">
        <v>241</v>
      </c>
      <c r="J10" s="229" t="s">
        <v>242</v>
      </c>
      <c r="K10" s="228">
        <v>12</v>
      </c>
      <c r="L10" s="228">
        <v>9</v>
      </c>
      <c r="M10" s="223">
        <f>L10/K10*100</f>
        <v>75</v>
      </c>
      <c r="N10" s="222"/>
      <c r="O10" s="224"/>
    </row>
    <row r="11" spans="1:46" ht="16.5" customHeight="1">
      <c r="A11" s="219"/>
      <c r="B11" s="219"/>
      <c r="C11" s="220"/>
      <c r="D11" s="213"/>
      <c r="E11" s="213"/>
      <c r="F11" s="213"/>
      <c r="G11" s="213"/>
      <c r="H11" s="221" t="s">
        <v>243</v>
      </c>
      <c r="I11" s="226" t="s">
        <v>244</v>
      </c>
      <c r="J11" s="229" t="s">
        <v>245</v>
      </c>
      <c r="K11" s="228">
        <v>5</v>
      </c>
      <c r="L11" s="228">
        <v>5</v>
      </c>
      <c r="M11" s="223">
        <f>L11/K11*100</f>
        <v>100</v>
      </c>
      <c r="N11" s="222"/>
      <c r="O11" s="224"/>
    </row>
    <row r="12" spans="1:46" ht="16.5" customHeight="1">
      <c r="A12" s="219"/>
      <c r="B12" s="219"/>
      <c r="C12" s="220"/>
      <c r="D12" s="213"/>
      <c r="E12" s="213"/>
      <c r="F12" s="213"/>
      <c r="G12" s="213"/>
      <c r="H12" s="221"/>
      <c r="I12" s="226"/>
      <c r="J12" s="229"/>
      <c r="K12" s="228"/>
      <c r="L12" s="228"/>
      <c r="M12" s="223"/>
      <c r="N12" s="222"/>
      <c r="O12" s="224"/>
      <c r="P12" s="230">
        <v>542</v>
      </c>
      <c r="Q12" s="230"/>
      <c r="R12" s="230"/>
    </row>
    <row r="13" spans="1:46" s="267" customFormat="1" ht="39" customHeight="1">
      <c r="A13" s="269"/>
      <c r="B13" s="269"/>
      <c r="C13" s="270"/>
      <c r="D13" s="271"/>
      <c r="E13" s="271"/>
      <c r="F13" s="271"/>
      <c r="G13" s="271" t="s">
        <v>246</v>
      </c>
      <c r="H13" s="272">
        <v>1</v>
      </c>
      <c r="I13" s="231" t="s">
        <v>277</v>
      </c>
      <c r="J13" s="273" t="s">
        <v>239</v>
      </c>
      <c r="K13" s="274">
        <f>L14</f>
        <v>23483</v>
      </c>
      <c r="L13" s="274">
        <f>'PKK Tri 2'!L13+4425</f>
        <v>13935</v>
      </c>
      <c r="M13" s="275">
        <f>L13/K13*100</f>
        <v>59.340799727462425</v>
      </c>
      <c r="N13" s="276"/>
      <c r="O13" s="277"/>
      <c r="P13" s="278">
        <v>456</v>
      </c>
      <c r="Q13" s="278"/>
      <c r="R13" s="278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</row>
    <row r="14" spans="1:46" ht="25.5" customHeight="1">
      <c r="A14" s="219"/>
      <c r="B14" s="219"/>
      <c r="C14" s="220"/>
      <c r="D14" s="213"/>
      <c r="E14" s="213"/>
      <c r="F14" s="213"/>
      <c r="G14" s="213" t="s">
        <v>247</v>
      </c>
      <c r="H14" s="229"/>
      <c r="I14" s="268" t="s">
        <v>278</v>
      </c>
      <c r="J14" s="233" t="s">
        <v>248</v>
      </c>
      <c r="K14" s="232" t="e">
        <f>K8/12/6000</f>
        <v>#REF!</v>
      </c>
      <c r="L14" s="282">
        <v>23483</v>
      </c>
      <c r="M14" s="223" t="e">
        <f>L14/K14*100</f>
        <v>#REF!</v>
      </c>
      <c r="N14" s="222"/>
      <c r="O14" s="224"/>
      <c r="P14" s="230">
        <v>800</v>
      </c>
      <c r="Q14" s="842"/>
      <c r="R14" s="234"/>
      <c r="S14" s="235"/>
      <c r="U14" s="192">
        <f>87474000/6000</f>
        <v>14579</v>
      </c>
    </row>
    <row r="15" spans="1:46" ht="15" customHeight="1">
      <c r="A15" s="236"/>
      <c r="B15" s="236"/>
      <c r="C15" s="237"/>
      <c r="D15" s="238"/>
      <c r="E15" s="238"/>
      <c r="F15" s="238"/>
      <c r="G15" s="238"/>
      <c r="H15" s="239"/>
      <c r="I15" s="240"/>
      <c r="J15" s="241"/>
      <c r="K15" s="242"/>
      <c r="L15" s="242"/>
      <c r="M15" s="243"/>
      <c r="N15" s="224"/>
      <c r="O15" s="224"/>
      <c r="P15" s="230">
        <f>SUM(P12:P14)</f>
        <v>1798</v>
      </c>
      <c r="Q15" s="842"/>
      <c r="R15" s="234"/>
      <c r="S15" s="235"/>
    </row>
    <row r="16" spans="1:46">
      <c r="D16" s="283"/>
      <c r="K16" s="863" t="s">
        <v>185</v>
      </c>
      <c r="L16" s="863"/>
      <c r="M16" s="863"/>
      <c r="N16" s="863"/>
      <c r="P16" s="615">
        <f>L13-'PKK Tri 2'!L13</f>
        <v>4425</v>
      </c>
      <c r="Q16" s="842"/>
      <c r="R16" s="230"/>
    </row>
    <row r="17" spans="3:46">
      <c r="D17" s="284" t="s">
        <v>182</v>
      </c>
      <c r="K17" s="863" t="s">
        <v>79</v>
      </c>
      <c r="L17" s="863"/>
      <c r="M17" s="863"/>
      <c r="N17" s="863"/>
      <c r="O17" s="246"/>
      <c r="Q17" s="842"/>
      <c r="R17" s="230"/>
    </row>
    <row r="18" spans="3:46">
      <c r="C18" s="367"/>
      <c r="D18" s="368" t="s">
        <v>183</v>
      </c>
      <c r="E18" s="367"/>
      <c r="F18" s="367"/>
      <c r="G18" s="367"/>
      <c r="K18" s="247"/>
      <c r="L18" s="247"/>
      <c r="M18" s="247"/>
      <c r="N18" s="247"/>
      <c r="O18" s="246"/>
      <c r="Q18" s="836" t="s">
        <v>249</v>
      </c>
    </row>
    <row r="19" spans="3:46">
      <c r="C19" s="367"/>
      <c r="D19" s="368"/>
      <c r="E19" s="367"/>
      <c r="F19" s="367"/>
      <c r="G19" s="367"/>
      <c r="K19" s="247"/>
      <c r="L19" s="247"/>
      <c r="M19" s="247"/>
      <c r="N19" s="247"/>
      <c r="O19" s="247"/>
      <c r="Q19" s="836"/>
    </row>
    <row r="20" spans="3:46">
      <c r="C20" s="367"/>
      <c r="D20" s="368"/>
      <c r="E20" s="367"/>
      <c r="F20" s="367"/>
      <c r="G20" s="367"/>
      <c r="I20" s="248"/>
      <c r="J20" s="249"/>
      <c r="K20" s="250"/>
      <c r="L20" s="250"/>
      <c r="M20" s="250"/>
      <c r="N20" s="250"/>
      <c r="O20" s="247"/>
      <c r="Q20" s="836"/>
    </row>
    <row r="21" spans="3:46" s="248" customFormat="1">
      <c r="C21" s="369"/>
      <c r="D21" s="369"/>
      <c r="E21" s="369"/>
      <c r="F21" s="369"/>
      <c r="G21" s="369"/>
      <c r="J21" s="249"/>
      <c r="K21" s="864" t="s">
        <v>177</v>
      </c>
      <c r="L21" s="864"/>
      <c r="M21" s="864"/>
      <c r="N21" s="864"/>
      <c r="O21" s="250"/>
      <c r="P21" s="613"/>
      <c r="Q21" s="836"/>
      <c r="R21" s="251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</row>
    <row r="22" spans="3:46" s="248" customFormat="1">
      <c r="C22" s="369"/>
      <c r="D22" s="370" t="s">
        <v>180</v>
      </c>
      <c r="E22" s="369"/>
      <c r="F22" s="369"/>
      <c r="G22" s="369"/>
      <c r="I22" s="189"/>
      <c r="J22" s="244"/>
      <c r="K22" s="865" t="s">
        <v>250</v>
      </c>
      <c r="L22" s="865"/>
      <c r="M22" s="865"/>
      <c r="N22" s="865"/>
      <c r="O22" s="253"/>
      <c r="P22" s="613"/>
      <c r="Q22" s="836"/>
      <c r="R22" s="251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</row>
    <row r="23" spans="3:46" s="189" customFormat="1">
      <c r="C23" s="367"/>
      <c r="D23" s="371" t="s">
        <v>181</v>
      </c>
      <c r="E23" s="367"/>
      <c r="F23" s="367"/>
      <c r="G23" s="367"/>
      <c r="J23" s="244"/>
      <c r="K23" s="254"/>
      <c r="L23" s="255"/>
      <c r="O23" s="245"/>
      <c r="P23" s="614"/>
      <c r="Q23" s="836"/>
      <c r="R23" s="256"/>
      <c r="S23" s="257"/>
      <c r="T23" s="257"/>
      <c r="U23" s="257"/>
      <c r="V23" s="257"/>
      <c r="W23" s="257"/>
      <c r="X23" s="257"/>
      <c r="Y23" s="257"/>
      <c r="Z23" s="257"/>
      <c r="AA23" s="257"/>
      <c r="AB23" s="257"/>
      <c r="AC23" s="257"/>
      <c r="AD23" s="257"/>
      <c r="AE23" s="257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</row>
    <row r="24" spans="3:46" s="189" customFormat="1">
      <c r="C24" s="367"/>
      <c r="D24" s="367"/>
      <c r="E24" s="367"/>
      <c r="F24" s="367"/>
      <c r="G24" s="367"/>
      <c r="J24" s="244"/>
      <c r="K24" s="254"/>
      <c r="L24" s="255"/>
      <c r="P24" s="614"/>
      <c r="Q24" s="836"/>
      <c r="R24" s="256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</row>
    <row r="25" spans="3:46" ht="51">
      <c r="C25" s="367"/>
      <c r="D25" s="367"/>
      <c r="E25" s="367"/>
      <c r="F25" s="367"/>
      <c r="G25" s="367"/>
      <c r="Q25" s="836"/>
      <c r="R25" s="258"/>
      <c r="S25" s="259"/>
      <c r="T25" s="259" t="s">
        <v>251</v>
      </c>
      <c r="U25" s="259" t="s">
        <v>252</v>
      </c>
      <c r="V25" s="259" t="s">
        <v>253</v>
      </c>
      <c r="W25" s="259" t="s">
        <v>254</v>
      </c>
      <c r="X25" s="259" t="s">
        <v>201</v>
      </c>
      <c r="Y25" s="259" t="s">
        <v>255</v>
      </c>
      <c r="Z25" s="259" t="s">
        <v>256</v>
      </c>
      <c r="AA25" s="259" t="s">
        <v>257</v>
      </c>
      <c r="AB25" s="259" t="s">
        <v>258</v>
      </c>
      <c r="AC25" s="259" t="s">
        <v>259</v>
      </c>
      <c r="AD25" s="259" t="s">
        <v>260</v>
      </c>
      <c r="AE25" s="259" t="s">
        <v>261</v>
      </c>
    </row>
    <row r="26" spans="3:46" ht="15" customHeight="1">
      <c r="Q26" s="836" t="s">
        <v>262</v>
      </c>
      <c r="T26" s="259"/>
      <c r="U26" s="259">
        <v>150000</v>
      </c>
      <c r="V26" s="259"/>
      <c r="W26" s="259"/>
      <c r="X26" s="259"/>
      <c r="Y26" s="259"/>
      <c r="Z26" s="259"/>
      <c r="AA26" s="259"/>
      <c r="AB26" s="259"/>
      <c r="AC26" s="259"/>
      <c r="AD26" s="259"/>
      <c r="AE26" s="259">
        <f t="shared" ref="AE26:AE31" si="0">SUM(T26:AD26)</f>
        <v>150000</v>
      </c>
      <c r="AG26" s="192">
        <v>374000</v>
      </c>
      <c r="AH26" s="191">
        <f>AG26/5500</f>
        <v>68</v>
      </c>
    </row>
    <row r="27" spans="3:46">
      <c r="Q27" s="836"/>
      <c r="T27" s="259"/>
      <c r="U27" s="259"/>
      <c r="V27" s="259">
        <v>600000</v>
      </c>
      <c r="W27" s="259"/>
      <c r="X27" s="259"/>
      <c r="Y27" s="259"/>
      <c r="Z27" s="259"/>
      <c r="AA27" s="259"/>
      <c r="AB27" s="259"/>
      <c r="AC27" s="259"/>
      <c r="AD27" s="259"/>
      <c r="AE27" s="259">
        <f t="shared" si="0"/>
        <v>600000</v>
      </c>
      <c r="AG27" s="192">
        <v>260000</v>
      </c>
    </row>
    <row r="28" spans="3:46">
      <c r="Q28" s="836"/>
      <c r="R28" s="260" t="s">
        <v>263</v>
      </c>
      <c r="S28" s="235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>
        <f t="shared" si="0"/>
        <v>0</v>
      </c>
      <c r="AG28" s="192">
        <v>165000</v>
      </c>
      <c r="AH28" s="191">
        <f>AG28/5500</f>
        <v>30</v>
      </c>
    </row>
    <row r="29" spans="3:46">
      <c r="Q29" s="836"/>
      <c r="R29" s="260" t="s">
        <v>264</v>
      </c>
      <c r="S29" s="235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>
        <f t="shared" si="0"/>
        <v>0</v>
      </c>
    </row>
    <row r="30" spans="3:46">
      <c r="Q30" s="836"/>
      <c r="R30" s="260" t="s">
        <v>265</v>
      </c>
      <c r="S30" s="235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59">
        <f t="shared" si="0"/>
        <v>0</v>
      </c>
    </row>
    <row r="31" spans="3:46">
      <c r="Q31" s="836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>
        <f t="shared" si="0"/>
        <v>0</v>
      </c>
    </row>
    <row r="32" spans="3:46">
      <c r="Q32" s="836"/>
      <c r="R32" s="262"/>
      <c r="S32" s="263"/>
      <c r="T32" s="263">
        <f>SUM(T26:T31)</f>
        <v>0</v>
      </c>
      <c r="U32" s="263">
        <f t="shared" ref="U32:AE32" si="1">SUM(U26:U31)</f>
        <v>150000</v>
      </c>
      <c r="V32" s="263">
        <f t="shared" si="1"/>
        <v>600000</v>
      </c>
      <c r="W32" s="263">
        <f t="shared" si="1"/>
        <v>0</v>
      </c>
      <c r="X32" s="263">
        <f t="shared" si="1"/>
        <v>0</v>
      </c>
      <c r="Y32" s="263">
        <f t="shared" si="1"/>
        <v>0</v>
      </c>
      <c r="Z32" s="263">
        <f t="shared" si="1"/>
        <v>0</v>
      </c>
      <c r="AA32" s="263">
        <f t="shared" si="1"/>
        <v>0</v>
      </c>
      <c r="AB32" s="263">
        <f t="shared" si="1"/>
        <v>0</v>
      </c>
      <c r="AC32" s="263">
        <f t="shared" si="1"/>
        <v>0</v>
      </c>
      <c r="AD32" s="263">
        <f t="shared" si="1"/>
        <v>0</v>
      </c>
      <c r="AE32" s="264">
        <f t="shared" si="1"/>
        <v>750000</v>
      </c>
    </row>
    <row r="33" spans="1:46" s="267" customFormat="1">
      <c r="A33" s="189"/>
      <c r="B33" s="189"/>
      <c r="C33" s="189"/>
      <c r="D33" s="189"/>
      <c r="E33" s="189"/>
      <c r="F33" s="189"/>
      <c r="G33" s="189"/>
      <c r="H33" s="189"/>
      <c r="I33" s="189"/>
      <c r="J33" s="244"/>
      <c r="K33" s="254"/>
      <c r="L33" s="255"/>
      <c r="M33" s="189"/>
      <c r="N33" s="189"/>
      <c r="O33" s="189"/>
      <c r="P33" s="278"/>
      <c r="Q33" s="836"/>
      <c r="R33" s="265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265"/>
      <c r="AT33" s="265"/>
    </row>
    <row r="34" spans="1:46" ht="12.75" customHeight="1">
      <c r="Q34" s="836" t="s">
        <v>266</v>
      </c>
      <c r="R34" s="258"/>
      <c r="S34" s="259"/>
      <c r="T34" s="259" t="s">
        <v>251</v>
      </c>
      <c r="U34" s="259" t="s">
        <v>252</v>
      </c>
      <c r="V34" s="259" t="s">
        <v>253</v>
      </c>
      <c r="W34" s="259" t="s">
        <v>254</v>
      </c>
      <c r="X34" s="259" t="s">
        <v>201</v>
      </c>
      <c r="Y34" s="259" t="s">
        <v>255</v>
      </c>
      <c r="Z34" s="259" t="s">
        <v>256</v>
      </c>
      <c r="AA34" s="259" t="s">
        <v>257</v>
      </c>
      <c r="AB34" s="259" t="s">
        <v>258</v>
      </c>
      <c r="AC34" s="259" t="s">
        <v>259</v>
      </c>
      <c r="AD34" s="259" t="s">
        <v>260</v>
      </c>
      <c r="AE34" s="259" t="s">
        <v>261</v>
      </c>
    </row>
    <row r="35" spans="1:46">
      <c r="Q35" s="836"/>
      <c r="R35" s="258" t="s">
        <v>267</v>
      </c>
      <c r="S35" s="259">
        <v>540000</v>
      </c>
      <c r="T35" s="259">
        <f>10*5500</f>
        <v>55000</v>
      </c>
      <c r="U35" s="259"/>
      <c r="V35" s="259">
        <f>10*5500</f>
        <v>55000</v>
      </c>
      <c r="W35" s="259"/>
      <c r="X35" s="259"/>
      <c r="Y35" s="259"/>
      <c r="Z35" s="259"/>
      <c r="AA35" s="259"/>
      <c r="AB35" s="259"/>
      <c r="AC35" s="259"/>
      <c r="AD35" s="259"/>
      <c r="AE35" s="259">
        <f t="shared" ref="AE35:AE40" si="2">SUM(T35:AD35)</f>
        <v>110000</v>
      </c>
      <c r="AF35" s="225">
        <f>AE35+AE43+AE51+AE59+AE67+AE75+AE26</f>
        <v>799000</v>
      </c>
      <c r="AG35" s="225" t="e">
        <f>#REF!</f>
        <v>#REF!</v>
      </c>
      <c r="AH35" s="225" t="e">
        <f>AF35-AG35</f>
        <v>#REF!</v>
      </c>
    </row>
    <row r="36" spans="1:46">
      <c r="Q36" s="836"/>
      <c r="R36" s="258" t="s">
        <v>268</v>
      </c>
      <c r="S36" s="259">
        <v>90000</v>
      </c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>
        <f t="shared" si="2"/>
        <v>0</v>
      </c>
      <c r="AF36" s="225">
        <f>AE36+AE44+AE52+AE60+AE68+AE76+AE27</f>
        <v>600000</v>
      </c>
      <c r="AG36" s="225" t="e">
        <f>#REF!</f>
        <v>#REF!</v>
      </c>
      <c r="AH36" s="225" t="e">
        <f>AF36-AG36</f>
        <v>#REF!</v>
      </c>
    </row>
    <row r="37" spans="1:46">
      <c r="Q37" s="836"/>
      <c r="R37" s="258" t="s">
        <v>269</v>
      </c>
      <c r="S37" s="259">
        <v>3168000</v>
      </c>
      <c r="T37" s="259">
        <v>450000</v>
      </c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>
        <f t="shared" si="2"/>
        <v>450000</v>
      </c>
      <c r="AF37" s="225">
        <f>AE37+AE45+AE53+AE61+AE69+AE77</f>
        <v>4657500</v>
      </c>
      <c r="AG37" s="225" t="e">
        <f>#REF!</f>
        <v>#REF!</v>
      </c>
      <c r="AH37" s="225" t="e">
        <f>AF37-AG37</f>
        <v>#REF!</v>
      </c>
    </row>
    <row r="38" spans="1:46">
      <c r="Q38" s="836"/>
      <c r="R38" s="258" t="s">
        <v>270</v>
      </c>
      <c r="S38" s="259">
        <v>3000000</v>
      </c>
      <c r="T38" s="259">
        <v>500000</v>
      </c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>
        <f t="shared" si="2"/>
        <v>500000</v>
      </c>
      <c r="AF38" s="225">
        <f>AE38+AE46+AE54+AE62+AE70+AE78</f>
        <v>4000000</v>
      </c>
      <c r="AG38" s="225" t="e">
        <f>#REF!</f>
        <v>#REF!</v>
      </c>
      <c r="AH38" s="225" t="e">
        <f>AF38-AG38</f>
        <v>#REF!</v>
      </c>
    </row>
    <row r="39" spans="1:46" s="191" customFormat="1">
      <c r="A39" s="189"/>
      <c r="B39" s="189"/>
      <c r="C39" s="189"/>
      <c r="D39" s="189"/>
      <c r="E39" s="189"/>
      <c r="F39" s="189"/>
      <c r="G39" s="189"/>
      <c r="H39" s="189"/>
      <c r="I39" s="189"/>
      <c r="J39" s="244"/>
      <c r="K39" s="254"/>
      <c r="L39" s="255"/>
      <c r="M39" s="189"/>
      <c r="N39" s="189"/>
      <c r="O39" s="189"/>
      <c r="P39" s="230"/>
      <c r="Q39" s="836"/>
      <c r="R39" s="191" t="s">
        <v>271</v>
      </c>
      <c r="S39" s="192">
        <v>3000000</v>
      </c>
      <c r="T39" s="261">
        <v>500000</v>
      </c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59">
        <f t="shared" si="2"/>
        <v>500000</v>
      </c>
      <c r="AF39" s="225">
        <f>AE39+AE47+AE55+AE63+AE71+AE79</f>
        <v>4700000</v>
      </c>
      <c r="AG39" s="225" t="e">
        <f>#REF!</f>
        <v>#REF!</v>
      </c>
      <c r="AH39" s="225" t="e">
        <f>AF39-AG39</f>
        <v>#REF!</v>
      </c>
    </row>
    <row r="40" spans="1:46" s="191" customFormat="1">
      <c r="A40" s="189"/>
      <c r="B40" s="189"/>
      <c r="C40" s="189"/>
      <c r="D40" s="189"/>
      <c r="E40" s="189"/>
      <c r="F40" s="189"/>
      <c r="G40" s="189"/>
      <c r="H40" s="189"/>
      <c r="I40" s="189"/>
      <c r="J40" s="244"/>
      <c r="K40" s="254"/>
      <c r="L40" s="255"/>
      <c r="M40" s="189"/>
      <c r="N40" s="189"/>
      <c r="O40" s="189"/>
      <c r="P40" s="230"/>
      <c r="Q40" s="836"/>
      <c r="S40" s="192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>
        <f t="shared" si="2"/>
        <v>0</v>
      </c>
    </row>
    <row r="41" spans="1:46" s="191" customFormat="1">
      <c r="A41" s="189"/>
      <c r="B41" s="189"/>
      <c r="C41" s="189"/>
      <c r="D41" s="189"/>
      <c r="E41" s="189"/>
      <c r="F41" s="189"/>
      <c r="G41" s="189"/>
      <c r="H41" s="189"/>
      <c r="I41" s="189"/>
      <c r="J41" s="244"/>
      <c r="K41" s="254"/>
      <c r="L41" s="255"/>
      <c r="M41" s="189"/>
      <c r="N41" s="189"/>
      <c r="O41" s="189"/>
      <c r="P41" s="230"/>
      <c r="Q41" s="836"/>
      <c r="R41" s="262"/>
      <c r="S41" s="263"/>
      <c r="T41" s="263">
        <f>SUM(T35:T40)</f>
        <v>1505000</v>
      </c>
      <c r="U41" s="263">
        <f t="shared" ref="U41:AE41" si="3">SUM(U35:U40)</f>
        <v>0</v>
      </c>
      <c r="V41" s="263">
        <f t="shared" si="3"/>
        <v>55000</v>
      </c>
      <c r="W41" s="263">
        <f t="shared" si="3"/>
        <v>0</v>
      </c>
      <c r="X41" s="263">
        <f t="shared" si="3"/>
        <v>0</v>
      </c>
      <c r="Y41" s="263">
        <f t="shared" si="3"/>
        <v>0</v>
      </c>
      <c r="Z41" s="263">
        <f t="shared" si="3"/>
        <v>0</v>
      </c>
      <c r="AA41" s="263">
        <f t="shared" si="3"/>
        <v>0</v>
      </c>
      <c r="AB41" s="263">
        <f t="shared" si="3"/>
        <v>0</v>
      </c>
      <c r="AC41" s="263">
        <f t="shared" si="3"/>
        <v>0</v>
      </c>
      <c r="AD41" s="263">
        <f t="shared" si="3"/>
        <v>0</v>
      </c>
      <c r="AE41" s="264">
        <f t="shared" si="3"/>
        <v>1560000</v>
      </c>
    </row>
    <row r="42" spans="1:46" s="191" customFormat="1" ht="12.75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244"/>
      <c r="K42" s="254"/>
      <c r="L42" s="255"/>
      <c r="M42" s="189"/>
      <c r="N42" s="189"/>
      <c r="O42" s="189"/>
      <c r="P42" s="230"/>
      <c r="Q42" s="836" t="s">
        <v>272</v>
      </c>
      <c r="R42" s="258"/>
      <c r="S42" s="259"/>
      <c r="T42" s="259" t="s">
        <v>251</v>
      </c>
      <c r="U42" s="259" t="s">
        <v>252</v>
      </c>
      <c r="V42" s="259" t="s">
        <v>253</v>
      </c>
      <c r="W42" s="259" t="s">
        <v>254</v>
      </c>
      <c r="X42" s="259" t="s">
        <v>201</v>
      </c>
      <c r="Y42" s="259" t="s">
        <v>255</v>
      </c>
      <c r="Z42" s="259" t="s">
        <v>256</v>
      </c>
      <c r="AA42" s="259" t="s">
        <v>257</v>
      </c>
      <c r="AB42" s="259" t="s">
        <v>258</v>
      </c>
      <c r="AC42" s="259" t="s">
        <v>259</v>
      </c>
      <c r="AD42" s="259" t="s">
        <v>260</v>
      </c>
      <c r="AE42" s="259" t="s">
        <v>261</v>
      </c>
    </row>
    <row r="43" spans="1:46" s="191" customFormat="1">
      <c r="A43" s="189"/>
      <c r="B43" s="189"/>
      <c r="C43" s="189"/>
      <c r="D43" s="189"/>
      <c r="E43" s="189"/>
      <c r="F43" s="189"/>
      <c r="G43" s="189"/>
      <c r="H43" s="189"/>
      <c r="I43" s="189"/>
      <c r="J43" s="244"/>
      <c r="K43" s="254"/>
      <c r="L43" s="255"/>
      <c r="M43" s="189"/>
      <c r="N43" s="189"/>
      <c r="O43" s="189"/>
      <c r="P43" s="230"/>
      <c r="Q43" s="836"/>
      <c r="R43" s="258" t="s">
        <v>267</v>
      </c>
      <c r="S43" s="259">
        <v>540000</v>
      </c>
      <c r="T43" s="259"/>
      <c r="U43" s="259">
        <f>20*5500</f>
        <v>110000</v>
      </c>
      <c r="V43" s="259"/>
      <c r="W43" s="259"/>
      <c r="X43" s="259"/>
      <c r="Y43" s="259"/>
      <c r="Z43" s="259"/>
      <c r="AA43" s="259"/>
      <c r="AB43" s="259"/>
      <c r="AC43" s="259"/>
      <c r="AD43" s="259"/>
      <c r="AE43" s="259">
        <f t="shared" ref="AE43:AE48" si="4">SUM(T43:AD43)</f>
        <v>110000</v>
      </c>
    </row>
    <row r="44" spans="1:46" s="191" customFormat="1">
      <c r="A44" s="189"/>
      <c r="B44" s="189"/>
      <c r="C44" s="189"/>
      <c r="D44" s="189"/>
      <c r="E44" s="189"/>
      <c r="F44" s="189"/>
      <c r="G44" s="189"/>
      <c r="H44" s="189"/>
      <c r="I44" s="189"/>
      <c r="J44" s="244"/>
      <c r="K44" s="254"/>
      <c r="L44" s="255"/>
      <c r="M44" s="189"/>
      <c r="N44" s="189"/>
      <c r="O44" s="189"/>
      <c r="P44" s="230"/>
      <c r="Q44" s="836"/>
      <c r="R44" s="258" t="s">
        <v>268</v>
      </c>
      <c r="S44" s="259">
        <v>90000</v>
      </c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>
        <f t="shared" si="4"/>
        <v>0</v>
      </c>
    </row>
    <row r="45" spans="1:46" s="191" customFormat="1">
      <c r="A45" s="189"/>
      <c r="B45" s="189"/>
      <c r="C45" s="189"/>
      <c r="D45" s="189"/>
      <c r="E45" s="189"/>
      <c r="F45" s="189"/>
      <c r="G45" s="189"/>
      <c r="H45" s="189"/>
      <c r="I45" s="189"/>
      <c r="J45" s="244"/>
      <c r="K45" s="254"/>
      <c r="L45" s="255"/>
      <c r="M45" s="189"/>
      <c r="N45" s="189"/>
      <c r="O45" s="189"/>
      <c r="P45" s="230"/>
      <c r="Q45" s="836"/>
      <c r="R45" s="258" t="s">
        <v>269</v>
      </c>
      <c r="S45" s="259">
        <v>3168000</v>
      </c>
      <c r="T45" s="259"/>
      <c r="U45" s="259">
        <v>450000</v>
      </c>
      <c r="V45" s="259"/>
      <c r="W45" s="259"/>
      <c r="X45" s="259"/>
      <c r="Y45" s="259"/>
      <c r="Z45" s="259"/>
      <c r="AA45" s="259"/>
      <c r="AB45" s="259"/>
      <c r="AC45" s="259"/>
      <c r="AD45" s="259"/>
      <c r="AE45" s="259">
        <f t="shared" si="4"/>
        <v>450000</v>
      </c>
    </row>
    <row r="46" spans="1:46" s="191" customFormat="1">
      <c r="A46" s="189"/>
      <c r="B46" s="189"/>
      <c r="C46" s="189"/>
      <c r="D46" s="189"/>
      <c r="E46" s="189"/>
      <c r="F46" s="189"/>
      <c r="G46" s="189"/>
      <c r="H46" s="189"/>
      <c r="I46" s="189"/>
      <c r="J46" s="244"/>
      <c r="K46" s="254"/>
      <c r="L46" s="255"/>
      <c r="M46" s="189"/>
      <c r="N46" s="189"/>
      <c r="O46" s="189"/>
      <c r="P46" s="230"/>
      <c r="Q46" s="836"/>
      <c r="R46" s="258" t="s">
        <v>270</v>
      </c>
      <c r="S46" s="259">
        <v>3000000</v>
      </c>
      <c r="T46" s="259"/>
      <c r="U46" s="259">
        <v>500000</v>
      </c>
      <c r="V46" s="259"/>
      <c r="W46" s="259"/>
      <c r="X46" s="259"/>
      <c r="Y46" s="259"/>
      <c r="Z46" s="259"/>
      <c r="AA46" s="259"/>
      <c r="AB46" s="259"/>
      <c r="AC46" s="259"/>
      <c r="AD46" s="259"/>
      <c r="AE46" s="259">
        <f t="shared" si="4"/>
        <v>500000</v>
      </c>
    </row>
    <row r="47" spans="1:46" s="191" customFormat="1">
      <c r="A47" s="189"/>
      <c r="B47" s="189"/>
      <c r="C47" s="189"/>
      <c r="D47" s="189"/>
      <c r="E47" s="189"/>
      <c r="F47" s="189"/>
      <c r="G47" s="189"/>
      <c r="H47" s="189"/>
      <c r="I47" s="189"/>
      <c r="J47" s="244"/>
      <c r="K47" s="254"/>
      <c r="L47" s="255"/>
      <c r="M47" s="189"/>
      <c r="N47" s="189"/>
      <c r="O47" s="189"/>
      <c r="P47" s="230"/>
      <c r="Q47" s="836"/>
      <c r="R47" s="191" t="s">
        <v>271</v>
      </c>
      <c r="S47" s="192">
        <v>3000000</v>
      </c>
      <c r="T47" s="261"/>
      <c r="U47" s="261">
        <v>500000</v>
      </c>
      <c r="V47" s="261"/>
      <c r="W47" s="261"/>
      <c r="X47" s="261"/>
      <c r="Y47" s="261"/>
      <c r="Z47" s="261"/>
      <c r="AA47" s="261"/>
      <c r="AB47" s="261"/>
      <c r="AC47" s="261"/>
      <c r="AD47" s="261"/>
      <c r="AE47" s="259">
        <f t="shared" si="4"/>
        <v>500000</v>
      </c>
    </row>
    <row r="48" spans="1:46" s="191" customFormat="1">
      <c r="A48" s="189"/>
      <c r="B48" s="189"/>
      <c r="C48" s="189"/>
      <c r="D48" s="189"/>
      <c r="E48" s="189"/>
      <c r="F48" s="189"/>
      <c r="G48" s="189"/>
      <c r="H48" s="189"/>
      <c r="I48" s="189"/>
      <c r="J48" s="244"/>
      <c r="K48" s="254"/>
      <c r="L48" s="255"/>
      <c r="M48" s="189"/>
      <c r="N48" s="189"/>
      <c r="O48" s="189"/>
      <c r="P48" s="230"/>
      <c r="Q48" s="836"/>
      <c r="S48" s="192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>
        <f t="shared" si="4"/>
        <v>0</v>
      </c>
    </row>
    <row r="49" spans="1:31" s="191" customFormat="1">
      <c r="A49" s="189"/>
      <c r="B49" s="189"/>
      <c r="C49" s="189"/>
      <c r="D49" s="189"/>
      <c r="E49" s="189"/>
      <c r="F49" s="189"/>
      <c r="G49" s="189"/>
      <c r="H49" s="189"/>
      <c r="I49" s="189"/>
      <c r="J49" s="244"/>
      <c r="K49" s="254"/>
      <c r="L49" s="255"/>
      <c r="M49" s="189"/>
      <c r="N49" s="189"/>
      <c r="O49" s="189"/>
      <c r="P49" s="230"/>
      <c r="Q49" s="836"/>
      <c r="R49" s="258"/>
      <c r="S49" s="192"/>
      <c r="T49" s="263">
        <f>SUM(T43:T48)</f>
        <v>0</v>
      </c>
      <c r="U49" s="263">
        <f t="shared" ref="U49:AE49" si="5">SUM(U43:U48)</f>
        <v>1560000</v>
      </c>
      <c r="V49" s="263">
        <f t="shared" si="5"/>
        <v>0</v>
      </c>
      <c r="W49" s="263">
        <f t="shared" si="5"/>
        <v>0</v>
      </c>
      <c r="X49" s="263">
        <f t="shared" si="5"/>
        <v>0</v>
      </c>
      <c r="Y49" s="263">
        <f t="shared" si="5"/>
        <v>0</v>
      </c>
      <c r="Z49" s="263">
        <f t="shared" si="5"/>
        <v>0</v>
      </c>
      <c r="AA49" s="263">
        <f t="shared" si="5"/>
        <v>0</v>
      </c>
      <c r="AB49" s="263">
        <f t="shared" si="5"/>
        <v>0</v>
      </c>
      <c r="AC49" s="263">
        <f t="shared" si="5"/>
        <v>0</v>
      </c>
      <c r="AD49" s="263">
        <f t="shared" si="5"/>
        <v>0</v>
      </c>
      <c r="AE49" s="264">
        <f t="shared" si="5"/>
        <v>1560000</v>
      </c>
    </row>
    <row r="50" spans="1:31" s="191" customFormat="1" ht="51">
      <c r="A50" s="189"/>
      <c r="B50" s="189"/>
      <c r="C50" s="189"/>
      <c r="D50" s="189"/>
      <c r="E50" s="189"/>
      <c r="F50" s="189"/>
      <c r="G50" s="189"/>
      <c r="H50" s="189"/>
      <c r="I50" s="189"/>
      <c r="J50" s="244"/>
      <c r="K50" s="254"/>
      <c r="L50" s="255"/>
      <c r="M50" s="189"/>
      <c r="N50" s="189"/>
      <c r="O50" s="189"/>
      <c r="P50" s="230"/>
      <c r="Q50" s="836" t="s">
        <v>273</v>
      </c>
      <c r="R50" s="258"/>
      <c r="S50" s="259"/>
      <c r="T50" s="259" t="s">
        <v>251</v>
      </c>
      <c r="U50" s="259" t="s">
        <v>252</v>
      </c>
      <c r="V50" s="259" t="s">
        <v>253</v>
      </c>
      <c r="W50" s="259" t="s">
        <v>254</v>
      </c>
      <c r="X50" s="259" t="s">
        <v>201</v>
      </c>
      <c r="Y50" s="259" t="s">
        <v>255</v>
      </c>
      <c r="Z50" s="259" t="s">
        <v>256</v>
      </c>
      <c r="AA50" s="259" t="s">
        <v>257</v>
      </c>
      <c r="AB50" s="259" t="s">
        <v>258</v>
      </c>
      <c r="AC50" s="259" t="s">
        <v>259</v>
      </c>
      <c r="AD50" s="259" t="s">
        <v>260</v>
      </c>
      <c r="AE50" s="259" t="s">
        <v>261</v>
      </c>
    </row>
    <row r="51" spans="1:31" s="191" customFormat="1">
      <c r="A51" s="189"/>
      <c r="B51" s="189"/>
      <c r="C51" s="189"/>
      <c r="D51" s="189"/>
      <c r="E51" s="189"/>
      <c r="F51" s="189"/>
      <c r="G51" s="189"/>
      <c r="H51" s="189"/>
      <c r="I51" s="189"/>
      <c r="J51" s="244"/>
      <c r="K51" s="254"/>
      <c r="L51" s="255"/>
      <c r="M51" s="189"/>
      <c r="N51" s="189"/>
      <c r="O51" s="189"/>
      <c r="P51" s="230"/>
      <c r="Q51" s="836"/>
      <c r="R51" s="258" t="s">
        <v>267</v>
      </c>
      <c r="S51" s="259">
        <v>540000</v>
      </c>
      <c r="T51" s="259">
        <f>10*5500</f>
        <v>55000</v>
      </c>
      <c r="U51" s="259"/>
      <c r="V51" s="259">
        <f>10*5500</f>
        <v>55000</v>
      </c>
      <c r="W51" s="259"/>
      <c r="X51" s="259"/>
      <c r="Y51" s="259"/>
      <c r="Z51" s="259"/>
      <c r="AA51" s="259"/>
      <c r="AB51" s="259"/>
      <c r="AC51" s="259"/>
      <c r="AD51" s="259"/>
      <c r="AE51" s="259">
        <f t="shared" ref="AE51:AE56" si="6">SUM(T51:AD51)</f>
        <v>110000</v>
      </c>
    </row>
    <row r="52" spans="1:31" s="191" customFormat="1">
      <c r="A52" s="189"/>
      <c r="B52" s="189"/>
      <c r="C52" s="189"/>
      <c r="D52" s="189"/>
      <c r="E52" s="189"/>
      <c r="F52" s="189"/>
      <c r="G52" s="189"/>
      <c r="H52" s="189"/>
      <c r="I52" s="189"/>
      <c r="J52" s="244"/>
      <c r="K52" s="254"/>
      <c r="L52" s="255"/>
      <c r="M52" s="189"/>
      <c r="N52" s="189"/>
      <c r="O52" s="189"/>
      <c r="P52" s="230"/>
      <c r="Q52" s="836"/>
      <c r="R52" s="258" t="s">
        <v>268</v>
      </c>
      <c r="S52" s="259">
        <v>90000</v>
      </c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>
        <f t="shared" si="6"/>
        <v>0</v>
      </c>
    </row>
    <row r="53" spans="1:31" s="191" customFormat="1">
      <c r="A53" s="189"/>
      <c r="B53" s="189"/>
      <c r="C53" s="189"/>
      <c r="D53" s="189"/>
      <c r="E53" s="189"/>
      <c r="F53" s="189"/>
      <c r="G53" s="189"/>
      <c r="H53" s="189"/>
      <c r="I53" s="189"/>
      <c r="J53" s="244"/>
      <c r="K53" s="254"/>
      <c r="L53" s="255"/>
      <c r="M53" s="189"/>
      <c r="N53" s="189"/>
      <c r="O53" s="189"/>
      <c r="P53" s="230"/>
      <c r="Q53" s="836"/>
      <c r="R53" s="258" t="s">
        <v>269</v>
      </c>
      <c r="S53" s="259">
        <v>3168000</v>
      </c>
      <c r="T53" s="259">
        <v>450000</v>
      </c>
      <c r="U53" s="259"/>
      <c r="V53" s="259">
        <v>450000</v>
      </c>
      <c r="W53" s="259"/>
      <c r="X53" s="259"/>
      <c r="Y53" s="259"/>
      <c r="Z53" s="259"/>
      <c r="AA53" s="259"/>
      <c r="AB53" s="259"/>
      <c r="AC53" s="259"/>
      <c r="AD53" s="259"/>
      <c r="AE53" s="259">
        <f t="shared" si="6"/>
        <v>900000</v>
      </c>
    </row>
    <row r="54" spans="1:31" s="191" customFormat="1">
      <c r="A54" s="189"/>
      <c r="B54" s="189"/>
      <c r="C54" s="189"/>
      <c r="D54" s="189"/>
      <c r="E54" s="189"/>
      <c r="F54" s="189"/>
      <c r="G54" s="189"/>
      <c r="H54" s="189"/>
      <c r="I54" s="189"/>
      <c r="J54" s="244"/>
      <c r="K54" s="254"/>
      <c r="L54" s="255"/>
      <c r="M54" s="189"/>
      <c r="N54" s="189"/>
      <c r="O54" s="189"/>
      <c r="P54" s="230"/>
      <c r="Q54" s="836"/>
      <c r="R54" s="258" t="s">
        <v>270</v>
      </c>
      <c r="S54" s="259">
        <v>3000000</v>
      </c>
      <c r="T54" s="259">
        <v>500000</v>
      </c>
      <c r="U54" s="259"/>
      <c r="V54" s="259">
        <v>500000</v>
      </c>
      <c r="W54" s="259"/>
      <c r="X54" s="259"/>
      <c r="Y54" s="259"/>
      <c r="Z54" s="259"/>
      <c r="AA54" s="259"/>
      <c r="AB54" s="259"/>
      <c r="AC54" s="259"/>
      <c r="AD54" s="259"/>
      <c r="AE54" s="259">
        <f t="shared" si="6"/>
        <v>1000000</v>
      </c>
    </row>
    <row r="55" spans="1:31" s="191" customFormat="1">
      <c r="A55" s="189"/>
      <c r="B55" s="189"/>
      <c r="C55" s="189"/>
      <c r="D55" s="189"/>
      <c r="E55" s="189"/>
      <c r="F55" s="189"/>
      <c r="G55" s="189"/>
      <c r="H55" s="189"/>
      <c r="I55" s="189"/>
      <c r="J55" s="244"/>
      <c r="K55" s="254"/>
      <c r="L55" s="255"/>
      <c r="M55" s="189"/>
      <c r="N55" s="189"/>
      <c r="O55" s="189"/>
      <c r="P55" s="230"/>
      <c r="Q55" s="836"/>
      <c r="R55" s="191" t="s">
        <v>271</v>
      </c>
      <c r="S55" s="192">
        <v>3000000</v>
      </c>
      <c r="T55" s="261">
        <v>500000</v>
      </c>
      <c r="U55" s="261"/>
      <c r="V55" s="261">
        <v>500000</v>
      </c>
      <c r="W55" s="261"/>
      <c r="X55" s="261"/>
      <c r="Y55" s="261"/>
      <c r="Z55" s="261"/>
      <c r="AA55" s="261"/>
      <c r="AB55" s="261"/>
      <c r="AC55" s="261"/>
      <c r="AD55" s="261"/>
      <c r="AE55" s="259">
        <f t="shared" si="6"/>
        <v>1000000</v>
      </c>
    </row>
    <row r="56" spans="1:31" s="191" customFormat="1">
      <c r="A56" s="189"/>
      <c r="B56" s="189"/>
      <c r="C56" s="189"/>
      <c r="D56" s="189"/>
      <c r="E56" s="189"/>
      <c r="F56" s="189"/>
      <c r="G56" s="189"/>
      <c r="H56" s="189"/>
      <c r="I56" s="189"/>
      <c r="J56" s="244"/>
      <c r="K56" s="254"/>
      <c r="L56" s="255"/>
      <c r="M56" s="189"/>
      <c r="N56" s="189"/>
      <c r="O56" s="189"/>
      <c r="P56" s="230"/>
      <c r="Q56" s="836"/>
      <c r="S56" s="192"/>
      <c r="T56" s="259"/>
      <c r="U56" s="259"/>
      <c r="V56" s="259"/>
      <c r="W56" s="259"/>
      <c r="X56" s="259"/>
      <c r="Y56" s="259"/>
      <c r="Z56" s="259"/>
      <c r="AA56" s="259"/>
      <c r="AB56" s="259"/>
      <c r="AC56" s="259"/>
      <c r="AD56" s="259"/>
      <c r="AE56" s="259">
        <f t="shared" si="6"/>
        <v>0</v>
      </c>
    </row>
    <row r="57" spans="1:31" s="191" customFormat="1">
      <c r="A57" s="189"/>
      <c r="B57" s="189"/>
      <c r="C57" s="189"/>
      <c r="D57" s="189"/>
      <c r="E57" s="189"/>
      <c r="F57" s="189"/>
      <c r="G57" s="189"/>
      <c r="H57" s="189"/>
      <c r="I57" s="189"/>
      <c r="J57" s="244"/>
      <c r="K57" s="254"/>
      <c r="L57" s="255"/>
      <c r="M57" s="189"/>
      <c r="N57" s="189"/>
      <c r="O57" s="189"/>
      <c r="P57" s="230"/>
      <c r="Q57" s="836"/>
      <c r="R57" s="258"/>
      <c r="S57" s="263">
        <f>SUM(S51:S56)</f>
        <v>9798000</v>
      </c>
      <c r="T57" s="263">
        <f>SUM(T51:T56)</f>
        <v>1505000</v>
      </c>
      <c r="U57" s="263">
        <f t="shared" ref="U57:AE57" si="7">SUM(U51:U56)</f>
        <v>0</v>
      </c>
      <c r="V57" s="263">
        <f t="shared" si="7"/>
        <v>1505000</v>
      </c>
      <c r="W57" s="263">
        <f t="shared" si="7"/>
        <v>0</v>
      </c>
      <c r="X57" s="263">
        <f t="shared" si="7"/>
        <v>0</v>
      </c>
      <c r="Y57" s="263">
        <f t="shared" si="7"/>
        <v>0</v>
      </c>
      <c r="Z57" s="263">
        <f t="shared" si="7"/>
        <v>0</v>
      </c>
      <c r="AA57" s="263">
        <f t="shared" si="7"/>
        <v>0</v>
      </c>
      <c r="AB57" s="263">
        <f t="shared" si="7"/>
        <v>0</v>
      </c>
      <c r="AC57" s="263">
        <f t="shared" si="7"/>
        <v>0</v>
      </c>
      <c r="AD57" s="263">
        <f t="shared" si="7"/>
        <v>0</v>
      </c>
      <c r="AE57" s="264">
        <f t="shared" si="7"/>
        <v>3010000</v>
      </c>
    </row>
    <row r="58" spans="1:31" s="191" customFormat="1" ht="51">
      <c r="A58" s="189"/>
      <c r="B58" s="189"/>
      <c r="C58" s="189"/>
      <c r="D58" s="189"/>
      <c r="E58" s="189"/>
      <c r="F58" s="189"/>
      <c r="G58" s="189"/>
      <c r="H58" s="189"/>
      <c r="I58" s="189"/>
      <c r="J58" s="244"/>
      <c r="K58" s="254"/>
      <c r="L58" s="255"/>
      <c r="M58" s="189"/>
      <c r="N58" s="189"/>
      <c r="O58" s="189"/>
      <c r="P58" s="230"/>
      <c r="Q58" s="836" t="s">
        <v>274</v>
      </c>
      <c r="R58" s="258"/>
      <c r="S58" s="259"/>
      <c r="T58" s="259" t="s">
        <v>251</v>
      </c>
      <c r="U58" s="259" t="s">
        <v>252</v>
      </c>
      <c r="V58" s="259" t="s">
        <v>253</v>
      </c>
      <c r="W58" s="259" t="s">
        <v>254</v>
      </c>
      <c r="X58" s="259" t="s">
        <v>201</v>
      </c>
      <c r="Y58" s="259" t="s">
        <v>255</v>
      </c>
      <c r="Z58" s="259" t="s">
        <v>256</v>
      </c>
      <c r="AA58" s="259" t="s">
        <v>257</v>
      </c>
      <c r="AB58" s="259" t="s">
        <v>258</v>
      </c>
      <c r="AC58" s="259" t="s">
        <v>259</v>
      </c>
      <c r="AD58" s="259" t="s">
        <v>260</v>
      </c>
      <c r="AE58" s="259" t="s">
        <v>261</v>
      </c>
    </row>
    <row r="59" spans="1:31" s="191" customFormat="1">
      <c r="A59" s="189"/>
      <c r="B59" s="189"/>
      <c r="C59" s="189"/>
      <c r="D59" s="189"/>
      <c r="E59" s="189"/>
      <c r="F59" s="189"/>
      <c r="G59" s="189"/>
      <c r="H59" s="189"/>
      <c r="I59" s="189"/>
      <c r="J59" s="244"/>
      <c r="K59" s="254"/>
      <c r="L59" s="255"/>
      <c r="M59" s="189"/>
      <c r="N59" s="189"/>
      <c r="O59" s="189"/>
      <c r="P59" s="230"/>
      <c r="Q59" s="836"/>
      <c r="R59" s="258" t="s">
        <v>267</v>
      </c>
      <c r="S59" s="259">
        <v>540000</v>
      </c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>
        <f t="shared" ref="AE59:AE64" si="8">SUM(T59:AD59)</f>
        <v>0</v>
      </c>
    </row>
    <row r="60" spans="1:31" s="191" customFormat="1">
      <c r="A60" s="189"/>
      <c r="B60" s="189"/>
      <c r="C60" s="189"/>
      <c r="D60" s="189"/>
      <c r="E60" s="189"/>
      <c r="F60" s="189"/>
      <c r="G60" s="189"/>
      <c r="H60" s="189"/>
      <c r="I60" s="189"/>
      <c r="J60" s="244"/>
      <c r="K60" s="254"/>
      <c r="L60" s="255"/>
      <c r="M60" s="189"/>
      <c r="N60" s="189"/>
      <c r="O60" s="189"/>
      <c r="P60" s="230"/>
      <c r="Q60" s="836"/>
      <c r="R60" s="258" t="s">
        <v>268</v>
      </c>
      <c r="S60" s="259">
        <v>90000</v>
      </c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>
        <f t="shared" si="8"/>
        <v>0</v>
      </c>
    </row>
    <row r="61" spans="1:31" s="191" customFormat="1">
      <c r="A61" s="189"/>
      <c r="B61" s="189"/>
      <c r="C61" s="189"/>
      <c r="D61" s="189"/>
      <c r="E61" s="189"/>
      <c r="F61" s="189"/>
      <c r="G61" s="189"/>
      <c r="H61" s="189"/>
      <c r="I61" s="189"/>
      <c r="J61" s="244"/>
      <c r="K61" s="254"/>
      <c r="L61" s="255"/>
      <c r="M61" s="189"/>
      <c r="N61" s="189"/>
      <c r="O61" s="189"/>
      <c r="P61" s="230"/>
      <c r="Q61" s="836"/>
      <c r="R61" s="258" t="s">
        <v>269</v>
      </c>
      <c r="S61" s="259">
        <v>3168000</v>
      </c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>
        <f t="shared" si="8"/>
        <v>0</v>
      </c>
    </row>
    <row r="62" spans="1:31" s="191" customFormat="1">
      <c r="A62" s="189"/>
      <c r="B62" s="189"/>
      <c r="C62" s="189"/>
      <c r="D62" s="189"/>
      <c r="E62" s="189"/>
      <c r="F62" s="189"/>
      <c r="G62" s="189"/>
      <c r="H62" s="189"/>
      <c r="I62" s="189"/>
      <c r="J62" s="244"/>
      <c r="K62" s="254"/>
      <c r="L62" s="255"/>
      <c r="M62" s="189"/>
      <c r="N62" s="189"/>
      <c r="O62" s="189"/>
      <c r="P62" s="230"/>
      <c r="Q62" s="836"/>
      <c r="R62" s="258" t="s">
        <v>270</v>
      </c>
      <c r="S62" s="259">
        <v>3000000</v>
      </c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>
        <f t="shared" si="8"/>
        <v>0</v>
      </c>
    </row>
    <row r="63" spans="1:31" s="191" customFormat="1">
      <c r="A63" s="189"/>
      <c r="B63" s="189"/>
      <c r="C63" s="189"/>
      <c r="D63" s="189"/>
      <c r="E63" s="189"/>
      <c r="F63" s="189"/>
      <c r="G63" s="189"/>
      <c r="H63" s="189"/>
      <c r="I63" s="189"/>
      <c r="J63" s="244"/>
      <c r="K63" s="254"/>
      <c r="L63" s="255"/>
      <c r="M63" s="189"/>
      <c r="N63" s="189"/>
      <c r="O63" s="189"/>
      <c r="P63" s="230"/>
      <c r="Q63" s="836"/>
      <c r="R63" s="191" t="s">
        <v>271</v>
      </c>
      <c r="S63" s="192">
        <v>3000000</v>
      </c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59">
        <f t="shared" si="8"/>
        <v>0</v>
      </c>
    </row>
    <row r="64" spans="1:31" s="191" customFormat="1">
      <c r="A64" s="189"/>
      <c r="B64" s="189"/>
      <c r="C64" s="189"/>
      <c r="D64" s="189"/>
      <c r="E64" s="189"/>
      <c r="F64" s="189"/>
      <c r="G64" s="189"/>
      <c r="H64" s="189"/>
      <c r="I64" s="189"/>
      <c r="J64" s="244"/>
      <c r="K64" s="254"/>
      <c r="L64" s="255"/>
      <c r="M64" s="189"/>
      <c r="N64" s="189"/>
      <c r="O64" s="189"/>
      <c r="P64" s="230"/>
      <c r="Q64" s="836"/>
      <c r="S64" s="192"/>
      <c r="T64" s="259"/>
      <c r="U64" s="259"/>
      <c r="V64" s="259"/>
      <c r="W64" s="259"/>
      <c r="X64" s="259"/>
      <c r="Y64" s="259"/>
      <c r="Z64" s="259"/>
      <c r="AA64" s="259"/>
      <c r="AB64" s="259"/>
      <c r="AC64" s="259"/>
      <c r="AD64" s="259"/>
      <c r="AE64" s="259">
        <f t="shared" si="8"/>
        <v>0</v>
      </c>
    </row>
    <row r="65" spans="1:33" s="191" customFormat="1">
      <c r="A65" s="189"/>
      <c r="B65" s="189"/>
      <c r="C65" s="189"/>
      <c r="D65" s="189"/>
      <c r="E65" s="189"/>
      <c r="F65" s="189"/>
      <c r="G65" s="189"/>
      <c r="H65" s="189"/>
      <c r="I65" s="189"/>
      <c r="J65" s="244"/>
      <c r="K65" s="254"/>
      <c r="L65" s="255"/>
      <c r="M65" s="189"/>
      <c r="N65" s="189"/>
      <c r="O65" s="189"/>
      <c r="P65" s="230"/>
      <c r="Q65" s="836"/>
      <c r="R65" s="258"/>
      <c r="S65" s="263">
        <f>SUM(S59:S64)</f>
        <v>9798000</v>
      </c>
      <c r="T65" s="263">
        <f>SUM(T59:T64)</f>
        <v>0</v>
      </c>
      <c r="U65" s="263">
        <f t="shared" ref="U65:AE65" si="9">SUM(U59:U64)</f>
        <v>0</v>
      </c>
      <c r="V65" s="263">
        <f t="shared" si="9"/>
        <v>0</v>
      </c>
      <c r="W65" s="263">
        <f t="shared" si="9"/>
        <v>0</v>
      </c>
      <c r="X65" s="263">
        <f t="shared" si="9"/>
        <v>0</v>
      </c>
      <c r="Y65" s="263">
        <f t="shared" si="9"/>
        <v>0</v>
      </c>
      <c r="Z65" s="263">
        <f t="shared" si="9"/>
        <v>0</v>
      </c>
      <c r="AA65" s="263">
        <f t="shared" si="9"/>
        <v>0</v>
      </c>
      <c r="AB65" s="263">
        <f t="shared" si="9"/>
        <v>0</v>
      </c>
      <c r="AC65" s="263">
        <f t="shared" si="9"/>
        <v>0</v>
      </c>
      <c r="AD65" s="263">
        <f t="shared" si="9"/>
        <v>0</v>
      </c>
      <c r="AE65" s="264">
        <f t="shared" si="9"/>
        <v>0</v>
      </c>
    </row>
    <row r="66" spans="1:33" s="191" customFormat="1" ht="51">
      <c r="A66" s="189"/>
      <c r="B66" s="189"/>
      <c r="C66" s="189"/>
      <c r="D66" s="189"/>
      <c r="E66" s="189"/>
      <c r="F66" s="189"/>
      <c r="G66" s="189"/>
      <c r="H66" s="189"/>
      <c r="I66" s="189"/>
      <c r="J66" s="244"/>
      <c r="K66" s="254"/>
      <c r="L66" s="255"/>
      <c r="M66" s="189"/>
      <c r="N66" s="189"/>
      <c r="O66" s="189"/>
      <c r="P66" s="230"/>
      <c r="Q66" s="836" t="s">
        <v>275</v>
      </c>
      <c r="R66" s="258"/>
      <c r="S66" s="259"/>
      <c r="T66" s="259" t="s">
        <v>251</v>
      </c>
      <c r="U66" s="259" t="s">
        <v>252</v>
      </c>
      <c r="V66" s="259" t="s">
        <v>253</v>
      </c>
      <c r="W66" s="259" t="s">
        <v>254</v>
      </c>
      <c r="X66" s="259" t="s">
        <v>201</v>
      </c>
      <c r="Y66" s="259" t="s">
        <v>255</v>
      </c>
      <c r="Z66" s="259" t="s">
        <v>256</v>
      </c>
      <c r="AA66" s="259" t="s">
        <v>257</v>
      </c>
      <c r="AB66" s="259" t="s">
        <v>258</v>
      </c>
      <c r="AC66" s="259" t="s">
        <v>259</v>
      </c>
      <c r="AD66" s="259" t="s">
        <v>260</v>
      </c>
      <c r="AE66" s="259" t="s">
        <v>261</v>
      </c>
    </row>
    <row r="67" spans="1:33" s="191" customFormat="1">
      <c r="A67" s="189"/>
      <c r="B67" s="189"/>
      <c r="C67" s="189"/>
      <c r="D67" s="189"/>
      <c r="E67" s="189"/>
      <c r="F67" s="189"/>
      <c r="G67" s="189"/>
      <c r="H67" s="189"/>
      <c r="I67" s="189"/>
      <c r="J67" s="244"/>
      <c r="K67" s="254"/>
      <c r="L67" s="255"/>
      <c r="M67" s="189"/>
      <c r="N67" s="189"/>
      <c r="O67" s="189"/>
      <c r="P67" s="230"/>
      <c r="Q67" s="836"/>
      <c r="R67" s="258" t="s">
        <v>267</v>
      </c>
      <c r="S67" s="259">
        <v>540000</v>
      </c>
      <c r="T67" s="259">
        <f>10*5500</f>
        <v>55000</v>
      </c>
      <c r="U67" s="259"/>
      <c r="V67" s="259">
        <f>10*5500</f>
        <v>55000</v>
      </c>
      <c r="W67" s="259"/>
      <c r="X67" s="259"/>
      <c r="Y67" s="259"/>
      <c r="Z67" s="259"/>
      <c r="AA67" s="259"/>
      <c r="AB67" s="259"/>
      <c r="AC67" s="259"/>
      <c r="AD67" s="259"/>
      <c r="AE67" s="259">
        <f t="shared" ref="AE67:AE72" si="10">SUM(T67:AD67)</f>
        <v>110000</v>
      </c>
    </row>
    <row r="68" spans="1:33" s="191" customFormat="1">
      <c r="A68" s="189"/>
      <c r="B68" s="189"/>
      <c r="C68" s="189"/>
      <c r="D68" s="189"/>
      <c r="E68" s="189"/>
      <c r="F68" s="189"/>
      <c r="G68" s="189"/>
      <c r="H68" s="189"/>
      <c r="I68" s="189"/>
      <c r="J68" s="244"/>
      <c r="K68" s="254"/>
      <c r="L68" s="255"/>
      <c r="M68" s="189"/>
      <c r="N68" s="189"/>
      <c r="O68" s="189"/>
      <c r="P68" s="230"/>
      <c r="Q68" s="836"/>
      <c r="R68" s="258" t="s">
        <v>268</v>
      </c>
      <c r="S68" s="259">
        <v>90000</v>
      </c>
      <c r="T68" s="259"/>
      <c r="U68" s="259"/>
      <c r="V68" s="259"/>
      <c r="W68" s="259"/>
      <c r="X68" s="259"/>
      <c r="Y68" s="259"/>
      <c r="Z68" s="259"/>
      <c r="AA68" s="259"/>
      <c r="AB68" s="259"/>
      <c r="AC68" s="259"/>
      <c r="AD68" s="259"/>
      <c r="AE68" s="259">
        <f t="shared" si="10"/>
        <v>0</v>
      </c>
    </row>
    <row r="69" spans="1:33" s="191" customFormat="1">
      <c r="A69" s="189"/>
      <c r="B69" s="189"/>
      <c r="C69" s="189"/>
      <c r="D69" s="189"/>
      <c r="E69" s="189"/>
      <c r="F69" s="189"/>
      <c r="G69" s="189"/>
      <c r="H69" s="189"/>
      <c r="I69" s="189"/>
      <c r="J69" s="244"/>
      <c r="K69" s="254"/>
      <c r="L69" s="255"/>
      <c r="M69" s="189"/>
      <c r="N69" s="189"/>
      <c r="O69" s="189"/>
      <c r="P69" s="230"/>
      <c r="Q69" s="836"/>
      <c r="R69" s="258" t="s">
        <v>269</v>
      </c>
      <c r="S69" s="259">
        <v>3168000</v>
      </c>
      <c r="T69" s="259">
        <v>450000</v>
      </c>
      <c r="U69" s="259"/>
      <c r="V69" s="259">
        <v>450000</v>
      </c>
      <c r="W69" s="259"/>
      <c r="X69" s="259"/>
      <c r="Y69" s="259"/>
      <c r="Z69" s="259"/>
      <c r="AA69" s="259"/>
      <c r="AB69" s="259"/>
      <c r="AC69" s="259"/>
      <c r="AD69" s="259"/>
      <c r="AE69" s="259">
        <f t="shared" si="10"/>
        <v>900000</v>
      </c>
    </row>
    <row r="70" spans="1:33" s="191" customFormat="1">
      <c r="A70" s="189"/>
      <c r="B70" s="189"/>
      <c r="C70" s="189"/>
      <c r="D70" s="189"/>
      <c r="E70" s="189"/>
      <c r="F70" s="189"/>
      <c r="G70" s="189"/>
      <c r="H70" s="189"/>
      <c r="I70" s="189"/>
      <c r="J70" s="244"/>
      <c r="K70" s="254"/>
      <c r="L70" s="255"/>
      <c r="M70" s="189"/>
      <c r="N70" s="189"/>
      <c r="O70" s="189"/>
      <c r="P70" s="230"/>
      <c r="Q70" s="836"/>
      <c r="R70" s="258" t="s">
        <v>270</v>
      </c>
      <c r="S70" s="259">
        <v>3000000</v>
      </c>
      <c r="T70" s="259">
        <v>500000</v>
      </c>
      <c r="U70" s="259"/>
      <c r="V70" s="259">
        <v>500000</v>
      </c>
      <c r="W70" s="259"/>
      <c r="X70" s="259"/>
      <c r="Y70" s="259"/>
      <c r="Z70" s="259"/>
      <c r="AA70" s="259"/>
      <c r="AB70" s="259"/>
      <c r="AC70" s="259"/>
      <c r="AD70" s="259"/>
      <c r="AE70" s="259">
        <f t="shared" si="10"/>
        <v>1000000</v>
      </c>
    </row>
    <row r="71" spans="1:33" s="191" customFormat="1">
      <c r="A71" s="189"/>
      <c r="B71" s="189"/>
      <c r="C71" s="189"/>
      <c r="D71" s="189"/>
      <c r="E71" s="189"/>
      <c r="F71" s="189"/>
      <c r="G71" s="189"/>
      <c r="H71" s="189"/>
      <c r="I71" s="189"/>
      <c r="J71" s="244"/>
      <c r="K71" s="254"/>
      <c r="L71" s="255"/>
      <c r="M71" s="189"/>
      <c r="N71" s="189"/>
      <c r="O71" s="189"/>
      <c r="P71" s="230"/>
      <c r="Q71" s="836"/>
      <c r="R71" s="191" t="s">
        <v>271</v>
      </c>
      <c r="S71" s="192">
        <v>3000000</v>
      </c>
      <c r="T71" s="261">
        <v>500000</v>
      </c>
      <c r="U71" s="261"/>
      <c r="V71" s="261">
        <v>500000</v>
      </c>
      <c r="W71" s="261"/>
      <c r="X71" s="261"/>
      <c r="Y71" s="261"/>
      <c r="Z71" s="261"/>
      <c r="AA71" s="261"/>
      <c r="AB71" s="261"/>
      <c r="AC71" s="261"/>
      <c r="AD71" s="261"/>
      <c r="AE71" s="259">
        <f t="shared" si="10"/>
        <v>1000000</v>
      </c>
    </row>
    <row r="72" spans="1:33" s="191" customFormat="1">
      <c r="A72" s="189"/>
      <c r="B72" s="189"/>
      <c r="C72" s="189"/>
      <c r="D72" s="189"/>
      <c r="E72" s="189"/>
      <c r="F72" s="189"/>
      <c r="G72" s="189"/>
      <c r="H72" s="189"/>
      <c r="I72" s="189"/>
      <c r="J72" s="244"/>
      <c r="K72" s="254"/>
      <c r="L72" s="255"/>
      <c r="M72" s="189"/>
      <c r="N72" s="189"/>
      <c r="O72" s="189"/>
      <c r="P72" s="230"/>
      <c r="Q72" s="836"/>
      <c r="S72" s="192"/>
      <c r="T72" s="259"/>
      <c r="U72" s="259"/>
      <c r="V72" s="259"/>
      <c r="W72" s="259"/>
      <c r="X72" s="259"/>
      <c r="Y72" s="259"/>
      <c r="Z72" s="259"/>
      <c r="AA72" s="259"/>
      <c r="AB72" s="259"/>
      <c r="AC72" s="259"/>
      <c r="AD72" s="259"/>
      <c r="AE72" s="259">
        <f t="shared" si="10"/>
        <v>0</v>
      </c>
    </row>
    <row r="73" spans="1:33" s="191" customFormat="1">
      <c r="A73" s="189"/>
      <c r="B73" s="189"/>
      <c r="C73" s="189"/>
      <c r="D73" s="189"/>
      <c r="E73" s="189"/>
      <c r="F73" s="189"/>
      <c r="G73" s="189"/>
      <c r="H73" s="189"/>
      <c r="I73" s="189"/>
      <c r="J73" s="244"/>
      <c r="K73" s="254"/>
      <c r="L73" s="255"/>
      <c r="M73" s="189"/>
      <c r="N73" s="189"/>
      <c r="O73" s="189"/>
      <c r="P73" s="230"/>
      <c r="Q73" s="836"/>
      <c r="R73" s="258"/>
      <c r="S73" s="263">
        <f>SUM(S67:S72)</f>
        <v>9798000</v>
      </c>
      <c r="T73" s="263">
        <f>SUM(T67:T72)</f>
        <v>1505000</v>
      </c>
      <c r="U73" s="263">
        <f t="shared" ref="U73:AE73" si="11">SUM(U67:U72)</f>
        <v>0</v>
      </c>
      <c r="V73" s="263">
        <f t="shared" si="11"/>
        <v>1505000</v>
      </c>
      <c r="W73" s="263">
        <f t="shared" si="11"/>
        <v>0</v>
      </c>
      <c r="X73" s="263">
        <f t="shared" si="11"/>
        <v>0</v>
      </c>
      <c r="Y73" s="263">
        <f t="shared" si="11"/>
        <v>0</v>
      </c>
      <c r="Z73" s="263">
        <f t="shared" si="11"/>
        <v>0</v>
      </c>
      <c r="AA73" s="263">
        <f t="shared" si="11"/>
        <v>0</v>
      </c>
      <c r="AB73" s="263">
        <f t="shared" si="11"/>
        <v>0</v>
      </c>
      <c r="AC73" s="263">
        <f t="shared" si="11"/>
        <v>0</v>
      </c>
      <c r="AD73" s="263">
        <f t="shared" si="11"/>
        <v>0</v>
      </c>
      <c r="AE73" s="264">
        <f t="shared" si="11"/>
        <v>3010000</v>
      </c>
    </row>
    <row r="74" spans="1:33" s="191" customFormat="1" ht="51">
      <c r="A74" s="189"/>
      <c r="B74" s="189"/>
      <c r="C74" s="189"/>
      <c r="D74" s="189"/>
      <c r="E74" s="189"/>
      <c r="F74" s="189"/>
      <c r="G74" s="189"/>
      <c r="H74" s="189"/>
      <c r="I74" s="189"/>
      <c r="J74" s="244"/>
      <c r="K74" s="254"/>
      <c r="L74" s="255"/>
      <c r="M74" s="189"/>
      <c r="N74" s="189"/>
      <c r="O74" s="189"/>
      <c r="P74" s="230"/>
      <c r="Q74" s="836" t="s">
        <v>276</v>
      </c>
      <c r="R74" s="258"/>
      <c r="S74" s="259"/>
      <c r="T74" s="259" t="s">
        <v>251</v>
      </c>
      <c r="U74" s="259" t="s">
        <v>252</v>
      </c>
      <c r="V74" s="259" t="s">
        <v>253</v>
      </c>
      <c r="W74" s="259" t="s">
        <v>254</v>
      </c>
      <c r="X74" s="259" t="s">
        <v>201</v>
      </c>
      <c r="Y74" s="259" t="s">
        <v>255</v>
      </c>
      <c r="Z74" s="259" t="s">
        <v>256</v>
      </c>
      <c r="AA74" s="259" t="s">
        <v>257</v>
      </c>
      <c r="AB74" s="259" t="s">
        <v>258</v>
      </c>
      <c r="AC74" s="259" t="s">
        <v>259</v>
      </c>
      <c r="AD74" s="259" t="s">
        <v>260</v>
      </c>
      <c r="AE74" s="259" t="s">
        <v>261</v>
      </c>
    </row>
    <row r="75" spans="1:33" s="191" customFormat="1">
      <c r="A75" s="189"/>
      <c r="B75" s="189"/>
      <c r="C75" s="189"/>
      <c r="D75" s="189"/>
      <c r="E75" s="189"/>
      <c r="F75" s="189"/>
      <c r="G75" s="189"/>
      <c r="H75" s="189"/>
      <c r="I75" s="189"/>
      <c r="J75" s="244"/>
      <c r="K75" s="254"/>
      <c r="L75" s="255"/>
      <c r="M75" s="189"/>
      <c r="N75" s="189"/>
      <c r="O75" s="189"/>
      <c r="P75" s="230"/>
      <c r="Q75" s="836"/>
      <c r="R75" s="258" t="s">
        <v>267</v>
      </c>
      <c r="S75" s="259">
        <v>1368000</v>
      </c>
      <c r="T75" s="259">
        <f>38*5500</f>
        <v>209000</v>
      </c>
      <c r="U75" s="259"/>
      <c r="V75" s="259"/>
      <c r="W75" s="259"/>
      <c r="X75" s="259"/>
      <c r="Y75" s="259"/>
      <c r="Z75" s="259"/>
      <c r="AA75" s="259"/>
      <c r="AB75" s="259"/>
      <c r="AC75" s="259"/>
      <c r="AD75" s="259"/>
      <c r="AE75" s="259">
        <f t="shared" ref="AE75:AE80" si="12">SUM(T75:AD75)</f>
        <v>209000</v>
      </c>
      <c r="AG75" s="225">
        <f>T75+T67+T51+T35</f>
        <v>374000</v>
      </c>
    </row>
    <row r="76" spans="1:33" s="191" customFormat="1">
      <c r="A76" s="189"/>
      <c r="B76" s="189"/>
      <c r="C76" s="189"/>
      <c r="D76" s="189"/>
      <c r="E76" s="189"/>
      <c r="F76" s="189"/>
      <c r="G76" s="189"/>
      <c r="H76" s="189"/>
      <c r="I76" s="189"/>
      <c r="J76" s="244"/>
      <c r="K76" s="254"/>
      <c r="L76" s="255"/>
      <c r="M76" s="189"/>
      <c r="N76" s="189"/>
      <c r="O76" s="189"/>
      <c r="P76" s="230"/>
      <c r="Q76" s="836"/>
      <c r="R76" s="258" t="s">
        <v>268</v>
      </c>
      <c r="S76" s="259">
        <v>300000</v>
      </c>
      <c r="T76" s="259"/>
      <c r="U76" s="259"/>
      <c r="V76" s="259"/>
      <c r="W76" s="259"/>
      <c r="X76" s="259"/>
      <c r="Y76" s="259"/>
      <c r="Z76" s="259"/>
      <c r="AA76" s="259"/>
      <c r="AB76" s="259"/>
      <c r="AC76" s="259"/>
      <c r="AD76" s="259"/>
      <c r="AE76" s="259">
        <f t="shared" si="12"/>
        <v>0</v>
      </c>
    </row>
    <row r="77" spans="1:33" s="191" customFormat="1">
      <c r="A77" s="189"/>
      <c r="B77" s="189"/>
      <c r="C77" s="189"/>
      <c r="D77" s="189"/>
      <c r="E77" s="189"/>
      <c r="F77" s="189"/>
      <c r="G77" s="189"/>
      <c r="H77" s="189"/>
      <c r="I77" s="189"/>
      <c r="J77" s="244"/>
      <c r="K77" s="254"/>
      <c r="L77" s="255"/>
      <c r="M77" s="189"/>
      <c r="N77" s="189"/>
      <c r="O77" s="189"/>
      <c r="P77" s="230"/>
      <c r="Q77" s="836"/>
      <c r="R77" s="258" t="s">
        <v>269</v>
      </c>
      <c r="S77" s="259">
        <v>8640000</v>
      </c>
      <c r="T77" s="259">
        <f>1350000+607500</f>
        <v>1957500</v>
      </c>
      <c r="U77" s="259"/>
      <c r="V77" s="259"/>
      <c r="W77" s="259"/>
      <c r="X77" s="259"/>
      <c r="Y77" s="259"/>
      <c r="Z77" s="259"/>
      <c r="AA77" s="259"/>
      <c r="AB77" s="259"/>
      <c r="AC77" s="259"/>
      <c r="AD77" s="259"/>
      <c r="AE77" s="259">
        <f t="shared" si="12"/>
        <v>1957500</v>
      </c>
    </row>
    <row r="78" spans="1:33" s="191" customFormat="1">
      <c r="A78" s="189"/>
      <c r="B78" s="189"/>
      <c r="C78" s="189"/>
      <c r="D78" s="189"/>
      <c r="E78" s="189"/>
      <c r="F78" s="189"/>
      <c r="G78" s="189"/>
      <c r="H78" s="189"/>
      <c r="I78" s="189"/>
      <c r="J78" s="244"/>
      <c r="K78" s="254"/>
      <c r="L78" s="255"/>
      <c r="M78" s="189"/>
      <c r="N78" s="189"/>
      <c r="O78" s="189"/>
      <c r="P78" s="230"/>
      <c r="Q78" s="836"/>
      <c r="R78" s="258" t="s">
        <v>270</v>
      </c>
      <c r="S78" s="259">
        <v>4000000</v>
      </c>
      <c r="T78" s="259">
        <v>1000000</v>
      </c>
      <c r="U78" s="259"/>
      <c r="V78" s="259"/>
      <c r="W78" s="259"/>
      <c r="X78" s="259"/>
      <c r="Y78" s="259"/>
      <c r="Z78" s="259"/>
      <c r="AA78" s="259"/>
      <c r="AB78" s="259"/>
      <c r="AC78" s="259"/>
      <c r="AD78" s="259"/>
      <c r="AE78" s="259">
        <f t="shared" si="12"/>
        <v>1000000</v>
      </c>
    </row>
    <row r="79" spans="1:33" s="191" customFormat="1">
      <c r="A79" s="189"/>
      <c r="B79" s="189"/>
      <c r="C79" s="189"/>
      <c r="D79" s="189"/>
      <c r="E79" s="189"/>
      <c r="F79" s="189"/>
      <c r="G79" s="189"/>
      <c r="H79" s="189"/>
      <c r="I79" s="189"/>
      <c r="J79" s="244"/>
      <c r="K79" s="254"/>
      <c r="L79" s="255"/>
      <c r="M79" s="189"/>
      <c r="N79" s="189"/>
      <c r="O79" s="189"/>
      <c r="P79" s="230"/>
      <c r="Q79" s="836"/>
      <c r="R79" s="191" t="s">
        <v>271</v>
      </c>
      <c r="S79" s="192">
        <v>7600000</v>
      </c>
      <c r="T79" s="261">
        <v>1700000</v>
      </c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59">
        <f t="shared" si="12"/>
        <v>1700000</v>
      </c>
    </row>
    <row r="80" spans="1:33" s="191" customFormat="1">
      <c r="A80" s="189"/>
      <c r="B80" s="189"/>
      <c r="C80" s="189"/>
      <c r="D80" s="189"/>
      <c r="E80" s="189"/>
      <c r="F80" s="189"/>
      <c r="G80" s="189"/>
      <c r="H80" s="189"/>
      <c r="I80" s="189"/>
      <c r="J80" s="244"/>
      <c r="K80" s="254"/>
      <c r="L80" s="255"/>
      <c r="M80" s="189"/>
      <c r="N80" s="189"/>
      <c r="O80" s="189"/>
      <c r="P80" s="230"/>
      <c r="Q80" s="836"/>
      <c r="S80" s="192"/>
      <c r="T80" s="259"/>
      <c r="U80" s="259"/>
      <c r="V80" s="259"/>
      <c r="W80" s="259"/>
      <c r="X80" s="259"/>
      <c r="Y80" s="259"/>
      <c r="Z80" s="259"/>
      <c r="AA80" s="259"/>
      <c r="AB80" s="259"/>
      <c r="AC80" s="259"/>
      <c r="AD80" s="259"/>
      <c r="AE80" s="259">
        <f t="shared" si="12"/>
        <v>0</v>
      </c>
    </row>
    <row r="81" spans="1:31" s="191" customFormat="1">
      <c r="A81" s="189"/>
      <c r="B81" s="189"/>
      <c r="C81" s="189"/>
      <c r="D81" s="189"/>
      <c r="E81" s="189"/>
      <c r="F81" s="189"/>
      <c r="G81" s="189"/>
      <c r="H81" s="189"/>
      <c r="I81" s="189"/>
      <c r="J81" s="244"/>
      <c r="K81" s="254"/>
      <c r="L81" s="255"/>
      <c r="M81" s="189"/>
      <c r="N81" s="189"/>
      <c r="O81" s="189"/>
      <c r="P81" s="230"/>
      <c r="Q81" s="836"/>
      <c r="R81" s="258"/>
      <c r="S81" s="263">
        <f>SUM(S75:S80)</f>
        <v>21908000</v>
      </c>
      <c r="T81" s="263">
        <f>SUM(T75:T80)</f>
        <v>4866500</v>
      </c>
      <c r="U81" s="263">
        <f t="shared" ref="U81:AE81" si="13">SUM(U75:U80)</f>
        <v>0</v>
      </c>
      <c r="V81" s="263">
        <f t="shared" si="13"/>
        <v>0</v>
      </c>
      <c r="W81" s="263">
        <f t="shared" si="13"/>
        <v>0</v>
      </c>
      <c r="X81" s="263">
        <f t="shared" si="13"/>
        <v>0</v>
      </c>
      <c r="Y81" s="263">
        <f t="shared" si="13"/>
        <v>0</v>
      </c>
      <c r="Z81" s="263">
        <f t="shared" si="13"/>
        <v>0</v>
      </c>
      <c r="AA81" s="263">
        <f t="shared" si="13"/>
        <v>0</v>
      </c>
      <c r="AB81" s="263">
        <f t="shared" si="13"/>
        <v>0</v>
      </c>
      <c r="AC81" s="263">
        <f t="shared" si="13"/>
        <v>0</v>
      </c>
      <c r="AD81" s="263">
        <f t="shared" si="13"/>
        <v>0</v>
      </c>
      <c r="AE81" s="264">
        <f t="shared" si="13"/>
        <v>4866500</v>
      </c>
    </row>
    <row r="82" spans="1:31" s="191" customFormat="1">
      <c r="A82" s="189"/>
      <c r="B82" s="189"/>
      <c r="C82" s="189"/>
      <c r="D82" s="189"/>
      <c r="E82" s="189"/>
      <c r="F82" s="189"/>
      <c r="G82" s="189"/>
      <c r="H82" s="189"/>
      <c r="I82" s="189"/>
      <c r="J82" s="244"/>
      <c r="K82" s="254"/>
      <c r="L82" s="255"/>
      <c r="M82" s="189"/>
      <c r="N82" s="189"/>
      <c r="O82" s="189"/>
      <c r="P82" s="230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</row>
    <row r="87" spans="1:31" s="191" customFormat="1">
      <c r="A87" s="189"/>
      <c r="B87" s="189"/>
      <c r="C87" s="189"/>
      <c r="D87" s="189"/>
      <c r="E87" s="189"/>
      <c r="F87" s="189"/>
      <c r="G87" s="189"/>
      <c r="H87" s="189"/>
      <c r="I87" s="189"/>
      <c r="J87" s="244"/>
      <c r="K87" s="254"/>
      <c r="L87" s="255"/>
      <c r="M87" s="189"/>
      <c r="N87" s="189"/>
      <c r="O87" s="189"/>
      <c r="P87" s="615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</row>
    <row r="90" spans="1:31" s="191" customFormat="1">
      <c r="A90" s="189"/>
      <c r="B90" s="189"/>
      <c r="C90" s="189"/>
      <c r="D90" s="189"/>
      <c r="E90" s="189"/>
      <c r="F90" s="189"/>
      <c r="G90" s="189"/>
      <c r="H90" s="189"/>
      <c r="I90" s="189"/>
      <c r="J90" s="244"/>
      <c r="K90" s="254"/>
      <c r="L90" s="255"/>
      <c r="M90" s="189"/>
      <c r="N90" s="189"/>
      <c r="O90" s="189"/>
      <c r="P90" s="230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</row>
    <row r="106" spans="10:46" s="189" customFormat="1" ht="15" customHeight="1">
      <c r="J106" s="244"/>
      <c r="K106" s="254"/>
      <c r="L106" s="255"/>
      <c r="P106" s="230"/>
      <c r="Q106" s="191"/>
      <c r="R106" s="191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</row>
    <row r="122" spans="10:46" s="189" customFormat="1" ht="6" customHeight="1">
      <c r="J122" s="244"/>
      <c r="K122" s="254"/>
      <c r="L122" s="255"/>
      <c r="P122" s="230"/>
      <c r="Q122" s="191"/>
      <c r="R122" s="191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</row>
  </sheetData>
  <mergeCells count="25">
    <mergeCell ref="Q50:Q57"/>
    <mergeCell ref="Q58:Q65"/>
    <mergeCell ref="Q66:Q73"/>
    <mergeCell ref="Q74:Q81"/>
    <mergeCell ref="Q18:Q25"/>
    <mergeCell ref="K21:N21"/>
    <mergeCell ref="K22:N22"/>
    <mergeCell ref="Q26:Q33"/>
    <mergeCell ref="Q34:Q41"/>
    <mergeCell ref="Q42:Q49"/>
    <mergeCell ref="A6:B6"/>
    <mergeCell ref="C6:D6"/>
    <mergeCell ref="G6:I6"/>
    <mergeCell ref="Q14:Q17"/>
    <mergeCell ref="K16:N16"/>
    <mergeCell ref="K17:N17"/>
    <mergeCell ref="C1:N1"/>
    <mergeCell ref="C2:N2"/>
    <mergeCell ref="A3:D3"/>
    <mergeCell ref="A4:B5"/>
    <mergeCell ref="C4:D5"/>
    <mergeCell ref="E4:F4"/>
    <mergeCell ref="G4:M4"/>
    <mergeCell ref="N4:N5"/>
    <mergeCell ref="G5:I5"/>
  </mergeCells>
  <pageMargins left="0.7" right="0.7" top="0.75" bottom="0.75" header="0.3" footer="0.3"/>
  <pageSetup paperSize="14" scale="9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42"/>
  <sheetViews>
    <sheetView tabSelected="1" topLeftCell="I1" workbookViewId="0">
      <selection activeCell="P19" sqref="P19"/>
    </sheetView>
  </sheetViews>
  <sheetFormatPr defaultRowHeight="16.5"/>
  <cols>
    <col min="1" max="1" width="2.140625" style="24" bestFit="1" customWidth="1"/>
    <col min="2" max="5" width="3.28515625" style="24" bestFit="1" customWidth="1"/>
    <col min="6" max="8" width="2.140625" style="24" bestFit="1" customWidth="1"/>
    <col min="9" max="10" width="3.28515625" style="24" bestFit="1" customWidth="1"/>
    <col min="11" max="11" width="68" style="24" customWidth="1"/>
    <col min="12" max="12" width="10.85546875" style="24" customWidth="1"/>
    <col min="13" max="13" width="17.140625" style="24" customWidth="1"/>
    <col min="14" max="14" width="17.28515625" style="24" customWidth="1"/>
    <col min="15" max="15" width="8.5703125" style="24" customWidth="1"/>
    <col min="16" max="16" width="17.85546875" style="117" customWidth="1"/>
    <col min="17" max="17" width="10.140625" style="24" customWidth="1"/>
    <col min="18" max="18" width="17.5703125" style="24" customWidth="1"/>
    <col min="19" max="19" width="8.5703125" style="24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684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668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2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793" t="s">
        <v>15</v>
      </c>
      <c r="O9" s="793" t="s">
        <v>16</v>
      </c>
      <c r="P9" s="793" t="s">
        <v>15</v>
      </c>
      <c r="Q9" s="793" t="s">
        <v>16</v>
      </c>
      <c r="R9" s="794" t="s">
        <v>15</v>
      </c>
      <c r="S9" s="794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795" t="s">
        <v>685</v>
      </c>
      <c r="M10" s="796"/>
      <c r="N10" s="796"/>
      <c r="O10" s="796"/>
      <c r="P10" s="794"/>
      <c r="Q10" s="794"/>
      <c r="R10" s="794"/>
      <c r="S10" s="794"/>
      <c r="T10" s="799"/>
      <c r="U10" s="794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795" t="s">
        <v>19</v>
      </c>
      <c r="M11" s="796"/>
      <c r="N11" s="796"/>
      <c r="O11" s="796"/>
      <c r="P11" s="794"/>
      <c r="Q11" s="794"/>
      <c r="R11" s="794"/>
      <c r="S11" s="794"/>
      <c r="T11" s="799"/>
      <c r="U11" s="794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M13+M18+M76</f>
        <v>1836864000</v>
      </c>
      <c r="N12" s="5">
        <f>N13+N18+N76</f>
        <v>908411951</v>
      </c>
      <c r="O12" s="6">
        <f>N12/M12*100</f>
        <v>49.45450240191979</v>
      </c>
      <c r="P12" s="5">
        <f>P13+P18+P76</f>
        <v>2919400</v>
      </c>
      <c r="Q12" s="285">
        <f>P12/M12*100</f>
        <v>0.15893392216299085</v>
      </c>
      <c r="R12" s="5">
        <f>R13+R18+R76</f>
        <v>911331351</v>
      </c>
      <c r="S12" s="285">
        <f>R12/M12*100</f>
        <v>49.613436324082784</v>
      </c>
      <c r="T12" s="800">
        <f>T13+T18+T76/3</f>
        <v>10.481997677119626</v>
      </c>
      <c r="U12" s="12"/>
      <c r="V12" s="11"/>
    </row>
    <row r="13" spans="1:26">
      <c r="A13" s="561">
        <v>1</v>
      </c>
      <c r="B13" s="291" t="s">
        <v>17</v>
      </c>
      <c r="C13" s="291" t="s">
        <v>18</v>
      </c>
      <c r="D13" s="292">
        <v>38</v>
      </c>
      <c r="E13" s="291" t="s">
        <v>25</v>
      </c>
      <c r="F13" s="292">
        <v>5</v>
      </c>
      <c r="G13" s="292">
        <v>2</v>
      </c>
      <c r="H13" s="292">
        <v>1</v>
      </c>
      <c r="I13" s="292"/>
      <c r="J13" s="293"/>
      <c r="K13" s="295" t="s">
        <v>22</v>
      </c>
      <c r="L13" s="7"/>
      <c r="M13" s="5">
        <f>M15</f>
        <v>1102118400</v>
      </c>
      <c r="N13" s="5">
        <f>N15</f>
        <v>684112860</v>
      </c>
      <c r="O13" s="6">
        <f>N13/M13*100</f>
        <v>62.072537760008359</v>
      </c>
      <c r="P13" s="5">
        <f>P15</f>
        <v>0</v>
      </c>
      <c r="Q13" s="285">
        <f>P13/M13*100</f>
        <v>0</v>
      </c>
      <c r="R13" s="5">
        <f>R15</f>
        <v>684112860</v>
      </c>
      <c r="S13" s="285">
        <f>R13/M13*100</f>
        <v>62.072537760008359</v>
      </c>
      <c r="T13" s="800">
        <f>T15</f>
        <v>8.3333333333333321</v>
      </c>
      <c r="U13" s="296"/>
      <c r="V13" s="11"/>
    </row>
    <row r="14" spans="1:26" ht="7.5" customHeight="1">
      <c r="A14" s="561"/>
      <c r="B14" s="291"/>
      <c r="C14" s="291"/>
      <c r="D14" s="291"/>
      <c r="E14" s="291"/>
      <c r="F14" s="291"/>
      <c r="G14" s="292"/>
      <c r="H14" s="292"/>
      <c r="I14" s="292"/>
      <c r="J14" s="293"/>
      <c r="K14" s="295"/>
      <c r="L14" s="4"/>
      <c r="M14" s="5"/>
      <c r="N14" s="5"/>
      <c r="O14" s="5"/>
      <c r="P14" s="5"/>
      <c r="Q14" s="286"/>
      <c r="R14" s="5"/>
      <c r="S14" s="285"/>
      <c r="T14" s="800"/>
      <c r="U14" s="11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684112860</v>
      </c>
      <c r="O15" s="6">
        <f t="shared" ref="O15:O85" si="0">N15/M15*100</f>
        <v>62.072537760008359</v>
      </c>
      <c r="P15" s="5">
        <f>P16</f>
        <v>0</v>
      </c>
      <c r="Q15" s="285">
        <f t="shared" ref="Q15:Q85" si="1">P15/M15*100</f>
        <v>0</v>
      </c>
      <c r="R15" s="17">
        <f t="shared" ref="R15:R85" si="2">N15+P15</f>
        <v>684112860</v>
      </c>
      <c r="S15" s="285">
        <f t="shared" ref="S15:S85" si="3">R15/M15*100</f>
        <v>62.072537760008359</v>
      </c>
      <c r="T15" s="800">
        <f>T16</f>
        <v>8.3333333333333321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f>sep!R16</f>
        <v>684112860</v>
      </c>
      <c r="O16" s="111">
        <f t="shared" si="0"/>
        <v>62.072537760008359</v>
      </c>
      <c r="P16" s="9"/>
      <c r="Q16" s="286">
        <f t="shared" si="1"/>
        <v>0</v>
      </c>
      <c r="R16" s="19">
        <f t="shared" si="2"/>
        <v>684112860</v>
      </c>
      <c r="S16" s="286">
        <f t="shared" si="3"/>
        <v>62.072537760008359</v>
      </c>
      <c r="T16" s="801">
        <f>1/12*100</f>
        <v>8.3333333333333321</v>
      </c>
      <c r="U16" s="11"/>
      <c r="V16" s="11"/>
    </row>
    <row r="17" spans="1:22" ht="7.5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6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N19+N32+N35+N46+N54+N57+N59+N64+N68+N73+N42+N50+N71+N40</f>
        <v>189426591</v>
      </c>
      <c r="O18" s="6">
        <f t="shared" si="0"/>
        <v>31.147835751281789</v>
      </c>
      <c r="P18" s="5">
        <f>P19+P32+P35+P46+P52+P54+P57+P59+P64+P68+P73+P42+P50</f>
        <v>2919400</v>
      </c>
      <c r="Q18" s="285">
        <f t="shared" si="1"/>
        <v>0.48004343641644304</v>
      </c>
      <c r="R18" s="17">
        <f t="shared" si="2"/>
        <v>192345991</v>
      </c>
      <c r="S18" s="285">
        <f t="shared" si="3"/>
        <v>31.627879187698234</v>
      </c>
      <c r="T18" s="800">
        <f>SUM(T20:T74)/41</f>
        <v>2.1486643437862947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50295900</v>
      </c>
      <c r="O19" s="6">
        <f t="shared" si="0"/>
        <v>20.474218293312404</v>
      </c>
      <c r="P19" s="5">
        <f>SUM(P20:P31)</f>
        <v>443500</v>
      </c>
      <c r="Q19" s="285">
        <f t="shared" si="1"/>
        <v>0.18053789301084286</v>
      </c>
      <c r="R19" s="17">
        <f>N19+P19</f>
        <v>50739400</v>
      </c>
      <c r="S19" s="285">
        <f t="shared" si="3"/>
        <v>20.654756186323247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f>sep!R20</f>
        <v>26894900</v>
      </c>
      <c r="O20" s="111">
        <f t="shared" si="0"/>
        <v>96.294638701315435</v>
      </c>
      <c r="P20" s="115"/>
      <c r="Q20" s="286">
        <f t="shared" si="1"/>
        <v>0</v>
      </c>
      <c r="R20" s="19">
        <f t="shared" si="2"/>
        <v>26894900</v>
      </c>
      <c r="S20" s="286">
        <f t="shared" si="3"/>
        <v>96.294638701315435</v>
      </c>
      <c r="T20" s="801">
        <v>0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f>sep!R21</f>
        <v>1698000</v>
      </c>
      <c r="O21" s="111">
        <f t="shared" si="0"/>
        <v>97.028571428571425</v>
      </c>
      <c r="P21" s="115"/>
      <c r="Q21" s="286">
        <f t="shared" si="1"/>
        <v>0</v>
      </c>
      <c r="R21" s="19">
        <f t="shared" si="2"/>
        <v>1698000</v>
      </c>
      <c r="S21" s="286">
        <f t="shared" si="3"/>
        <v>97.028571428571425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f>sep!R22</f>
        <v>1500000</v>
      </c>
      <c r="O22" s="111">
        <f t="shared" si="0"/>
        <v>71.428571428571431</v>
      </c>
      <c r="P22" s="115"/>
      <c r="Q22" s="286">
        <f t="shared" si="1"/>
        <v>0</v>
      </c>
      <c r="R22" s="19">
        <f t="shared" si="2"/>
        <v>1500000</v>
      </c>
      <c r="S22" s="286">
        <f t="shared" si="3"/>
        <v>71.428571428571431</v>
      </c>
      <c r="T22" s="801">
        <f>S22</f>
        <v>71.428571428571431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>
        <f>sep!R23</f>
        <v>8000000</v>
      </c>
      <c r="O23" s="111">
        <f t="shared" si="0"/>
        <v>98.461538461538467</v>
      </c>
      <c r="P23" s="115"/>
      <c r="Q23" s="286">
        <f t="shared" si="1"/>
        <v>0</v>
      </c>
      <c r="R23" s="19">
        <f t="shared" si="2"/>
        <v>8000000</v>
      </c>
      <c r="S23" s="286">
        <f t="shared" si="3"/>
        <v>98.461538461538467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>
        <f>sep!R24</f>
        <v>0</v>
      </c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>
        <f>sep!R25</f>
        <v>175000</v>
      </c>
      <c r="O25" s="111">
        <f t="shared" si="0"/>
        <v>17.5</v>
      </c>
      <c r="P25" s="115"/>
      <c r="Q25" s="286">
        <f t="shared" si="1"/>
        <v>0</v>
      </c>
      <c r="R25" s="19">
        <f t="shared" si="2"/>
        <v>175000</v>
      </c>
      <c r="S25" s="286">
        <f t="shared" si="3"/>
        <v>17.5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f>sep!R26</f>
        <v>4352250</v>
      </c>
      <c r="O26" s="111">
        <f t="shared" si="0"/>
        <v>24.314245810055866</v>
      </c>
      <c r="P26" s="115">
        <v>443500</v>
      </c>
      <c r="Q26" s="286">
        <f t="shared" si="1"/>
        <v>2.477653631284916</v>
      </c>
      <c r="R26" s="19">
        <f t="shared" si="2"/>
        <v>4795750</v>
      </c>
      <c r="S26" s="286">
        <f t="shared" si="3"/>
        <v>26.791899441340782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>
        <f>sep!R27</f>
        <v>0</v>
      </c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>
        <f>sep!R28</f>
        <v>2205750</v>
      </c>
      <c r="O28" s="111">
        <f t="shared" si="0"/>
        <v>34.46484375</v>
      </c>
      <c r="P28" s="564"/>
      <c r="Q28" s="286">
        <f t="shared" si="1"/>
        <v>0</v>
      </c>
      <c r="R28" s="19">
        <f t="shared" si="2"/>
        <v>2205750</v>
      </c>
      <c r="S28" s="286">
        <f t="shared" si="3"/>
        <v>34.46484375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>
        <f>sep!R29</f>
        <v>400000</v>
      </c>
      <c r="O29" s="111">
        <f t="shared" si="0"/>
        <v>100</v>
      </c>
      <c r="P29" s="564"/>
      <c r="Q29" s="286">
        <f t="shared" si="1"/>
        <v>0</v>
      </c>
      <c r="R29" s="19">
        <f t="shared" si="2"/>
        <v>400000</v>
      </c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>
        <f>sep!R30</f>
        <v>0</v>
      </c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>
        <f>sep!R31</f>
        <v>5070000</v>
      </c>
      <c r="O31" s="111">
        <f t="shared" si="0"/>
        <v>58.95348837209302</v>
      </c>
      <c r="P31" s="115"/>
      <c r="Q31" s="286">
        <f t="shared" si="1"/>
        <v>0</v>
      </c>
      <c r="R31" s="19">
        <f t="shared" si="2"/>
        <v>5070000</v>
      </c>
      <c r="S31" s="286">
        <f t="shared" si="3"/>
        <v>58.95348837209302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SUM(N33:N34)</f>
        <v>6782000</v>
      </c>
      <c r="O32" s="6">
        <f t="shared" si="0"/>
        <v>11.161948650427913</v>
      </c>
      <c r="P32" s="5">
        <f>SUM(P34:P34)</f>
        <v>330000</v>
      </c>
      <c r="Q32" s="285">
        <f t="shared" si="1"/>
        <v>0.54312047399605001</v>
      </c>
      <c r="R32" s="17">
        <f t="shared" si="2"/>
        <v>7112000</v>
      </c>
      <c r="S32" s="285">
        <f t="shared" si="3"/>
        <v>11.705069124423963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9">
        <f>sep!R33</f>
        <v>0</v>
      </c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f>sep!R34</f>
        <v>6782000</v>
      </c>
      <c r="O34" s="111">
        <f t="shared" si="0"/>
        <v>45.948509485094853</v>
      </c>
      <c r="P34" s="115">
        <v>330000</v>
      </c>
      <c r="Q34" s="286">
        <f t="shared" si="1"/>
        <v>2.2357723577235773</v>
      </c>
      <c r="R34" s="19">
        <f t="shared" si="2"/>
        <v>7112000</v>
      </c>
      <c r="S34" s="286">
        <f t="shared" si="3"/>
        <v>48.184281842818429</v>
      </c>
      <c r="T34" s="801">
        <f>1/12*100</f>
        <v>8.3333333333333321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1737900</v>
      </c>
      <c r="O35" s="6">
        <f t="shared" si="0"/>
        <v>4.676803013993541</v>
      </c>
      <c r="P35" s="5">
        <f>SUM(P36:P39)</f>
        <v>2900</v>
      </c>
      <c r="Q35" s="285">
        <f t="shared" si="1"/>
        <v>7.8040904198062432E-3</v>
      </c>
      <c r="R35" s="17">
        <f t="shared" si="2"/>
        <v>1740800</v>
      </c>
      <c r="S35" s="285">
        <f t="shared" si="3"/>
        <v>4.6846071044133479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f>sep!R36</f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f>sep!R37</f>
        <v>117900</v>
      </c>
      <c r="O37" s="111">
        <f t="shared" si="0"/>
        <v>21.053571428571431</v>
      </c>
      <c r="P37" s="115">
        <v>2900</v>
      </c>
      <c r="Q37" s="286">
        <f t="shared" si="1"/>
        <v>0.51785714285714279</v>
      </c>
      <c r="R37" s="19">
        <f t="shared" si="2"/>
        <v>120800</v>
      </c>
      <c r="S37" s="286">
        <f t="shared" si="3"/>
        <v>21.571428571428573</v>
      </c>
      <c r="T37" s="801">
        <v>0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f>sep!R38</f>
        <v>1620000</v>
      </c>
      <c r="O38" s="111">
        <f t="shared" si="0"/>
        <v>16.2</v>
      </c>
      <c r="P38" s="115"/>
      <c r="Q38" s="286">
        <f t="shared" si="1"/>
        <v>0</v>
      </c>
      <c r="R38" s="19">
        <f t="shared" si="2"/>
        <v>1620000</v>
      </c>
      <c r="S38" s="286">
        <f t="shared" si="3"/>
        <v>16.2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f>sep!R39</f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</f>
        <v>0</v>
      </c>
      <c r="O40" s="6">
        <f t="shared" si="0"/>
        <v>0</v>
      </c>
      <c r="P40" s="5">
        <f>SUM(P41)</f>
        <v>0</v>
      </c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>
        <f>sep!R41</f>
        <v>0</v>
      </c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984075</v>
      </c>
      <c r="O42" s="6">
        <f t="shared" si="0"/>
        <v>8.6322368421052627</v>
      </c>
      <c r="P42" s="5">
        <f>P43+P44+P45</f>
        <v>473000</v>
      </c>
      <c r="Q42" s="285">
        <f t="shared" si="1"/>
        <v>4.1491228070175437</v>
      </c>
      <c r="R42" s="17">
        <f t="shared" si="2"/>
        <v>1457075</v>
      </c>
      <c r="S42" s="285">
        <f t="shared" si="3"/>
        <v>12.781359649122805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>
        <f>sep!R43</f>
        <v>643200</v>
      </c>
      <c r="O43" s="111">
        <f t="shared" si="0"/>
        <v>22.971428571428572</v>
      </c>
      <c r="P43" s="115">
        <v>290000</v>
      </c>
      <c r="Q43" s="286">
        <f t="shared" si="1"/>
        <v>10.357142857142858</v>
      </c>
      <c r="R43" s="19">
        <f t="shared" si="2"/>
        <v>933200</v>
      </c>
      <c r="S43" s="286">
        <f t="shared" si="3"/>
        <v>33.328571428571429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f>sep!R44</f>
        <v>226875</v>
      </c>
      <c r="O44" s="111">
        <f t="shared" si="0"/>
        <v>3.3363970588235294</v>
      </c>
      <c r="P44" s="116">
        <v>183000</v>
      </c>
      <c r="Q44" s="286">
        <f t="shared" si="1"/>
        <v>2.6911764705882355</v>
      </c>
      <c r="R44" s="19">
        <f t="shared" si="2"/>
        <v>409875</v>
      </c>
      <c r="S44" s="286">
        <f t="shared" si="3"/>
        <v>6.0275735294117645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f>sep!R45</f>
        <v>114000</v>
      </c>
      <c r="O45" s="111">
        <f t="shared" si="0"/>
        <v>6.3333333333333339</v>
      </c>
      <c r="P45" s="116"/>
      <c r="Q45" s="286">
        <f t="shared" si="1"/>
        <v>0</v>
      </c>
      <c r="R45" s="19">
        <f t="shared" si="2"/>
        <v>114000</v>
      </c>
      <c r="S45" s="286">
        <f t="shared" si="3"/>
        <v>6.3333333333333339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68430000</v>
      </c>
      <c r="O46" s="6">
        <f t="shared" si="0"/>
        <v>90.479370095398011</v>
      </c>
      <c r="P46" s="5">
        <f>P47+P48+P49</f>
        <v>420000</v>
      </c>
      <c r="Q46" s="285">
        <f t="shared" si="1"/>
        <v>0.55533151308004047</v>
      </c>
      <c r="R46" s="17">
        <f t="shared" si="2"/>
        <v>68850000</v>
      </c>
      <c r="S46" s="285">
        <f t="shared" si="3"/>
        <v>91.034701608478059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>
        <f>sep!R47</f>
        <v>63500000</v>
      </c>
      <c r="O47" s="111">
        <f t="shared" si="0"/>
        <v>96.606598154585768</v>
      </c>
      <c r="P47" s="115"/>
      <c r="Q47" s="286">
        <f t="shared" si="1"/>
        <v>0</v>
      </c>
      <c r="R47" s="19">
        <f t="shared" si="2"/>
        <v>63500000</v>
      </c>
      <c r="S47" s="286">
        <f t="shared" si="3"/>
        <v>96.606598154585768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f>sep!R48</f>
        <v>4300000</v>
      </c>
      <c r="O48" s="111">
        <f t="shared" si="0"/>
        <v>51.19047619047619</v>
      </c>
      <c r="P48" s="116">
        <v>420000</v>
      </c>
      <c r="Q48" s="286">
        <f t="shared" si="1"/>
        <v>5</v>
      </c>
      <c r="R48" s="19">
        <f t="shared" si="2"/>
        <v>4720000</v>
      </c>
      <c r="S48" s="286">
        <f t="shared" si="3"/>
        <v>56.19047619047619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f>sep!R49</f>
        <v>630000</v>
      </c>
      <c r="O49" s="111">
        <f t="shared" si="0"/>
        <v>42</v>
      </c>
      <c r="P49" s="116"/>
      <c r="Q49" s="286">
        <f t="shared" si="1"/>
        <v>0</v>
      </c>
      <c r="R49" s="19">
        <f t="shared" si="2"/>
        <v>630000</v>
      </c>
      <c r="S49" s="286">
        <f t="shared" si="3"/>
        <v>42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6500000</v>
      </c>
      <c r="O50" s="6">
        <f t="shared" si="0"/>
        <v>24.95201535508637</v>
      </c>
      <c r="P50" s="114">
        <f>P51</f>
        <v>750000</v>
      </c>
      <c r="Q50" s="285">
        <f t="shared" si="1"/>
        <v>2.8790786948176583</v>
      </c>
      <c r="R50" s="17">
        <f t="shared" si="2"/>
        <v>7250000</v>
      </c>
      <c r="S50" s="285">
        <f t="shared" si="3"/>
        <v>27.831094049904031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f>sep!R51</f>
        <v>6500000</v>
      </c>
      <c r="O51" s="111">
        <f t="shared" si="0"/>
        <v>24.95201535508637</v>
      </c>
      <c r="P51" s="113">
        <v>750000</v>
      </c>
      <c r="Q51" s="286">
        <f t="shared" si="1"/>
        <v>2.8790786948176583</v>
      </c>
      <c r="R51" s="19">
        <f t="shared" si="2"/>
        <v>7250000</v>
      </c>
      <c r="S51" s="286">
        <f t="shared" si="3"/>
        <v>27.831094049904031</v>
      </c>
      <c r="T51" s="802">
        <v>0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f>sep!R53</f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6196716</v>
      </c>
      <c r="O54" s="6">
        <f t="shared" si="0"/>
        <v>29.510981998285551</v>
      </c>
      <c r="P54" s="17">
        <f>P55+P56</f>
        <v>0</v>
      </c>
      <c r="Q54" s="285">
        <f t="shared" si="1"/>
        <v>0</v>
      </c>
      <c r="R54" s="17">
        <f t="shared" si="2"/>
        <v>6196716</v>
      </c>
      <c r="S54" s="285">
        <f t="shared" si="3"/>
        <v>29.510981998285551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f>sep!R55</f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f>sep!R56</f>
        <v>6196716</v>
      </c>
      <c r="O56" s="111">
        <f t="shared" si="0"/>
        <v>37.56040732209965</v>
      </c>
      <c r="P56" s="19"/>
      <c r="Q56" s="286">
        <f t="shared" si="1"/>
        <v>0</v>
      </c>
      <c r="R56" s="19">
        <f t="shared" si="2"/>
        <v>6196716</v>
      </c>
      <c r="S56" s="286">
        <f t="shared" si="3"/>
        <v>37.56040732209965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10000000</v>
      </c>
      <c r="O57" s="6">
        <f t="shared" si="0"/>
        <v>35.714285714285715</v>
      </c>
      <c r="P57" s="17">
        <f>P58</f>
        <v>0</v>
      </c>
      <c r="Q57" s="285">
        <f t="shared" si="1"/>
        <v>0</v>
      </c>
      <c r="R57" s="17">
        <f t="shared" si="2"/>
        <v>10000000</v>
      </c>
      <c r="S57" s="285">
        <f t="shared" si="3"/>
        <v>35.714285714285715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f>sep!R58</f>
        <v>10000000</v>
      </c>
      <c r="O58" s="111">
        <f t="shared" si="0"/>
        <v>35.714285714285715</v>
      </c>
      <c r="P58" s="19"/>
      <c r="Q58" s="286">
        <f t="shared" si="1"/>
        <v>0</v>
      </c>
      <c r="R58" s="19">
        <f t="shared" si="2"/>
        <v>10000000</v>
      </c>
      <c r="S58" s="286">
        <f t="shared" si="3"/>
        <v>35.714285714285715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367</v>
      </c>
      <c r="L59" s="12"/>
      <c r="M59" s="17">
        <f>SUM(M60:M63)</f>
        <v>33500000</v>
      </c>
      <c r="N59" s="17">
        <f>SUM(N60:N63)</f>
        <v>14950000</v>
      </c>
      <c r="O59" s="6">
        <f t="shared" si="0"/>
        <v>44.626865671641788</v>
      </c>
      <c r="P59" s="17">
        <f>SUM(P60:P63)</f>
        <v>500000</v>
      </c>
      <c r="Q59" s="285">
        <f t="shared" si="1"/>
        <v>1.4925373134328357</v>
      </c>
      <c r="R59" s="17">
        <f t="shared" si="2"/>
        <v>15450000</v>
      </c>
      <c r="S59" s="285">
        <f t="shared" si="3"/>
        <v>46.119402985074629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f>sep!R60</f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>
        <f>sep!R61</f>
        <v>10450000</v>
      </c>
      <c r="O61" s="111">
        <f t="shared" si="0"/>
        <v>99.523809523809518</v>
      </c>
      <c r="P61" s="19"/>
      <c r="Q61" s="286">
        <f t="shared" si="1"/>
        <v>0</v>
      </c>
      <c r="R61" s="19">
        <f t="shared" si="2"/>
        <v>10450000</v>
      </c>
      <c r="S61" s="286">
        <f t="shared" si="3"/>
        <v>99.523809523809518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>
        <f>sep!R62</f>
        <v>0</v>
      </c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f>sep!R63</f>
        <v>4500000</v>
      </c>
      <c r="O63" s="111">
        <f t="shared" si="0"/>
        <v>40.909090909090914</v>
      </c>
      <c r="P63" s="19">
        <v>500000</v>
      </c>
      <c r="Q63" s="286">
        <f t="shared" si="1"/>
        <v>4.5454545454545459</v>
      </c>
      <c r="R63" s="19">
        <f t="shared" si="2"/>
        <v>5000000</v>
      </c>
      <c r="S63" s="286">
        <f t="shared" si="3"/>
        <v>45.454545454545453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SUM(N65:N67)</f>
        <v>6300000</v>
      </c>
      <c r="O64" s="6">
        <f t="shared" si="0"/>
        <v>66.315789473684205</v>
      </c>
      <c r="P64" s="17">
        <f>P67</f>
        <v>0</v>
      </c>
      <c r="Q64" s="285">
        <f t="shared" si="1"/>
        <v>0</v>
      </c>
      <c r="R64" s="17">
        <f t="shared" si="2"/>
        <v>6300000</v>
      </c>
      <c r="S64" s="285">
        <f t="shared" si="3"/>
        <v>66.315789473684205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>
        <f>sep!R65</f>
        <v>1300000</v>
      </c>
      <c r="O65" s="111">
        <f t="shared" si="0"/>
        <v>43.333333333333336</v>
      </c>
      <c r="P65" s="19"/>
      <c r="Q65" s="286">
        <f t="shared" si="1"/>
        <v>0</v>
      </c>
      <c r="R65" s="19">
        <f t="shared" si="2"/>
        <v>1300000</v>
      </c>
      <c r="S65" s="286">
        <f t="shared" si="3"/>
        <v>43.333333333333336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>
        <f>sep!R66</f>
        <v>5000000</v>
      </c>
      <c r="O66" s="111">
        <f t="shared" si="0"/>
        <v>100</v>
      </c>
      <c r="P66" s="19"/>
      <c r="Q66" s="286">
        <f t="shared" si="1"/>
        <v>0</v>
      </c>
      <c r="R66" s="19">
        <f t="shared" si="2"/>
        <v>5000000</v>
      </c>
      <c r="S66" s="286">
        <f t="shared" si="3"/>
        <v>100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>
        <f>sep!R67</f>
        <v>0</v>
      </c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 ht="33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10750000</v>
      </c>
      <c r="O68" s="6">
        <f t="shared" si="0"/>
        <v>31.617647058823529</v>
      </c>
      <c r="P68" s="17">
        <f>P69+P70</f>
        <v>0</v>
      </c>
      <c r="Q68" s="285">
        <f t="shared" si="1"/>
        <v>0</v>
      </c>
      <c r="R68" s="17">
        <f t="shared" si="2"/>
        <v>10750000</v>
      </c>
      <c r="S68" s="285">
        <f t="shared" si="3"/>
        <v>31.617647058823529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f>sep!R69</f>
        <v>750000</v>
      </c>
      <c r="O69" s="111">
        <f t="shared" si="0"/>
        <v>5.2083333333333339</v>
      </c>
      <c r="P69" s="19"/>
      <c r="Q69" s="286">
        <f t="shared" si="1"/>
        <v>0</v>
      </c>
      <c r="R69" s="19">
        <f t="shared" si="2"/>
        <v>750000</v>
      </c>
      <c r="S69" s="286">
        <f t="shared" si="3"/>
        <v>5.2083333333333339</v>
      </c>
      <c r="T69" s="801">
        <v>0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f>sep!R70</f>
        <v>10000000</v>
      </c>
      <c r="O70" s="111">
        <f t="shared" si="0"/>
        <v>51.020408163265309</v>
      </c>
      <c r="P70" s="19"/>
      <c r="Q70" s="286">
        <f t="shared" si="1"/>
        <v>0</v>
      </c>
      <c r="R70" s="19">
        <f t="shared" si="2"/>
        <v>10000000</v>
      </c>
      <c r="S70" s="286">
        <f t="shared" si="3"/>
        <v>51.020408163265309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6000000</v>
      </c>
      <c r="O71" s="6">
        <f t="shared" si="0"/>
        <v>50</v>
      </c>
      <c r="P71" s="17">
        <f>P72</f>
        <v>0</v>
      </c>
      <c r="Q71" s="285">
        <f t="shared" si="1"/>
        <v>0</v>
      </c>
      <c r="R71" s="17">
        <f t="shared" si="2"/>
        <v>6000000</v>
      </c>
      <c r="S71" s="285">
        <f t="shared" si="3"/>
        <v>50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f>sep!R72</f>
        <v>6000000</v>
      </c>
      <c r="O72" s="111">
        <f t="shared" si="0"/>
        <v>50</v>
      </c>
      <c r="P72" s="19"/>
      <c r="Q72" s="286">
        <f t="shared" si="1"/>
        <v>0</v>
      </c>
      <c r="R72" s="19">
        <f t="shared" si="2"/>
        <v>6000000</v>
      </c>
      <c r="S72" s="286">
        <f t="shared" si="3"/>
        <v>50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500000</v>
      </c>
      <c r="O73" s="6">
        <f t="shared" si="0"/>
        <v>100</v>
      </c>
      <c r="P73" s="17">
        <f>P74</f>
        <v>0</v>
      </c>
      <c r="Q73" s="285">
        <f t="shared" si="1"/>
        <v>0</v>
      </c>
      <c r="R73" s="17">
        <f t="shared" si="2"/>
        <v>500000</v>
      </c>
      <c r="S73" s="285">
        <f t="shared" si="3"/>
        <v>100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f>sep!R74</f>
        <v>500000</v>
      </c>
      <c r="O74" s="111">
        <f t="shared" si="0"/>
        <v>100</v>
      </c>
      <c r="P74" s="19"/>
      <c r="Q74" s="286">
        <f t="shared" si="1"/>
        <v>0</v>
      </c>
      <c r="R74" s="19">
        <f t="shared" si="2"/>
        <v>500000</v>
      </c>
      <c r="S74" s="286">
        <f t="shared" si="3"/>
        <v>100</v>
      </c>
      <c r="T74" s="801">
        <v>0</v>
      </c>
      <c r="U74" s="11"/>
      <c r="V74" s="11"/>
    </row>
    <row r="75" spans="1:22" ht="7.5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9">
        <f>sep!R75</f>
        <v>0</v>
      </c>
      <c r="O75" s="5"/>
      <c r="P75" s="5"/>
      <c r="Q75" s="286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34872500</v>
      </c>
      <c r="O76" s="6">
        <f t="shared" si="0"/>
        <v>27.547094096560375</v>
      </c>
      <c r="P76" s="17">
        <f>P77+P79+P82+P84+P86</f>
        <v>0</v>
      </c>
      <c r="Q76" s="285">
        <f t="shared" si="1"/>
        <v>0</v>
      </c>
      <c r="R76" s="17">
        <f t="shared" si="2"/>
        <v>34872500</v>
      </c>
      <c r="S76" s="285">
        <f t="shared" si="3"/>
        <v>27.547094096560375</v>
      </c>
      <c r="T76" s="800">
        <f>SUM(T78:T89)/8</f>
        <v>0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9985000</v>
      </c>
      <c r="O77" s="6">
        <f t="shared" si="0"/>
        <v>90.772727272727266</v>
      </c>
      <c r="P77" s="17">
        <f>P78</f>
        <v>0</v>
      </c>
      <c r="Q77" s="285">
        <f t="shared" si="1"/>
        <v>0</v>
      </c>
      <c r="R77" s="17">
        <f t="shared" si="2"/>
        <v>9985000</v>
      </c>
      <c r="S77" s="285">
        <f t="shared" si="3"/>
        <v>90.772727272727266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f>sep!R78</f>
        <v>9985000</v>
      </c>
      <c r="O78" s="111">
        <f t="shared" si="0"/>
        <v>90.772727272727266</v>
      </c>
      <c r="P78" s="19"/>
      <c r="Q78" s="286">
        <f t="shared" si="1"/>
        <v>0</v>
      </c>
      <c r="R78" s="19">
        <f t="shared" si="2"/>
        <v>9985000</v>
      </c>
      <c r="S78" s="286">
        <f t="shared" si="3"/>
        <v>90.772727272727266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15000000</v>
      </c>
      <c r="O79" s="6">
        <f t="shared" si="0"/>
        <v>73.170731707317074</v>
      </c>
      <c r="P79" s="17">
        <f>SUM(P80:P81)</f>
        <v>0</v>
      </c>
      <c r="Q79" s="285">
        <f t="shared" si="1"/>
        <v>0</v>
      </c>
      <c r="R79" s="17">
        <f t="shared" si="2"/>
        <v>15000000</v>
      </c>
      <c r="S79" s="285">
        <f t="shared" si="3"/>
        <v>73.170731707317074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f>sep!R80</f>
        <v>15000000</v>
      </c>
      <c r="O80" s="111">
        <f t="shared" si="0"/>
        <v>100</v>
      </c>
      <c r="P80" s="19"/>
      <c r="Q80" s="286">
        <f t="shared" si="1"/>
        <v>0</v>
      </c>
      <c r="R80" s="19">
        <f t="shared" si="2"/>
        <v>15000000</v>
      </c>
      <c r="S80" s="286">
        <f t="shared" si="3"/>
        <v>100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>
        <f>sep!R81</f>
        <v>0</v>
      </c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>
        <f>sep!R83</f>
        <v>0</v>
      </c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>
        <f>sep!R85</f>
        <v>0</v>
      </c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SUM(N87:N89)</f>
        <v>9887500</v>
      </c>
      <c r="O86" s="6">
        <f>N86/M86*100</f>
        <v>39.294272872148063</v>
      </c>
      <c r="P86" s="17">
        <f>SUM(P89:P90)</f>
        <v>0</v>
      </c>
      <c r="Q86" s="285">
        <f>P86/M86*100</f>
        <v>0</v>
      </c>
      <c r="R86" s="17">
        <f>N86+P86</f>
        <v>9887500</v>
      </c>
      <c r="S86" s="285">
        <f>R86/M86*100</f>
        <v>39.294272872148063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>
        <f>sep!R87</f>
        <v>7987500</v>
      </c>
      <c r="O87" s="111">
        <f t="shared" ref="O87:O88" si="4">N87/M87*100</f>
        <v>97.853651365357052</v>
      </c>
      <c r="P87" s="19"/>
      <c r="Q87" s="286">
        <f t="shared" ref="Q87:Q88" si="5">P87/M87*100</f>
        <v>0</v>
      </c>
      <c r="R87" s="19">
        <f t="shared" ref="R87:R88" si="6">N87+P87</f>
        <v>7987500</v>
      </c>
      <c r="S87" s="286">
        <f t="shared" ref="S87:S88" si="7">R87/M87*100</f>
        <v>97.853651365357052</v>
      </c>
      <c r="T87" s="803">
        <v>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>
        <f>sep!R88</f>
        <v>0</v>
      </c>
      <c r="O88" s="111">
        <f t="shared" si="4"/>
        <v>0</v>
      </c>
      <c r="P88" s="19"/>
      <c r="Q88" s="286">
        <f t="shared" si="5"/>
        <v>0</v>
      </c>
      <c r="R88" s="19">
        <f t="shared" si="6"/>
        <v>0</v>
      </c>
      <c r="S88" s="286">
        <f t="shared" si="7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>
        <f>sep!R89</f>
        <v>1900000</v>
      </c>
      <c r="O89" s="111">
        <f>N89/M89*100</f>
        <v>95</v>
      </c>
      <c r="P89" s="19"/>
      <c r="Q89" s="286">
        <f>P89/M89*100</f>
        <v>0</v>
      </c>
      <c r="R89" s="19">
        <f>N89+P89</f>
        <v>1900000</v>
      </c>
      <c r="S89" s="286">
        <f>R89/M89*100</f>
        <v>95</v>
      </c>
      <c r="T89" s="803">
        <v>0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681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21.7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21.7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</mergeCells>
  <pageMargins left="0.45" right="0.25" top="0.75" bottom="0.25" header="0.3" footer="0.3"/>
  <pageSetup paperSize="14" scale="65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2"/>
  <sheetViews>
    <sheetView topLeftCell="L10" workbookViewId="0">
      <selection activeCell="R28" sqref="R28:R29"/>
    </sheetView>
  </sheetViews>
  <sheetFormatPr defaultRowHeight="16.5"/>
  <cols>
    <col min="1" max="1" width="2.140625" style="24" bestFit="1" customWidth="1"/>
    <col min="2" max="5" width="3.28515625" style="24" bestFit="1" customWidth="1"/>
    <col min="6" max="8" width="2.140625" style="24" bestFit="1" customWidth="1"/>
    <col min="9" max="10" width="3.28515625" style="24" bestFit="1" customWidth="1"/>
    <col min="11" max="11" width="68.140625" style="24" customWidth="1"/>
    <col min="12" max="12" width="10.85546875" style="24" customWidth="1"/>
    <col min="13" max="13" width="17.140625" style="24" customWidth="1"/>
    <col min="14" max="14" width="17.28515625" style="24" customWidth="1"/>
    <col min="15" max="15" width="8.5703125" style="24" customWidth="1"/>
    <col min="16" max="16" width="17.85546875" style="117" customWidth="1"/>
    <col min="17" max="17" width="10.140625" style="24" customWidth="1"/>
    <col min="18" max="18" width="17.5703125" style="24" customWidth="1"/>
    <col min="19" max="19" width="8.5703125" style="24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684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667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2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793" t="s">
        <v>15</v>
      </c>
      <c r="O9" s="793" t="s">
        <v>16</v>
      </c>
      <c r="P9" s="793" t="s">
        <v>15</v>
      </c>
      <c r="Q9" s="793" t="s">
        <v>16</v>
      </c>
      <c r="R9" s="794" t="s">
        <v>15</v>
      </c>
      <c r="S9" s="794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795" t="s">
        <v>685</v>
      </c>
      <c r="M10" s="796"/>
      <c r="N10" s="796"/>
      <c r="O10" s="796"/>
      <c r="P10" s="794"/>
      <c r="Q10" s="794"/>
      <c r="R10" s="794"/>
      <c r="S10" s="794"/>
      <c r="T10" s="799"/>
      <c r="U10" s="794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795" t="s">
        <v>19</v>
      </c>
      <c r="M11" s="796"/>
      <c r="N11" s="796"/>
      <c r="O11" s="796"/>
      <c r="P11" s="794"/>
      <c r="Q11" s="794"/>
      <c r="R11" s="794"/>
      <c r="S11" s="794"/>
      <c r="T11" s="799"/>
      <c r="U11" s="794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M13+M18+M76</f>
        <v>1836864000</v>
      </c>
      <c r="N12" s="5">
        <f>N13+N18+N76</f>
        <v>911331351</v>
      </c>
      <c r="O12" s="6">
        <f>N12/M12*100</f>
        <v>49.613436324082784</v>
      </c>
      <c r="P12" s="5">
        <f>P13+P18+P76</f>
        <v>0</v>
      </c>
      <c r="Q12" s="285">
        <f>P12/M12*100</f>
        <v>0</v>
      </c>
      <c r="R12" s="5">
        <f>R13+R18+R76</f>
        <v>911331351</v>
      </c>
      <c r="S12" s="285">
        <f>R12/M12*100</f>
        <v>49.613436324082784</v>
      </c>
      <c r="T12" s="800">
        <f>T13+T18+T76/3</f>
        <v>10.481997677119626</v>
      </c>
      <c r="U12" s="12"/>
      <c r="V12" s="11"/>
    </row>
    <row r="13" spans="1:26">
      <c r="A13" s="561">
        <v>1</v>
      </c>
      <c r="B13" s="291" t="s">
        <v>17</v>
      </c>
      <c r="C13" s="291" t="s">
        <v>18</v>
      </c>
      <c r="D13" s="292">
        <v>38</v>
      </c>
      <c r="E13" s="291" t="s">
        <v>25</v>
      </c>
      <c r="F13" s="292">
        <v>5</v>
      </c>
      <c r="G13" s="292">
        <v>2</v>
      </c>
      <c r="H13" s="292">
        <v>1</v>
      </c>
      <c r="I13" s="292"/>
      <c r="J13" s="293"/>
      <c r="K13" s="295" t="s">
        <v>22</v>
      </c>
      <c r="L13" s="7"/>
      <c r="M13" s="5">
        <f>M15</f>
        <v>1102118400</v>
      </c>
      <c r="N13" s="5">
        <f>N15</f>
        <v>684112860</v>
      </c>
      <c r="O13" s="6">
        <f>N13/M13*100</f>
        <v>62.072537760008359</v>
      </c>
      <c r="P13" s="5">
        <f>P15</f>
        <v>0</v>
      </c>
      <c r="Q13" s="285">
        <f>P13/M13*100</f>
        <v>0</v>
      </c>
      <c r="R13" s="5">
        <f>R15</f>
        <v>684112860</v>
      </c>
      <c r="S13" s="285">
        <f>R13/M13*100</f>
        <v>62.072537760008359</v>
      </c>
      <c r="T13" s="800">
        <f>T15</f>
        <v>8.3333333333333321</v>
      </c>
      <c r="U13" s="296"/>
      <c r="V13" s="11"/>
    </row>
    <row r="14" spans="1:26" ht="7.5" customHeight="1">
      <c r="A14" s="561"/>
      <c r="B14" s="291"/>
      <c r="C14" s="291"/>
      <c r="D14" s="291"/>
      <c r="E14" s="291"/>
      <c r="F14" s="291"/>
      <c r="G14" s="292"/>
      <c r="H14" s="292"/>
      <c r="I14" s="292"/>
      <c r="J14" s="293"/>
      <c r="K14" s="295"/>
      <c r="L14" s="4"/>
      <c r="M14" s="5"/>
      <c r="N14" s="5"/>
      <c r="O14" s="5"/>
      <c r="P14" s="5"/>
      <c r="Q14" s="286"/>
      <c r="R14" s="5"/>
      <c r="S14" s="285"/>
      <c r="T14" s="800"/>
      <c r="U14" s="11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684112860</v>
      </c>
      <c r="O15" s="6">
        <f t="shared" ref="O15:O85" si="0">N15/M15*100</f>
        <v>62.072537760008359</v>
      </c>
      <c r="P15" s="5">
        <f>P16</f>
        <v>0</v>
      </c>
      <c r="Q15" s="285">
        <f t="shared" ref="Q15:Q85" si="1">P15/M15*100</f>
        <v>0</v>
      </c>
      <c r="R15" s="17">
        <f t="shared" ref="R15:R85" si="2">N15+P15</f>
        <v>684112860</v>
      </c>
      <c r="S15" s="285">
        <f t="shared" ref="S15:S85" si="3">R15/M15*100</f>
        <v>62.072537760008359</v>
      </c>
      <c r="T15" s="800">
        <f>T16</f>
        <v>8.3333333333333321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f>okt!R16</f>
        <v>684112860</v>
      </c>
      <c r="O16" s="111">
        <f t="shared" si="0"/>
        <v>62.072537760008359</v>
      </c>
      <c r="P16" s="9"/>
      <c r="Q16" s="286">
        <f t="shared" si="1"/>
        <v>0</v>
      </c>
      <c r="R16" s="19">
        <f t="shared" si="2"/>
        <v>684112860</v>
      </c>
      <c r="S16" s="286">
        <f t="shared" si="3"/>
        <v>62.072537760008359</v>
      </c>
      <c r="T16" s="801">
        <f>1/12*100</f>
        <v>8.3333333333333321</v>
      </c>
      <c r="U16" s="11"/>
      <c r="V16" s="11"/>
    </row>
    <row r="17" spans="1:22" ht="7.5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6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N19+N32+N35+N46+N54+N57+N59+N64+N68+N73+N42+N50+N71+N40</f>
        <v>192345991</v>
      </c>
      <c r="O18" s="6">
        <f t="shared" si="0"/>
        <v>31.627879187698234</v>
      </c>
      <c r="P18" s="5">
        <f>P19+P32+P35+P46+P52+P54+P57+P59+P64+P68+P73</f>
        <v>0</v>
      </c>
      <c r="Q18" s="285">
        <f t="shared" si="1"/>
        <v>0</v>
      </c>
      <c r="R18" s="17">
        <f t="shared" si="2"/>
        <v>192345991</v>
      </c>
      <c r="S18" s="285">
        <f t="shared" si="3"/>
        <v>31.627879187698234</v>
      </c>
      <c r="T18" s="800">
        <f>SUM(T20:T74)/41</f>
        <v>2.1486643437862947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50739400</v>
      </c>
      <c r="O19" s="6">
        <f t="shared" si="0"/>
        <v>20.654756186323247</v>
      </c>
      <c r="P19" s="5">
        <f>SUM(P20:P31)</f>
        <v>0</v>
      </c>
      <c r="Q19" s="285">
        <f t="shared" si="1"/>
        <v>0</v>
      </c>
      <c r="R19" s="17">
        <f>N19+P19</f>
        <v>50739400</v>
      </c>
      <c r="S19" s="285">
        <f t="shared" si="3"/>
        <v>20.654756186323247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f>okt!R20</f>
        <v>26894900</v>
      </c>
      <c r="O20" s="111">
        <f t="shared" si="0"/>
        <v>96.294638701315435</v>
      </c>
      <c r="P20" s="115"/>
      <c r="Q20" s="286">
        <f t="shared" si="1"/>
        <v>0</v>
      </c>
      <c r="R20" s="19">
        <f t="shared" si="2"/>
        <v>26894900</v>
      </c>
      <c r="S20" s="286">
        <f t="shared" si="3"/>
        <v>96.294638701315435</v>
      </c>
      <c r="T20" s="801">
        <v>0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f>okt!R21</f>
        <v>1698000</v>
      </c>
      <c r="O21" s="111">
        <f t="shared" si="0"/>
        <v>97.028571428571425</v>
      </c>
      <c r="P21" s="115"/>
      <c r="Q21" s="286">
        <f t="shared" si="1"/>
        <v>0</v>
      </c>
      <c r="R21" s="19">
        <f t="shared" si="2"/>
        <v>1698000</v>
      </c>
      <c r="S21" s="286">
        <f t="shared" si="3"/>
        <v>97.028571428571425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f>okt!R22</f>
        <v>1500000</v>
      </c>
      <c r="O22" s="111">
        <f t="shared" si="0"/>
        <v>71.428571428571431</v>
      </c>
      <c r="P22" s="115"/>
      <c r="Q22" s="286">
        <f t="shared" si="1"/>
        <v>0</v>
      </c>
      <c r="R22" s="19">
        <f t="shared" si="2"/>
        <v>1500000</v>
      </c>
      <c r="S22" s="286">
        <f t="shared" si="3"/>
        <v>71.428571428571431</v>
      </c>
      <c r="T22" s="801">
        <f>S22</f>
        <v>71.428571428571431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>
        <f>okt!R23</f>
        <v>8000000</v>
      </c>
      <c r="O23" s="111">
        <f t="shared" si="0"/>
        <v>98.461538461538467</v>
      </c>
      <c r="P23" s="115"/>
      <c r="Q23" s="286">
        <f t="shared" si="1"/>
        <v>0</v>
      </c>
      <c r="R23" s="19">
        <f t="shared" si="2"/>
        <v>8000000</v>
      </c>
      <c r="S23" s="286">
        <f t="shared" si="3"/>
        <v>98.461538461538467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>
        <f>okt!R24</f>
        <v>0</v>
      </c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>
        <f>okt!R25</f>
        <v>175000</v>
      </c>
      <c r="O25" s="111">
        <f t="shared" si="0"/>
        <v>17.5</v>
      </c>
      <c r="P25" s="115"/>
      <c r="Q25" s="286">
        <f t="shared" si="1"/>
        <v>0</v>
      </c>
      <c r="R25" s="19">
        <f t="shared" si="2"/>
        <v>175000</v>
      </c>
      <c r="S25" s="286">
        <f t="shared" si="3"/>
        <v>17.5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f>okt!R26</f>
        <v>4795750</v>
      </c>
      <c r="O26" s="111">
        <f t="shared" si="0"/>
        <v>26.791899441340782</v>
      </c>
      <c r="P26" s="115"/>
      <c r="Q26" s="286">
        <f t="shared" si="1"/>
        <v>0</v>
      </c>
      <c r="R26" s="19">
        <f t="shared" si="2"/>
        <v>4795750</v>
      </c>
      <c r="S26" s="286">
        <f t="shared" si="3"/>
        <v>26.791899441340782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>
        <f>okt!R27</f>
        <v>0</v>
      </c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>
        <f>okt!R28</f>
        <v>2205750</v>
      </c>
      <c r="O28" s="111">
        <f t="shared" si="0"/>
        <v>34.46484375</v>
      </c>
      <c r="P28" s="564"/>
      <c r="Q28" s="286">
        <f t="shared" si="1"/>
        <v>0</v>
      </c>
      <c r="R28" s="19">
        <f t="shared" si="2"/>
        <v>2205750</v>
      </c>
      <c r="S28" s="286">
        <f t="shared" si="3"/>
        <v>34.46484375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>
        <f>okt!R29</f>
        <v>400000</v>
      </c>
      <c r="O29" s="111">
        <f t="shared" si="0"/>
        <v>100</v>
      </c>
      <c r="P29" s="564"/>
      <c r="Q29" s="286">
        <f t="shared" si="1"/>
        <v>0</v>
      </c>
      <c r="R29" s="19">
        <f t="shared" si="2"/>
        <v>400000</v>
      </c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>
        <f>okt!R30</f>
        <v>0</v>
      </c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>
        <f>okt!R31</f>
        <v>5070000</v>
      </c>
      <c r="O31" s="111">
        <f t="shared" si="0"/>
        <v>58.95348837209302</v>
      </c>
      <c r="P31" s="115"/>
      <c r="Q31" s="286">
        <f t="shared" si="1"/>
        <v>0</v>
      </c>
      <c r="R31" s="19">
        <f t="shared" si="2"/>
        <v>5070000</v>
      </c>
      <c r="S31" s="286">
        <f t="shared" si="3"/>
        <v>58.95348837209302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SUM(N33:N34)</f>
        <v>7112000</v>
      </c>
      <c r="O32" s="6">
        <f t="shared" si="0"/>
        <v>11.705069124423963</v>
      </c>
      <c r="P32" s="5">
        <f>SUM(P34:P34)</f>
        <v>0</v>
      </c>
      <c r="Q32" s="285">
        <f t="shared" si="1"/>
        <v>0</v>
      </c>
      <c r="R32" s="17">
        <f t="shared" si="2"/>
        <v>7112000</v>
      </c>
      <c r="S32" s="285">
        <f t="shared" si="3"/>
        <v>11.705069124423963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9">
        <f>okt!R33</f>
        <v>0</v>
      </c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f>okt!R34</f>
        <v>7112000</v>
      </c>
      <c r="O34" s="111">
        <f t="shared" si="0"/>
        <v>48.184281842818429</v>
      </c>
      <c r="P34" s="564">
        <v>0</v>
      </c>
      <c r="Q34" s="286">
        <f t="shared" si="1"/>
        <v>0</v>
      </c>
      <c r="R34" s="19">
        <f t="shared" si="2"/>
        <v>7112000</v>
      </c>
      <c r="S34" s="286">
        <f t="shared" si="3"/>
        <v>48.184281842818429</v>
      </c>
      <c r="T34" s="801">
        <f>1/12*100</f>
        <v>8.3333333333333321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1740800</v>
      </c>
      <c r="O35" s="6">
        <f t="shared" si="0"/>
        <v>4.6846071044133479</v>
      </c>
      <c r="P35" s="5">
        <f>SUM(P36:P39)</f>
        <v>0</v>
      </c>
      <c r="Q35" s="285">
        <f t="shared" si="1"/>
        <v>0</v>
      </c>
      <c r="R35" s="17">
        <f t="shared" si="2"/>
        <v>1740800</v>
      </c>
      <c r="S35" s="285">
        <f t="shared" si="3"/>
        <v>4.6846071044133479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f>okt!R36</f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f>okt!R37</f>
        <v>120800</v>
      </c>
      <c r="O37" s="111">
        <f t="shared" si="0"/>
        <v>21.571428571428573</v>
      </c>
      <c r="P37" s="115"/>
      <c r="Q37" s="286">
        <f t="shared" si="1"/>
        <v>0</v>
      </c>
      <c r="R37" s="19">
        <f t="shared" si="2"/>
        <v>120800</v>
      </c>
      <c r="S37" s="286">
        <f t="shared" si="3"/>
        <v>21.571428571428573</v>
      </c>
      <c r="T37" s="801">
        <v>0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f>okt!R38</f>
        <v>1620000</v>
      </c>
      <c r="O38" s="111">
        <f t="shared" si="0"/>
        <v>16.2</v>
      </c>
      <c r="P38" s="115"/>
      <c r="Q38" s="286">
        <f t="shared" si="1"/>
        <v>0</v>
      </c>
      <c r="R38" s="19">
        <f t="shared" si="2"/>
        <v>1620000</v>
      </c>
      <c r="S38" s="286">
        <f t="shared" si="3"/>
        <v>16.2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f>okt!R39</f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</f>
        <v>0</v>
      </c>
      <c r="O40" s="6">
        <f t="shared" si="0"/>
        <v>0</v>
      </c>
      <c r="P40" s="5">
        <f>SUM(P41)</f>
        <v>0</v>
      </c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>
        <f>okt!R41</f>
        <v>0</v>
      </c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1457075</v>
      </c>
      <c r="O42" s="6">
        <f t="shared" si="0"/>
        <v>12.781359649122805</v>
      </c>
      <c r="P42" s="5">
        <f>P43+P44+P45</f>
        <v>0</v>
      </c>
      <c r="Q42" s="285">
        <f t="shared" si="1"/>
        <v>0</v>
      </c>
      <c r="R42" s="17">
        <f t="shared" si="2"/>
        <v>1457075</v>
      </c>
      <c r="S42" s="285">
        <f t="shared" si="3"/>
        <v>12.781359649122805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>
        <f>okt!R43</f>
        <v>933200</v>
      </c>
      <c r="O43" s="111">
        <f t="shared" si="0"/>
        <v>33.328571428571429</v>
      </c>
      <c r="P43" s="115"/>
      <c r="Q43" s="286">
        <f t="shared" si="1"/>
        <v>0</v>
      </c>
      <c r="R43" s="19">
        <f t="shared" si="2"/>
        <v>933200</v>
      </c>
      <c r="S43" s="286">
        <f t="shared" si="3"/>
        <v>33.328571428571429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f>okt!R44</f>
        <v>409875</v>
      </c>
      <c r="O44" s="111">
        <f t="shared" si="0"/>
        <v>6.0275735294117645</v>
      </c>
      <c r="P44" s="116"/>
      <c r="Q44" s="286">
        <f t="shared" si="1"/>
        <v>0</v>
      </c>
      <c r="R44" s="19">
        <f t="shared" si="2"/>
        <v>409875</v>
      </c>
      <c r="S44" s="286">
        <f t="shared" si="3"/>
        <v>6.0275735294117645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f>okt!R45</f>
        <v>114000</v>
      </c>
      <c r="O45" s="111">
        <f t="shared" si="0"/>
        <v>6.3333333333333339</v>
      </c>
      <c r="P45" s="116"/>
      <c r="Q45" s="286">
        <f t="shared" si="1"/>
        <v>0</v>
      </c>
      <c r="R45" s="19">
        <f t="shared" si="2"/>
        <v>114000</v>
      </c>
      <c r="S45" s="286">
        <f t="shared" si="3"/>
        <v>6.3333333333333339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68850000</v>
      </c>
      <c r="O46" s="6">
        <f t="shared" si="0"/>
        <v>91.034701608478059</v>
      </c>
      <c r="P46" s="5">
        <f>P47+P48+P49</f>
        <v>0</v>
      </c>
      <c r="Q46" s="285">
        <f t="shared" si="1"/>
        <v>0</v>
      </c>
      <c r="R46" s="17">
        <f t="shared" si="2"/>
        <v>68850000</v>
      </c>
      <c r="S46" s="285">
        <f t="shared" si="3"/>
        <v>91.034701608478059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>
        <f>okt!R47</f>
        <v>63500000</v>
      </c>
      <c r="O47" s="111">
        <f t="shared" si="0"/>
        <v>96.606598154585768</v>
      </c>
      <c r="P47" s="115"/>
      <c r="Q47" s="286">
        <f t="shared" si="1"/>
        <v>0</v>
      </c>
      <c r="R47" s="19">
        <f t="shared" si="2"/>
        <v>63500000</v>
      </c>
      <c r="S47" s="286">
        <f t="shared" si="3"/>
        <v>96.606598154585768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f>okt!R48</f>
        <v>4720000</v>
      </c>
      <c r="O48" s="111">
        <f t="shared" si="0"/>
        <v>56.19047619047619</v>
      </c>
      <c r="P48" s="116"/>
      <c r="Q48" s="286">
        <f t="shared" si="1"/>
        <v>0</v>
      </c>
      <c r="R48" s="19">
        <f t="shared" si="2"/>
        <v>4720000</v>
      </c>
      <c r="S48" s="286">
        <f t="shared" si="3"/>
        <v>56.19047619047619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f>okt!R49</f>
        <v>630000</v>
      </c>
      <c r="O49" s="111">
        <f t="shared" si="0"/>
        <v>42</v>
      </c>
      <c r="P49" s="116"/>
      <c r="Q49" s="286">
        <f t="shared" si="1"/>
        <v>0</v>
      </c>
      <c r="R49" s="19">
        <f t="shared" si="2"/>
        <v>630000</v>
      </c>
      <c r="S49" s="286">
        <f t="shared" si="3"/>
        <v>42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7250000</v>
      </c>
      <c r="O50" s="6">
        <f t="shared" si="0"/>
        <v>27.831094049904031</v>
      </c>
      <c r="P50" s="114">
        <f>P51</f>
        <v>0</v>
      </c>
      <c r="Q50" s="285">
        <f t="shared" si="1"/>
        <v>0</v>
      </c>
      <c r="R50" s="17">
        <f t="shared" si="2"/>
        <v>7250000</v>
      </c>
      <c r="S50" s="285">
        <f t="shared" si="3"/>
        <v>27.831094049904031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f>okt!R51</f>
        <v>7250000</v>
      </c>
      <c r="O51" s="111">
        <f t="shared" si="0"/>
        <v>27.831094049904031</v>
      </c>
      <c r="P51" s="113"/>
      <c r="Q51" s="286">
        <f t="shared" si="1"/>
        <v>0</v>
      </c>
      <c r="R51" s="19">
        <f t="shared" si="2"/>
        <v>7250000</v>
      </c>
      <c r="S51" s="286">
        <f t="shared" si="3"/>
        <v>27.831094049904031</v>
      </c>
      <c r="T51" s="802">
        <v>0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f>okt!R53</f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6196716</v>
      </c>
      <c r="O54" s="6">
        <f t="shared" si="0"/>
        <v>29.510981998285551</v>
      </c>
      <c r="P54" s="17">
        <f>P55+P56</f>
        <v>0</v>
      </c>
      <c r="Q54" s="285">
        <f t="shared" si="1"/>
        <v>0</v>
      </c>
      <c r="R54" s="17">
        <f t="shared" si="2"/>
        <v>6196716</v>
      </c>
      <c r="S54" s="285">
        <f t="shared" si="3"/>
        <v>29.510981998285551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f>okt!R55</f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f>okt!R56</f>
        <v>6196716</v>
      </c>
      <c r="O56" s="111">
        <f t="shared" si="0"/>
        <v>37.56040732209965</v>
      </c>
      <c r="P56" s="19"/>
      <c r="Q56" s="286">
        <f t="shared" si="1"/>
        <v>0</v>
      </c>
      <c r="R56" s="19">
        <f t="shared" si="2"/>
        <v>6196716</v>
      </c>
      <c r="S56" s="286">
        <f t="shared" si="3"/>
        <v>37.56040732209965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10000000</v>
      </c>
      <c r="O57" s="6">
        <f t="shared" si="0"/>
        <v>35.714285714285715</v>
      </c>
      <c r="P57" s="17">
        <f>P58</f>
        <v>0</v>
      </c>
      <c r="Q57" s="285">
        <f t="shared" si="1"/>
        <v>0</v>
      </c>
      <c r="R57" s="17">
        <f t="shared" si="2"/>
        <v>10000000</v>
      </c>
      <c r="S57" s="285">
        <f t="shared" si="3"/>
        <v>35.714285714285715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f>okt!R58</f>
        <v>10000000</v>
      </c>
      <c r="O58" s="111">
        <f t="shared" si="0"/>
        <v>35.714285714285715</v>
      </c>
      <c r="P58" s="19"/>
      <c r="Q58" s="286">
        <f t="shared" si="1"/>
        <v>0</v>
      </c>
      <c r="R58" s="19">
        <f t="shared" si="2"/>
        <v>10000000</v>
      </c>
      <c r="S58" s="286">
        <f t="shared" si="3"/>
        <v>35.714285714285715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367</v>
      </c>
      <c r="L59" s="12"/>
      <c r="M59" s="17">
        <f>SUM(M60:M63)</f>
        <v>33500000</v>
      </c>
      <c r="N59" s="17">
        <f>SUM(N60:N63)</f>
        <v>15450000</v>
      </c>
      <c r="O59" s="6">
        <f t="shared" si="0"/>
        <v>46.119402985074629</v>
      </c>
      <c r="P59" s="17">
        <f>SUM(P60:P63)</f>
        <v>0</v>
      </c>
      <c r="Q59" s="285">
        <f t="shared" si="1"/>
        <v>0</v>
      </c>
      <c r="R59" s="17">
        <f t="shared" si="2"/>
        <v>15450000</v>
      </c>
      <c r="S59" s="285">
        <f t="shared" si="3"/>
        <v>46.119402985074629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f>okt!R60</f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>
        <f>okt!R61</f>
        <v>10450000</v>
      </c>
      <c r="O61" s="111">
        <f t="shared" si="0"/>
        <v>99.523809523809518</v>
      </c>
      <c r="P61" s="19"/>
      <c r="Q61" s="286">
        <f t="shared" si="1"/>
        <v>0</v>
      </c>
      <c r="R61" s="19">
        <f t="shared" si="2"/>
        <v>10450000</v>
      </c>
      <c r="S61" s="286">
        <f t="shared" si="3"/>
        <v>99.523809523809518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>
        <f>okt!R62</f>
        <v>0</v>
      </c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f>okt!R63</f>
        <v>5000000</v>
      </c>
      <c r="O63" s="111">
        <f t="shared" si="0"/>
        <v>45.454545454545453</v>
      </c>
      <c r="P63" s="19"/>
      <c r="Q63" s="286">
        <f t="shared" si="1"/>
        <v>0</v>
      </c>
      <c r="R63" s="19">
        <f t="shared" si="2"/>
        <v>5000000</v>
      </c>
      <c r="S63" s="286">
        <f t="shared" si="3"/>
        <v>45.454545454545453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SUM(N65:N67)</f>
        <v>6300000</v>
      </c>
      <c r="O64" s="6">
        <f t="shared" si="0"/>
        <v>66.315789473684205</v>
      </c>
      <c r="P64" s="17">
        <f>P67</f>
        <v>0</v>
      </c>
      <c r="Q64" s="285">
        <f t="shared" si="1"/>
        <v>0</v>
      </c>
      <c r="R64" s="17">
        <f t="shared" si="2"/>
        <v>6300000</v>
      </c>
      <c r="S64" s="285">
        <f t="shared" si="3"/>
        <v>66.315789473684205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>
        <f>okt!R65</f>
        <v>1300000</v>
      </c>
      <c r="O65" s="111">
        <f t="shared" si="0"/>
        <v>43.333333333333336</v>
      </c>
      <c r="P65" s="19"/>
      <c r="Q65" s="286">
        <f t="shared" si="1"/>
        <v>0</v>
      </c>
      <c r="R65" s="19">
        <f t="shared" si="2"/>
        <v>1300000</v>
      </c>
      <c r="S65" s="286">
        <f t="shared" si="3"/>
        <v>43.333333333333336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>
        <f>okt!R66</f>
        <v>5000000</v>
      </c>
      <c r="O66" s="111">
        <f t="shared" si="0"/>
        <v>100</v>
      </c>
      <c r="P66" s="19"/>
      <c r="Q66" s="286">
        <f t="shared" si="1"/>
        <v>0</v>
      </c>
      <c r="R66" s="19">
        <f t="shared" si="2"/>
        <v>5000000</v>
      </c>
      <c r="S66" s="286">
        <f t="shared" si="3"/>
        <v>100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>
        <f>okt!R67</f>
        <v>0</v>
      </c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 ht="33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10750000</v>
      </c>
      <c r="O68" s="6">
        <f t="shared" si="0"/>
        <v>31.617647058823529</v>
      </c>
      <c r="P68" s="17">
        <f>P69+P70</f>
        <v>0</v>
      </c>
      <c r="Q68" s="285">
        <f t="shared" si="1"/>
        <v>0</v>
      </c>
      <c r="R68" s="17">
        <f t="shared" si="2"/>
        <v>10750000</v>
      </c>
      <c r="S68" s="285">
        <f t="shared" si="3"/>
        <v>31.617647058823529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f>okt!R69</f>
        <v>750000</v>
      </c>
      <c r="O69" s="111">
        <f t="shared" si="0"/>
        <v>5.2083333333333339</v>
      </c>
      <c r="P69" s="19"/>
      <c r="Q69" s="286">
        <f t="shared" si="1"/>
        <v>0</v>
      </c>
      <c r="R69" s="19">
        <f t="shared" si="2"/>
        <v>750000</v>
      </c>
      <c r="S69" s="286">
        <f t="shared" si="3"/>
        <v>5.2083333333333339</v>
      </c>
      <c r="T69" s="801">
        <v>0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f>okt!R70</f>
        <v>10000000</v>
      </c>
      <c r="O70" s="111">
        <f t="shared" si="0"/>
        <v>51.020408163265309</v>
      </c>
      <c r="P70" s="19"/>
      <c r="Q70" s="286">
        <f t="shared" si="1"/>
        <v>0</v>
      </c>
      <c r="R70" s="19">
        <f t="shared" si="2"/>
        <v>10000000</v>
      </c>
      <c r="S70" s="286">
        <f t="shared" si="3"/>
        <v>51.020408163265309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6000000</v>
      </c>
      <c r="O71" s="6">
        <f t="shared" si="0"/>
        <v>50</v>
      </c>
      <c r="P71" s="17">
        <f>P72</f>
        <v>0</v>
      </c>
      <c r="Q71" s="285">
        <f t="shared" si="1"/>
        <v>0</v>
      </c>
      <c r="R71" s="17">
        <f t="shared" si="2"/>
        <v>6000000</v>
      </c>
      <c r="S71" s="285">
        <f t="shared" si="3"/>
        <v>50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f>okt!R72</f>
        <v>6000000</v>
      </c>
      <c r="O72" s="111">
        <f t="shared" si="0"/>
        <v>50</v>
      </c>
      <c r="P72" s="19"/>
      <c r="Q72" s="286">
        <f t="shared" si="1"/>
        <v>0</v>
      </c>
      <c r="R72" s="19">
        <f t="shared" si="2"/>
        <v>6000000</v>
      </c>
      <c r="S72" s="286">
        <f t="shared" si="3"/>
        <v>50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500000</v>
      </c>
      <c r="O73" s="6">
        <f t="shared" si="0"/>
        <v>100</v>
      </c>
      <c r="P73" s="17">
        <f>P74</f>
        <v>0</v>
      </c>
      <c r="Q73" s="285">
        <f t="shared" si="1"/>
        <v>0</v>
      </c>
      <c r="R73" s="17">
        <f t="shared" si="2"/>
        <v>500000</v>
      </c>
      <c r="S73" s="285">
        <f t="shared" si="3"/>
        <v>100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f>okt!R74</f>
        <v>500000</v>
      </c>
      <c r="O74" s="111">
        <f t="shared" si="0"/>
        <v>100</v>
      </c>
      <c r="P74" s="19"/>
      <c r="Q74" s="286">
        <f t="shared" si="1"/>
        <v>0</v>
      </c>
      <c r="R74" s="19">
        <f t="shared" si="2"/>
        <v>500000</v>
      </c>
      <c r="S74" s="286">
        <f t="shared" si="3"/>
        <v>100</v>
      </c>
      <c r="T74" s="801">
        <v>0</v>
      </c>
      <c r="U74" s="11"/>
      <c r="V74" s="11"/>
    </row>
    <row r="75" spans="1:22" ht="7.5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9">
        <f>okt!R75</f>
        <v>0</v>
      </c>
      <c r="O75" s="5"/>
      <c r="P75" s="5"/>
      <c r="Q75" s="286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34872500</v>
      </c>
      <c r="O76" s="6">
        <f t="shared" si="0"/>
        <v>27.547094096560375</v>
      </c>
      <c r="P76" s="17">
        <f>P77+P79+P82+P84+P86</f>
        <v>0</v>
      </c>
      <c r="Q76" s="285">
        <f t="shared" si="1"/>
        <v>0</v>
      </c>
      <c r="R76" s="17">
        <f t="shared" si="2"/>
        <v>34872500</v>
      </c>
      <c r="S76" s="285">
        <f t="shared" si="3"/>
        <v>27.547094096560375</v>
      </c>
      <c r="T76" s="800">
        <f>SUM(T78:T89)/8</f>
        <v>0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9985000</v>
      </c>
      <c r="O77" s="6">
        <f t="shared" si="0"/>
        <v>90.772727272727266</v>
      </c>
      <c r="P77" s="17">
        <f>P78</f>
        <v>0</v>
      </c>
      <c r="Q77" s="285">
        <f t="shared" si="1"/>
        <v>0</v>
      </c>
      <c r="R77" s="17">
        <f t="shared" si="2"/>
        <v>9985000</v>
      </c>
      <c r="S77" s="285">
        <f t="shared" si="3"/>
        <v>90.772727272727266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f>okt!R78</f>
        <v>9985000</v>
      </c>
      <c r="O78" s="111">
        <f t="shared" si="0"/>
        <v>90.772727272727266</v>
      </c>
      <c r="P78" s="19"/>
      <c r="Q78" s="286">
        <f t="shared" si="1"/>
        <v>0</v>
      </c>
      <c r="R78" s="19">
        <f t="shared" si="2"/>
        <v>9985000</v>
      </c>
      <c r="S78" s="286">
        <f t="shared" si="3"/>
        <v>90.772727272727266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15000000</v>
      </c>
      <c r="O79" s="6">
        <f t="shared" si="0"/>
        <v>73.170731707317074</v>
      </c>
      <c r="P79" s="17">
        <f>SUM(P80:P81)</f>
        <v>0</v>
      </c>
      <c r="Q79" s="285">
        <f t="shared" si="1"/>
        <v>0</v>
      </c>
      <c r="R79" s="17">
        <f t="shared" si="2"/>
        <v>15000000</v>
      </c>
      <c r="S79" s="285">
        <f t="shared" si="3"/>
        <v>73.170731707317074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f>okt!R80</f>
        <v>15000000</v>
      </c>
      <c r="O80" s="111">
        <f t="shared" si="0"/>
        <v>100</v>
      </c>
      <c r="P80" s="19"/>
      <c r="Q80" s="286">
        <f t="shared" si="1"/>
        <v>0</v>
      </c>
      <c r="R80" s="19">
        <f t="shared" si="2"/>
        <v>15000000</v>
      </c>
      <c r="S80" s="286">
        <f t="shared" si="3"/>
        <v>100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>
        <f>okt!R81</f>
        <v>0</v>
      </c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>
        <f>okt!R83</f>
        <v>0</v>
      </c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>
        <f>okt!R85</f>
        <v>0</v>
      </c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SUM(N87:N89)</f>
        <v>9887500</v>
      </c>
      <c r="O86" s="6">
        <f>N86/M86*100</f>
        <v>39.294272872148063</v>
      </c>
      <c r="P86" s="17">
        <f>SUM(P89:P90)</f>
        <v>0</v>
      </c>
      <c r="Q86" s="285">
        <f>P86/M86*100</f>
        <v>0</v>
      </c>
      <c r="R86" s="17">
        <f>N86+P86</f>
        <v>9887500</v>
      </c>
      <c r="S86" s="285">
        <f>R86/M86*100</f>
        <v>39.294272872148063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>
        <f>okt!R87</f>
        <v>7987500</v>
      </c>
      <c r="O87" s="111">
        <f t="shared" ref="O87:O88" si="4">N87/M87*100</f>
        <v>97.853651365357052</v>
      </c>
      <c r="P87" s="19"/>
      <c r="Q87" s="286">
        <f t="shared" ref="Q87:Q88" si="5">P87/M87*100</f>
        <v>0</v>
      </c>
      <c r="R87" s="19">
        <f t="shared" ref="R87:R88" si="6">N87+P87</f>
        <v>7987500</v>
      </c>
      <c r="S87" s="286">
        <f t="shared" ref="S87:S88" si="7">R87/M87*100</f>
        <v>97.853651365357052</v>
      </c>
      <c r="T87" s="803">
        <v>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>
        <f>okt!R88</f>
        <v>0</v>
      </c>
      <c r="O88" s="111">
        <f t="shared" si="4"/>
        <v>0</v>
      </c>
      <c r="P88" s="19"/>
      <c r="Q88" s="286">
        <f t="shared" si="5"/>
        <v>0</v>
      </c>
      <c r="R88" s="19">
        <f t="shared" si="6"/>
        <v>0</v>
      </c>
      <c r="S88" s="286">
        <f t="shared" si="7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>
        <f>okt!R89</f>
        <v>1900000</v>
      </c>
      <c r="O89" s="111">
        <f>N89/M89*100</f>
        <v>95</v>
      </c>
      <c r="P89" s="19"/>
      <c r="Q89" s="286">
        <f>P89/M89*100</f>
        <v>0</v>
      </c>
      <c r="R89" s="19">
        <f>N89+P89</f>
        <v>1900000</v>
      </c>
      <c r="S89" s="286">
        <f>R89/M89*100</f>
        <v>95</v>
      </c>
      <c r="T89" s="803">
        <v>0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682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21.7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21.7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</mergeCells>
  <pageMargins left="0.45" right="0.25" top="0.75" bottom="0.25" header="0.3" footer="0.3"/>
  <pageSetup paperSize="14" scale="65"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42"/>
  <sheetViews>
    <sheetView topLeftCell="H7" workbookViewId="0">
      <selection activeCell="H29" sqref="H29"/>
    </sheetView>
  </sheetViews>
  <sheetFormatPr defaultRowHeight="16.5"/>
  <cols>
    <col min="1" max="1" width="2.140625" style="24" bestFit="1" customWidth="1"/>
    <col min="2" max="5" width="3.28515625" style="24" bestFit="1" customWidth="1"/>
    <col min="6" max="8" width="2.140625" style="24" bestFit="1" customWidth="1"/>
    <col min="9" max="10" width="3.28515625" style="24" bestFit="1" customWidth="1"/>
    <col min="11" max="11" width="68.42578125" style="24" customWidth="1"/>
    <col min="12" max="12" width="10.85546875" style="24" customWidth="1"/>
    <col min="13" max="13" width="17.140625" style="24" customWidth="1"/>
    <col min="14" max="14" width="17.28515625" style="24" customWidth="1"/>
    <col min="15" max="15" width="8.5703125" style="24" customWidth="1"/>
    <col min="16" max="16" width="17.85546875" style="117" customWidth="1"/>
    <col min="17" max="17" width="10.140625" style="24" customWidth="1"/>
    <col min="18" max="18" width="17.42578125" style="24" customWidth="1"/>
    <col min="19" max="19" width="8.7109375" style="24" bestFit="1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684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666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2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793" t="s">
        <v>15</v>
      </c>
      <c r="O9" s="793" t="s">
        <v>16</v>
      </c>
      <c r="P9" s="793" t="s">
        <v>15</v>
      </c>
      <c r="Q9" s="793" t="s">
        <v>16</v>
      </c>
      <c r="R9" s="794" t="s">
        <v>15</v>
      </c>
      <c r="S9" s="794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795" t="s">
        <v>685</v>
      </c>
      <c r="M10" s="796"/>
      <c r="N10" s="796"/>
      <c r="O10" s="796"/>
      <c r="P10" s="794"/>
      <c r="Q10" s="794"/>
      <c r="R10" s="794"/>
      <c r="S10" s="794"/>
      <c r="T10" s="799"/>
      <c r="U10" s="794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795" t="s">
        <v>19</v>
      </c>
      <c r="M11" s="796"/>
      <c r="N11" s="796"/>
      <c r="O11" s="796"/>
      <c r="P11" s="794"/>
      <c r="Q11" s="794"/>
      <c r="R11" s="794"/>
      <c r="S11" s="794"/>
      <c r="T11" s="799"/>
      <c r="U11" s="794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M13+M18+M76</f>
        <v>1836864000</v>
      </c>
      <c r="N12" s="5">
        <f>N13+N18+N76</f>
        <v>911331351</v>
      </c>
      <c r="O12" s="6">
        <f>N12/M12*100</f>
        <v>49.613436324082784</v>
      </c>
      <c r="P12" s="5">
        <f>P13+P18+P76</f>
        <v>0</v>
      </c>
      <c r="Q12" s="285">
        <f>P12/M12*100</f>
        <v>0</v>
      </c>
      <c r="R12" s="5">
        <f>R13+R18+R76</f>
        <v>911331351</v>
      </c>
      <c r="S12" s="285">
        <f>R12/M12*100</f>
        <v>49.613436324082784</v>
      </c>
      <c r="T12" s="800">
        <f>T13+T18+T76/3</f>
        <v>10.481997677119626</v>
      </c>
      <c r="U12" s="12"/>
      <c r="V12" s="11"/>
    </row>
    <row r="13" spans="1:26">
      <c r="A13" s="561">
        <v>1</v>
      </c>
      <c r="B13" s="291" t="s">
        <v>17</v>
      </c>
      <c r="C13" s="291" t="s">
        <v>18</v>
      </c>
      <c r="D13" s="292">
        <v>38</v>
      </c>
      <c r="E13" s="291" t="s">
        <v>25</v>
      </c>
      <c r="F13" s="292">
        <v>5</v>
      </c>
      <c r="G13" s="292">
        <v>2</v>
      </c>
      <c r="H13" s="292">
        <v>1</v>
      </c>
      <c r="I13" s="292"/>
      <c r="J13" s="293"/>
      <c r="K13" s="295" t="s">
        <v>22</v>
      </c>
      <c r="L13" s="7"/>
      <c r="M13" s="5">
        <f>M15</f>
        <v>1102118400</v>
      </c>
      <c r="N13" s="5">
        <f>N15</f>
        <v>684112860</v>
      </c>
      <c r="O13" s="6">
        <f>N13/M13*100</f>
        <v>62.072537760008359</v>
      </c>
      <c r="P13" s="5">
        <f>P15</f>
        <v>0</v>
      </c>
      <c r="Q13" s="285">
        <f>P13/M13*100</f>
        <v>0</v>
      </c>
      <c r="R13" s="5">
        <f>R15</f>
        <v>684112860</v>
      </c>
      <c r="S13" s="285">
        <f>R13/M13*100</f>
        <v>62.072537760008359</v>
      </c>
      <c r="T13" s="800">
        <f>T15</f>
        <v>8.3333333333333321</v>
      </c>
      <c r="U13" s="296"/>
      <c r="V13" s="11"/>
    </row>
    <row r="14" spans="1:26" ht="7.5" customHeight="1">
      <c r="A14" s="561"/>
      <c r="B14" s="291"/>
      <c r="C14" s="291"/>
      <c r="D14" s="291"/>
      <c r="E14" s="291"/>
      <c r="F14" s="291"/>
      <c r="G14" s="292"/>
      <c r="H14" s="292"/>
      <c r="I14" s="292"/>
      <c r="J14" s="293"/>
      <c r="K14" s="295"/>
      <c r="L14" s="4"/>
      <c r="M14" s="5"/>
      <c r="N14" s="5"/>
      <c r="O14" s="5"/>
      <c r="P14" s="5"/>
      <c r="Q14" s="286"/>
      <c r="R14" s="5"/>
      <c r="S14" s="285"/>
      <c r="T14" s="800"/>
      <c r="U14" s="11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684112860</v>
      </c>
      <c r="O15" s="6">
        <f t="shared" ref="O15:O85" si="0">N15/M15*100</f>
        <v>62.072537760008359</v>
      </c>
      <c r="P15" s="5">
        <f>P16</f>
        <v>0</v>
      </c>
      <c r="Q15" s="285">
        <f t="shared" ref="Q15:Q85" si="1">P15/M15*100</f>
        <v>0</v>
      </c>
      <c r="R15" s="17">
        <f t="shared" ref="R15:R85" si="2">N15+P15</f>
        <v>684112860</v>
      </c>
      <c r="S15" s="285">
        <f t="shared" ref="S15:S85" si="3">R15/M15*100</f>
        <v>62.072537760008359</v>
      </c>
      <c r="T15" s="800">
        <f>T16</f>
        <v>8.3333333333333321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f>nov!R16</f>
        <v>684112860</v>
      </c>
      <c r="O16" s="111">
        <f t="shared" si="0"/>
        <v>62.072537760008359</v>
      </c>
      <c r="P16" s="9"/>
      <c r="Q16" s="286">
        <f t="shared" si="1"/>
        <v>0</v>
      </c>
      <c r="R16" s="19">
        <f t="shared" si="2"/>
        <v>684112860</v>
      </c>
      <c r="S16" s="286">
        <f t="shared" si="3"/>
        <v>62.072537760008359</v>
      </c>
      <c r="T16" s="801">
        <f>1/12*100</f>
        <v>8.3333333333333321</v>
      </c>
      <c r="U16" s="11"/>
      <c r="V16" s="11"/>
    </row>
    <row r="17" spans="1:22" ht="7.5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6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N19+N32+N35+N46+N54+N57+N59+N64+N68+N73+N42+N50+N71+N40</f>
        <v>192345991</v>
      </c>
      <c r="O18" s="6">
        <f t="shared" si="0"/>
        <v>31.627879187698234</v>
      </c>
      <c r="P18" s="5">
        <f>P19+P32+P35+P46+P52+P54+P57+P59+P64+P68+P73</f>
        <v>0</v>
      </c>
      <c r="Q18" s="285">
        <f t="shared" si="1"/>
        <v>0</v>
      </c>
      <c r="R18" s="17">
        <f t="shared" si="2"/>
        <v>192345991</v>
      </c>
      <c r="S18" s="285">
        <f t="shared" si="3"/>
        <v>31.627879187698234</v>
      </c>
      <c r="T18" s="800">
        <f>SUM(T20:T74)/41</f>
        <v>2.1486643437862947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50739400</v>
      </c>
      <c r="O19" s="6">
        <f t="shared" si="0"/>
        <v>20.654756186323247</v>
      </c>
      <c r="P19" s="5">
        <f>SUM(P20:P31)</f>
        <v>0</v>
      </c>
      <c r="Q19" s="285">
        <f t="shared" si="1"/>
        <v>0</v>
      </c>
      <c r="R19" s="17">
        <f>N19+P19</f>
        <v>50739400</v>
      </c>
      <c r="S19" s="285">
        <f t="shared" si="3"/>
        <v>20.654756186323247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f>nov!R20</f>
        <v>26894900</v>
      </c>
      <c r="O20" s="111">
        <f t="shared" si="0"/>
        <v>96.294638701315435</v>
      </c>
      <c r="P20" s="115"/>
      <c r="Q20" s="286">
        <f t="shared" si="1"/>
        <v>0</v>
      </c>
      <c r="R20" s="19">
        <f t="shared" si="2"/>
        <v>26894900</v>
      </c>
      <c r="S20" s="286">
        <f t="shared" si="3"/>
        <v>96.294638701315435</v>
      </c>
      <c r="T20" s="801">
        <v>0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f>nov!R21</f>
        <v>1698000</v>
      </c>
      <c r="O21" s="111">
        <f t="shared" si="0"/>
        <v>97.028571428571425</v>
      </c>
      <c r="P21" s="115"/>
      <c r="Q21" s="286">
        <f t="shared" si="1"/>
        <v>0</v>
      </c>
      <c r="R21" s="19">
        <f t="shared" si="2"/>
        <v>1698000</v>
      </c>
      <c r="S21" s="286">
        <f t="shared" si="3"/>
        <v>97.028571428571425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f>nov!R22</f>
        <v>1500000</v>
      </c>
      <c r="O22" s="111">
        <f t="shared" si="0"/>
        <v>71.428571428571431</v>
      </c>
      <c r="P22" s="115"/>
      <c r="Q22" s="286">
        <f t="shared" si="1"/>
        <v>0</v>
      </c>
      <c r="R22" s="19">
        <f t="shared" si="2"/>
        <v>1500000</v>
      </c>
      <c r="S22" s="286">
        <f t="shared" si="3"/>
        <v>71.428571428571431</v>
      </c>
      <c r="T22" s="801">
        <f>S22</f>
        <v>71.428571428571431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>
        <f>nov!R23</f>
        <v>8000000</v>
      </c>
      <c r="O23" s="111">
        <f t="shared" si="0"/>
        <v>98.461538461538467</v>
      </c>
      <c r="P23" s="115"/>
      <c r="Q23" s="286">
        <f t="shared" si="1"/>
        <v>0</v>
      </c>
      <c r="R23" s="19">
        <f t="shared" si="2"/>
        <v>8000000</v>
      </c>
      <c r="S23" s="286">
        <f t="shared" si="3"/>
        <v>98.461538461538467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>
        <f>nov!R24</f>
        <v>0</v>
      </c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>
        <f>nov!R25</f>
        <v>175000</v>
      </c>
      <c r="O25" s="111">
        <f t="shared" si="0"/>
        <v>17.5</v>
      </c>
      <c r="P25" s="115"/>
      <c r="Q25" s="286">
        <f t="shared" si="1"/>
        <v>0</v>
      </c>
      <c r="R25" s="19">
        <f t="shared" si="2"/>
        <v>175000</v>
      </c>
      <c r="S25" s="286">
        <f t="shared" si="3"/>
        <v>17.5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f>nov!R26</f>
        <v>4795750</v>
      </c>
      <c r="O26" s="111">
        <f t="shared" si="0"/>
        <v>26.791899441340782</v>
      </c>
      <c r="P26" s="115"/>
      <c r="Q26" s="286">
        <f t="shared" si="1"/>
        <v>0</v>
      </c>
      <c r="R26" s="19">
        <f t="shared" si="2"/>
        <v>4795750</v>
      </c>
      <c r="S26" s="286">
        <f t="shared" si="3"/>
        <v>26.791899441340782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>
        <f>nov!R27</f>
        <v>0</v>
      </c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>
        <f>nov!R28</f>
        <v>2205750</v>
      </c>
      <c r="O28" s="111">
        <f t="shared" si="0"/>
        <v>34.46484375</v>
      </c>
      <c r="P28" s="564"/>
      <c r="Q28" s="286">
        <f t="shared" si="1"/>
        <v>0</v>
      </c>
      <c r="R28" s="19">
        <f t="shared" si="2"/>
        <v>2205750</v>
      </c>
      <c r="S28" s="286">
        <f t="shared" si="3"/>
        <v>34.46484375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>
        <f>nov!R29</f>
        <v>400000</v>
      </c>
      <c r="O29" s="111">
        <f t="shared" si="0"/>
        <v>100</v>
      </c>
      <c r="P29" s="564"/>
      <c r="Q29" s="286">
        <f t="shared" si="1"/>
        <v>0</v>
      </c>
      <c r="R29" s="19">
        <f t="shared" si="2"/>
        <v>400000</v>
      </c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>
        <f>nov!R30</f>
        <v>0</v>
      </c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>
        <f>nov!R31</f>
        <v>5070000</v>
      </c>
      <c r="O31" s="111">
        <f t="shared" si="0"/>
        <v>58.95348837209302</v>
      </c>
      <c r="P31" s="115"/>
      <c r="Q31" s="286">
        <f t="shared" si="1"/>
        <v>0</v>
      </c>
      <c r="R31" s="19">
        <f t="shared" si="2"/>
        <v>5070000</v>
      </c>
      <c r="S31" s="286">
        <f t="shared" si="3"/>
        <v>58.95348837209302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SUM(N33:N34)</f>
        <v>7112000</v>
      </c>
      <c r="O32" s="6">
        <f t="shared" si="0"/>
        <v>11.705069124423963</v>
      </c>
      <c r="P32" s="5">
        <f>SUM(P34:P34)</f>
        <v>0</v>
      </c>
      <c r="Q32" s="285">
        <f t="shared" si="1"/>
        <v>0</v>
      </c>
      <c r="R32" s="17">
        <f t="shared" si="2"/>
        <v>7112000</v>
      </c>
      <c r="S32" s="285">
        <f t="shared" si="3"/>
        <v>11.705069124423963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9">
        <f>nov!R33</f>
        <v>0</v>
      </c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f>nov!R34</f>
        <v>7112000</v>
      </c>
      <c r="O34" s="111">
        <f t="shared" si="0"/>
        <v>48.184281842818429</v>
      </c>
      <c r="P34" s="564">
        <v>0</v>
      </c>
      <c r="Q34" s="286">
        <f t="shared" si="1"/>
        <v>0</v>
      </c>
      <c r="R34" s="19">
        <f t="shared" si="2"/>
        <v>7112000</v>
      </c>
      <c r="S34" s="286">
        <f t="shared" si="3"/>
        <v>48.184281842818429</v>
      </c>
      <c r="T34" s="801">
        <f>1/12*100</f>
        <v>8.3333333333333321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1740800</v>
      </c>
      <c r="O35" s="6">
        <f t="shared" si="0"/>
        <v>4.6846071044133479</v>
      </c>
      <c r="P35" s="5">
        <f>SUM(P36:P39)</f>
        <v>0</v>
      </c>
      <c r="Q35" s="285">
        <f t="shared" si="1"/>
        <v>0</v>
      </c>
      <c r="R35" s="17">
        <f t="shared" si="2"/>
        <v>1740800</v>
      </c>
      <c r="S35" s="285">
        <f t="shared" si="3"/>
        <v>4.6846071044133479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f>nov!R36</f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f>nov!R37</f>
        <v>120800</v>
      </c>
      <c r="O37" s="111">
        <f t="shared" si="0"/>
        <v>21.571428571428573</v>
      </c>
      <c r="P37" s="115"/>
      <c r="Q37" s="286">
        <f t="shared" si="1"/>
        <v>0</v>
      </c>
      <c r="R37" s="19">
        <f t="shared" si="2"/>
        <v>120800</v>
      </c>
      <c r="S37" s="286">
        <f t="shared" si="3"/>
        <v>21.571428571428573</v>
      </c>
      <c r="T37" s="801">
        <v>0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f>nov!R38</f>
        <v>1620000</v>
      </c>
      <c r="O38" s="111">
        <f t="shared" si="0"/>
        <v>16.2</v>
      </c>
      <c r="P38" s="115"/>
      <c r="Q38" s="286">
        <f t="shared" si="1"/>
        <v>0</v>
      </c>
      <c r="R38" s="19">
        <f t="shared" si="2"/>
        <v>1620000</v>
      </c>
      <c r="S38" s="286">
        <f t="shared" si="3"/>
        <v>16.2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f>nov!R39</f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</f>
        <v>0</v>
      </c>
      <c r="O40" s="6">
        <f t="shared" si="0"/>
        <v>0</v>
      </c>
      <c r="P40" s="5">
        <f>SUM(P41)</f>
        <v>0</v>
      </c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>
        <f>nov!R41</f>
        <v>0</v>
      </c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1457075</v>
      </c>
      <c r="O42" s="6">
        <f t="shared" si="0"/>
        <v>12.781359649122805</v>
      </c>
      <c r="P42" s="5">
        <f>P43+P44+P45</f>
        <v>0</v>
      </c>
      <c r="Q42" s="285">
        <f t="shared" si="1"/>
        <v>0</v>
      </c>
      <c r="R42" s="17">
        <f t="shared" si="2"/>
        <v>1457075</v>
      </c>
      <c r="S42" s="285">
        <f t="shared" si="3"/>
        <v>12.781359649122805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>
        <f>nov!R43</f>
        <v>933200</v>
      </c>
      <c r="O43" s="111">
        <f t="shared" si="0"/>
        <v>33.328571428571429</v>
      </c>
      <c r="P43" s="115"/>
      <c r="Q43" s="286">
        <f t="shared" si="1"/>
        <v>0</v>
      </c>
      <c r="R43" s="19">
        <f t="shared" si="2"/>
        <v>933200</v>
      </c>
      <c r="S43" s="286">
        <f t="shared" si="3"/>
        <v>33.328571428571429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f>nov!R44</f>
        <v>409875</v>
      </c>
      <c r="O44" s="111">
        <f t="shared" si="0"/>
        <v>6.0275735294117645</v>
      </c>
      <c r="P44" s="116"/>
      <c r="Q44" s="286">
        <f t="shared" si="1"/>
        <v>0</v>
      </c>
      <c r="R44" s="19">
        <f t="shared" si="2"/>
        <v>409875</v>
      </c>
      <c r="S44" s="286">
        <f t="shared" si="3"/>
        <v>6.0275735294117645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f>nov!R45</f>
        <v>114000</v>
      </c>
      <c r="O45" s="111">
        <f t="shared" si="0"/>
        <v>6.3333333333333339</v>
      </c>
      <c r="P45" s="116"/>
      <c r="Q45" s="286">
        <f t="shared" si="1"/>
        <v>0</v>
      </c>
      <c r="R45" s="19">
        <f t="shared" si="2"/>
        <v>114000</v>
      </c>
      <c r="S45" s="286">
        <f t="shared" si="3"/>
        <v>6.3333333333333339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68850000</v>
      </c>
      <c r="O46" s="6">
        <f t="shared" si="0"/>
        <v>91.034701608478059</v>
      </c>
      <c r="P46" s="5">
        <f>P47+P48+P49</f>
        <v>0</v>
      </c>
      <c r="Q46" s="285">
        <f t="shared" si="1"/>
        <v>0</v>
      </c>
      <c r="R46" s="17">
        <f t="shared" si="2"/>
        <v>68850000</v>
      </c>
      <c r="S46" s="285">
        <f t="shared" si="3"/>
        <v>91.034701608478059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>
        <f>nov!R47</f>
        <v>63500000</v>
      </c>
      <c r="O47" s="111">
        <f t="shared" si="0"/>
        <v>96.606598154585768</v>
      </c>
      <c r="P47" s="115"/>
      <c r="Q47" s="286">
        <f t="shared" si="1"/>
        <v>0</v>
      </c>
      <c r="R47" s="19">
        <f t="shared" si="2"/>
        <v>63500000</v>
      </c>
      <c r="S47" s="286">
        <f t="shared" si="3"/>
        <v>96.606598154585768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f>nov!R48</f>
        <v>4720000</v>
      </c>
      <c r="O48" s="111">
        <f t="shared" si="0"/>
        <v>56.19047619047619</v>
      </c>
      <c r="P48" s="116"/>
      <c r="Q48" s="286">
        <f t="shared" si="1"/>
        <v>0</v>
      </c>
      <c r="R48" s="19">
        <f t="shared" si="2"/>
        <v>4720000</v>
      </c>
      <c r="S48" s="286">
        <f t="shared" si="3"/>
        <v>56.19047619047619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f>nov!R49</f>
        <v>630000</v>
      </c>
      <c r="O49" s="111">
        <f t="shared" si="0"/>
        <v>42</v>
      </c>
      <c r="P49" s="116"/>
      <c r="Q49" s="286">
        <f t="shared" si="1"/>
        <v>0</v>
      </c>
      <c r="R49" s="19">
        <f t="shared" si="2"/>
        <v>630000</v>
      </c>
      <c r="S49" s="286">
        <f t="shared" si="3"/>
        <v>42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7250000</v>
      </c>
      <c r="O50" s="6">
        <f t="shared" si="0"/>
        <v>27.831094049904031</v>
      </c>
      <c r="P50" s="114">
        <f>P51</f>
        <v>0</v>
      </c>
      <c r="Q50" s="285">
        <f t="shared" si="1"/>
        <v>0</v>
      </c>
      <c r="R50" s="17">
        <f t="shared" si="2"/>
        <v>7250000</v>
      </c>
      <c r="S50" s="285">
        <f t="shared" si="3"/>
        <v>27.831094049904031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f>nov!R51</f>
        <v>7250000</v>
      </c>
      <c r="O51" s="111">
        <f t="shared" si="0"/>
        <v>27.831094049904031</v>
      </c>
      <c r="P51" s="113"/>
      <c r="Q51" s="286">
        <f t="shared" si="1"/>
        <v>0</v>
      </c>
      <c r="R51" s="19">
        <f t="shared" si="2"/>
        <v>7250000</v>
      </c>
      <c r="S51" s="286">
        <f t="shared" si="3"/>
        <v>27.831094049904031</v>
      </c>
      <c r="T51" s="802">
        <v>0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f>nov!R53</f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6196716</v>
      </c>
      <c r="O54" s="6">
        <f t="shared" si="0"/>
        <v>29.510981998285551</v>
      </c>
      <c r="P54" s="17">
        <f>P55+P56</f>
        <v>0</v>
      </c>
      <c r="Q54" s="285">
        <f t="shared" si="1"/>
        <v>0</v>
      </c>
      <c r="R54" s="17">
        <f t="shared" si="2"/>
        <v>6196716</v>
      </c>
      <c r="S54" s="285">
        <f t="shared" si="3"/>
        <v>29.510981998285551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f>nov!R55</f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f>nov!R56</f>
        <v>6196716</v>
      </c>
      <c r="O56" s="111">
        <f t="shared" si="0"/>
        <v>37.56040732209965</v>
      </c>
      <c r="P56" s="19"/>
      <c r="Q56" s="286">
        <f t="shared" si="1"/>
        <v>0</v>
      </c>
      <c r="R56" s="19">
        <f t="shared" si="2"/>
        <v>6196716</v>
      </c>
      <c r="S56" s="286">
        <f t="shared" si="3"/>
        <v>37.56040732209965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10000000</v>
      </c>
      <c r="O57" s="6">
        <f t="shared" si="0"/>
        <v>35.714285714285715</v>
      </c>
      <c r="P57" s="17">
        <f>P58</f>
        <v>0</v>
      </c>
      <c r="Q57" s="285">
        <f t="shared" si="1"/>
        <v>0</v>
      </c>
      <c r="R57" s="17">
        <f t="shared" si="2"/>
        <v>10000000</v>
      </c>
      <c r="S57" s="285">
        <f t="shared" si="3"/>
        <v>35.714285714285715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f>nov!R58</f>
        <v>10000000</v>
      </c>
      <c r="O58" s="111">
        <f t="shared" si="0"/>
        <v>35.714285714285715</v>
      </c>
      <c r="P58" s="19"/>
      <c r="Q58" s="286">
        <f t="shared" si="1"/>
        <v>0</v>
      </c>
      <c r="R58" s="19">
        <f t="shared" si="2"/>
        <v>10000000</v>
      </c>
      <c r="S58" s="286">
        <f t="shared" si="3"/>
        <v>35.714285714285715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367</v>
      </c>
      <c r="L59" s="12"/>
      <c r="M59" s="17">
        <f>SUM(M60:M63)</f>
        <v>33500000</v>
      </c>
      <c r="N59" s="17">
        <f>SUM(N60:N63)</f>
        <v>15450000</v>
      </c>
      <c r="O59" s="6">
        <f t="shared" si="0"/>
        <v>46.119402985074629</v>
      </c>
      <c r="P59" s="17">
        <f>SUM(P60:P63)</f>
        <v>0</v>
      </c>
      <c r="Q59" s="285">
        <f t="shared" si="1"/>
        <v>0</v>
      </c>
      <c r="R59" s="17">
        <f t="shared" si="2"/>
        <v>15450000</v>
      </c>
      <c r="S59" s="285">
        <f t="shared" si="3"/>
        <v>46.119402985074629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f>nov!R60</f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>
        <f>nov!R61</f>
        <v>10450000</v>
      </c>
      <c r="O61" s="111">
        <f t="shared" si="0"/>
        <v>99.523809523809518</v>
      </c>
      <c r="P61" s="19"/>
      <c r="Q61" s="286">
        <f t="shared" si="1"/>
        <v>0</v>
      </c>
      <c r="R61" s="19">
        <f t="shared" si="2"/>
        <v>10450000</v>
      </c>
      <c r="S61" s="286">
        <f t="shared" si="3"/>
        <v>99.523809523809518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>
        <f>nov!R62</f>
        <v>0</v>
      </c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f>nov!R63</f>
        <v>5000000</v>
      </c>
      <c r="O63" s="111">
        <f t="shared" si="0"/>
        <v>45.454545454545453</v>
      </c>
      <c r="P63" s="19"/>
      <c r="Q63" s="286">
        <f t="shared" si="1"/>
        <v>0</v>
      </c>
      <c r="R63" s="19">
        <f t="shared" si="2"/>
        <v>5000000</v>
      </c>
      <c r="S63" s="286">
        <f t="shared" si="3"/>
        <v>45.454545454545453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SUM(N65:N67)</f>
        <v>6300000</v>
      </c>
      <c r="O64" s="6">
        <f t="shared" si="0"/>
        <v>66.315789473684205</v>
      </c>
      <c r="P64" s="17">
        <f>P67</f>
        <v>0</v>
      </c>
      <c r="Q64" s="285">
        <f t="shared" si="1"/>
        <v>0</v>
      </c>
      <c r="R64" s="17">
        <f t="shared" si="2"/>
        <v>6300000</v>
      </c>
      <c r="S64" s="285">
        <f t="shared" si="3"/>
        <v>66.315789473684205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>
        <f>nov!R65</f>
        <v>1300000</v>
      </c>
      <c r="O65" s="111">
        <f t="shared" si="0"/>
        <v>43.333333333333336</v>
      </c>
      <c r="P65" s="19"/>
      <c r="Q65" s="286">
        <f t="shared" si="1"/>
        <v>0</v>
      </c>
      <c r="R65" s="19">
        <f t="shared" si="2"/>
        <v>1300000</v>
      </c>
      <c r="S65" s="286">
        <f t="shared" si="3"/>
        <v>43.333333333333336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>
        <f>nov!R66</f>
        <v>5000000</v>
      </c>
      <c r="O66" s="111">
        <f t="shared" si="0"/>
        <v>100</v>
      </c>
      <c r="P66" s="19"/>
      <c r="Q66" s="286">
        <f t="shared" si="1"/>
        <v>0</v>
      </c>
      <c r="R66" s="19">
        <f t="shared" si="2"/>
        <v>5000000</v>
      </c>
      <c r="S66" s="286">
        <f t="shared" si="3"/>
        <v>100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>
        <f>nov!R67</f>
        <v>0</v>
      </c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10750000</v>
      </c>
      <c r="O68" s="6">
        <f t="shared" si="0"/>
        <v>31.617647058823529</v>
      </c>
      <c r="P68" s="17">
        <f>P69+P70</f>
        <v>0</v>
      </c>
      <c r="Q68" s="285">
        <f t="shared" si="1"/>
        <v>0</v>
      </c>
      <c r="R68" s="17">
        <f t="shared" si="2"/>
        <v>10750000</v>
      </c>
      <c r="S68" s="285">
        <f t="shared" si="3"/>
        <v>31.617647058823529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f>nov!R69</f>
        <v>750000</v>
      </c>
      <c r="O69" s="111">
        <f t="shared" si="0"/>
        <v>5.2083333333333339</v>
      </c>
      <c r="P69" s="19"/>
      <c r="Q69" s="286">
        <f t="shared" si="1"/>
        <v>0</v>
      </c>
      <c r="R69" s="19">
        <f t="shared" si="2"/>
        <v>750000</v>
      </c>
      <c r="S69" s="286">
        <f t="shared" si="3"/>
        <v>5.2083333333333339</v>
      </c>
      <c r="T69" s="801">
        <v>0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f>nov!R70</f>
        <v>10000000</v>
      </c>
      <c r="O70" s="111">
        <f t="shared" si="0"/>
        <v>51.020408163265309</v>
      </c>
      <c r="P70" s="19"/>
      <c r="Q70" s="286">
        <f t="shared" si="1"/>
        <v>0</v>
      </c>
      <c r="R70" s="19">
        <f t="shared" si="2"/>
        <v>10000000</v>
      </c>
      <c r="S70" s="286">
        <f t="shared" si="3"/>
        <v>51.020408163265309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6000000</v>
      </c>
      <c r="O71" s="6">
        <f t="shared" si="0"/>
        <v>50</v>
      </c>
      <c r="P71" s="17">
        <f>P72</f>
        <v>0</v>
      </c>
      <c r="Q71" s="285">
        <f t="shared" si="1"/>
        <v>0</v>
      </c>
      <c r="R71" s="17">
        <f t="shared" si="2"/>
        <v>6000000</v>
      </c>
      <c r="S71" s="285">
        <f t="shared" si="3"/>
        <v>50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f>nov!R72</f>
        <v>6000000</v>
      </c>
      <c r="O72" s="111">
        <f t="shared" si="0"/>
        <v>50</v>
      </c>
      <c r="P72" s="19"/>
      <c r="Q72" s="286">
        <f t="shared" si="1"/>
        <v>0</v>
      </c>
      <c r="R72" s="19">
        <f t="shared" si="2"/>
        <v>6000000</v>
      </c>
      <c r="S72" s="286">
        <f t="shared" si="3"/>
        <v>50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500000</v>
      </c>
      <c r="O73" s="6">
        <f t="shared" si="0"/>
        <v>100</v>
      </c>
      <c r="P73" s="17">
        <f>P74</f>
        <v>0</v>
      </c>
      <c r="Q73" s="285">
        <f t="shared" si="1"/>
        <v>0</v>
      </c>
      <c r="R73" s="17">
        <f t="shared" si="2"/>
        <v>500000</v>
      </c>
      <c r="S73" s="285">
        <f t="shared" si="3"/>
        <v>100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f>nov!R74</f>
        <v>500000</v>
      </c>
      <c r="O74" s="111">
        <f t="shared" si="0"/>
        <v>100</v>
      </c>
      <c r="P74" s="19"/>
      <c r="Q74" s="286">
        <f t="shared" si="1"/>
        <v>0</v>
      </c>
      <c r="R74" s="19">
        <f t="shared" si="2"/>
        <v>500000</v>
      </c>
      <c r="S74" s="286">
        <f t="shared" si="3"/>
        <v>100</v>
      </c>
      <c r="T74" s="801">
        <v>0</v>
      </c>
      <c r="U74" s="11"/>
      <c r="V74" s="11"/>
    </row>
    <row r="75" spans="1:22" ht="7.5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9">
        <f>nov!R75</f>
        <v>0</v>
      </c>
      <c r="O75" s="5"/>
      <c r="P75" s="5"/>
      <c r="Q75" s="286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34872500</v>
      </c>
      <c r="O76" s="6">
        <f t="shared" si="0"/>
        <v>27.547094096560375</v>
      </c>
      <c r="P76" s="17">
        <f>P77+P79+P82+P84+P86</f>
        <v>0</v>
      </c>
      <c r="Q76" s="285">
        <f t="shared" si="1"/>
        <v>0</v>
      </c>
      <c r="R76" s="17">
        <f t="shared" si="2"/>
        <v>34872500</v>
      </c>
      <c r="S76" s="285">
        <f t="shared" si="3"/>
        <v>27.547094096560375</v>
      </c>
      <c r="T76" s="800">
        <f>SUM(T78:T89)/8</f>
        <v>0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9985000</v>
      </c>
      <c r="O77" s="6">
        <f t="shared" si="0"/>
        <v>90.772727272727266</v>
      </c>
      <c r="P77" s="17">
        <f>P78</f>
        <v>0</v>
      </c>
      <c r="Q77" s="285">
        <f t="shared" si="1"/>
        <v>0</v>
      </c>
      <c r="R77" s="17">
        <f t="shared" si="2"/>
        <v>9985000</v>
      </c>
      <c r="S77" s="285">
        <f t="shared" si="3"/>
        <v>90.772727272727266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f>nov!R78</f>
        <v>9985000</v>
      </c>
      <c r="O78" s="111">
        <f t="shared" si="0"/>
        <v>90.772727272727266</v>
      </c>
      <c r="P78" s="19"/>
      <c r="Q78" s="286">
        <f t="shared" si="1"/>
        <v>0</v>
      </c>
      <c r="R78" s="19">
        <f t="shared" si="2"/>
        <v>9985000</v>
      </c>
      <c r="S78" s="286">
        <f t="shared" si="3"/>
        <v>90.772727272727266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15000000</v>
      </c>
      <c r="O79" s="6">
        <f t="shared" si="0"/>
        <v>73.170731707317074</v>
      </c>
      <c r="P79" s="17">
        <f>SUM(P80:P81)</f>
        <v>0</v>
      </c>
      <c r="Q79" s="285">
        <f t="shared" si="1"/>
        <v>0</v>
      </c>
      <c r="R79" s="17">
        <f t="shared" si="2"/>
        <v>15000000</v>
      </c>
      <c r="S79" s="285">
        <f t="shared" si="3"/>
        <v>73.170731707317074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f>nov!R80</f>
        <v>15000000</v>
      </c>
      <c r="O80" s="111">
        <f t="shared" si="0"/>
        <v>100</v>
      </c>
      <c r="P80" s="19"/>
      <c r="Q80" s="286">
        <f t="shared" si="1"/>
        <v>0</v>
      </c>
      <c r="R80" s="19">
        <f t="shared" si="2"/>
        <v>15000000</v>
      </c>
      <c r="S80" s="286">
        <f t="shared" si="3"/>
        <v>100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>
        <f>nov!R81</f>
        <v>0</v>
      </c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>
        <f>nov!R83</f>
        <v>0</v>
      </c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>
        <f>nov!R85</f>
        <v>0</v>
      </c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SUM(N87:N89)</f>
        <v>9887500</v>
      </c>
      <c r="O86" s="6">
        <f>N86/M86*100</f>
        <v>39.294272872148063</v>
      </c>
      <c r="P86" s="17">
        <f>SUM(P89:P90)</f>
        <v>0</v>
      </c>
      <c r="Q86" s="285">
        <f>P86/M86*100</f>
        <v>0</v>
      </c>
      <c r="R86" s="17">
        <f>N86+P86</f>
        <v>9887500</v>
      </c>
      <c r="S86" s="285">
        <f>R86/M86*100</f>
        <v>39.294272872148063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>
        <f>nov!R87</f>
        <v>7987500</v>
      </c>
      <c r="O87" s="111">
        <f t="shared" ref="O87:O88" si="4">N87/M87*100</f>
        <v>97.853651365357052</v>
      </c>
      <c r="P87" s="19"/>
      <c r="Q87" s="286">
        <f t="shared" ref="Q87:Q88" si="5">P87/M87*100</f>
        <v>0</v>
      </c>
      <c r="R87" s="19">
        <f t="shared" ref="R87:R88" si="6">N87+P87</f>
        <v>7987500</v>
      </c>
      <c r="S87" s="286">
        <f t="shared" ref="S87:S88" si="7">R87/M87*100</f>
        <v>97.853651365357052</v>
      </c>
      <c r="T87" s="803">
        <v>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>
        <f>nov!R88</f>
        <v>0</v>
      </c>
      <c r="O88" s="111">
        <f t="shared" si="4"/>
        <v>0</v>
      </c>
      <c r="P88" s="19"/>
      <c r="Q88" s="286">
        <f t="shared" si="5"/>
        <v>0</v>
      </c>
      <c r="R88" s="19">
        <f t="shared" si="6"/>
        <v>0</v>
      </c>
      <c r="S88" s="286">
        <f t="shared" si="7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>
        <f>nov!R89</f>
        <v>1900000</v>
      </c>
      <c r="O89" s="111">
        <f>N89/M89*100</f>
        <v>95</v>
      </c>
      <c r="P89" s="19"/>
      <c r="Q89" s="286">
        <f>P89/M89*100</f>
        <v>0</v>
      </c>
      <c r="R89" s="19">
        <f>N89+P89</f>
        <v>1900000</v>
      </c>
      <c r="S89" s="286">
        <f>R89/M89*100</f>
        <v>95</v>
      </c>
      <c r="T89" s="803">
        <v>0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683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21.7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21.7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</mergeCells>
  <pageMargins left="0.45" right="0.25" top="0.75" bottom="0.25" header="0.3" footer="0.3"/>
  <pageSetup paperSize="14" scale="65" orientation="landscape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"/>
  <sheetViews>
    <sheetView topLeftCell="A9" workbookViewId="0">
      <selection activeCell="K30" sqref="K30"/>
    </sheetView>
  </sheetViews>
  <sheetFormatPr defaultRowHeight="15.75"/>
  <cols>
    <col min="1" max="1" width="5.28515625" style="391" customWidth="1"/>
    <col min="2" max="2" width="12.42578125" style="391" customWidth="1"/>
    <col min="3" max="3" width="38" style="391" customWidth="1"/>
    <col min="4" max="4" width="17.28515625" style="391" bestFit="1" customWidth="1"/>
    <col min="5" max="5" width="14.5703125" style="391" bestFit="1" customWidth="1"/>
    <col min="6" max="6" width="14" style="391" bestFit="1" customWidth="1"/>
    <col min="7" max="7" width="11.5703125" style="391" bestFit="1" customWidth="1"/>
    <col min="8" max="8" width="11.5703125" style="391" customWidth="1"/>
    <col min="9" max="9" width="12.7109375" style="392" bestFit="1" customWidth="1"/>
    <col min="10" max="10" width="14.140625" style="391" customWidth="1"/>
    <col min="11" max="11" width="9.7109375" style="404" customWidth="1"/>
    <col min="12" max="16384" width="9.140625" style="391"/>
  </cols>
  <sheetData>
    <row r="1" spans="1:11" ht="18.75">
      <c r="A1" s="866" t="s">
        <v>375</v>
      </c>
      <c r="B1" s="866"/>
      <c r="C1" s="866"/>
      <c r="D1" s="866"/>
      <c r="E1" s="866"/>
      <c r="F1" s="866"/>
      <c r="G1" s="866"/>
      <c r="H1" s="866"/>
      <c r="I1" s="866"/>
      <c r="J1" s="866"/>
      <c r="K1" s="866"/>
    </row>
    <row r="3" spans="1:11" ht="30.75" customHeight="1">
      <c r="A3" s="394" t="s">
        <v>85</v>
      </c>
      <c r="B3" s="394" t="s">
        <v>379</v>
      </c>
      <c r="C3" s="394" t="s">
        <v>281</v>
      </c>
      <c r="D3" s="406" t="s">
        <v>378</v>
      </c>
      <c r="E3" s="394" t="s">
        <v>376</v>
      </c>
      <c r="F3" s="399"/>
      <c r="G3" s="394" t="s">
        <v>406</v>
      </c>
      <c r="H3" s="394" t="s">
        <v>407</v>
      </c>
      <c r="I3" s="393" t="s">
        <v>405</v>
      </c>
      <c r="J3" s="406" t="s">
        <v>377</v>
      </c>
      <c r="K3" s="394" t="s">
        <v>402</v>
      </c>
    </row>
    <row r="4" spans="1:11">
      <c r="A4" s="395">
        <v>1</v>
      </c>
      <c r="B4" s="395"/>
      <c r="C4" s="290" t="s">
        <v>513</v>
      </c>
      <c r="D4" s="390">
        <v>42855873</v>
      </c>
      <c r="E4" s="397">
        <f>D4/11</f>
        <v>3895988.4545454546</v>
      </c>
      <c r="F4" s="390">
        <f t="shared" ref="F4" si="0">D4-E4</f>
        <v>38959884.545454547</v>
      </c>
      <c r="G4" s="397">
        <f t="shared" ref="G4" si="1">0.015*F4</f>
        <v>584398.26818181819</v>
      </c>
      <c r="H4" s="397"/>
      <c r="I4" s="393">
        <f t="shared" ref="I4" si="2">E4+G4</f>
        <v>4480386.7227272727</v>
      </c>
      <c r="J4" s="398">
        <f t="shared" ref="J4" si="3">D4-E4-G4</f>
        <v>38375486.277272731</v>
      </c>
      <c r="K4" s="399" t="s">
        <v>519</v>
      </c>
    </row>
    <row r="5" spans="1:11">
      <c r="A5" s="395">
        <v>1</v>
      </c>
      <c r="B5" s="395"/>
      <c r="C5" s="290" t="s">
        <v>513</v>
      </c>
      <c r="D5" s="390">
        <v>5003477</v>
      </c>
      <c r="E5" s="397">
        <f>D5/11</f>
        <v>454861.54545454547</v>
      </c>
      <c r="F5" s="390">
        <f t="shared" ref="F5" si="4">D5-E5</f>
        <v>4548615.4545454541</v>
      </c>
      <c r="G5" s="397">
        <f t="shared" ref="G5" si="5">0.015*F5</f>
        <v>68229.231818181812</v>
      </c>
      <c r="H5" s="397"/>
      <c r="I5" s="393">
        <f t="shared" ref="I5" si="6">E5+G5</f>
        <v>523090.77727272728</v>
      </c>
      <c r="J5" s="398">
        <f t="shared" ref="J5" si="7">D5-E5-G5</f>
        <v>4480386.2227272727</v>
      </c>
      <c r="K5" s="399" t="s">
        <v>518</v>
      </c>
    </row>
    <row r="6" spans="1:11">
      <c r="A6" s="395">
        <v>2</v>
      </c>
      <c r="B6" s="395"/>
      <c r="C6" s="290" t="s">
        <v>514</v>
      </c>
      <c r="D6" s="390">
        <v>9341000</v>
      </c>
      <c r="E6" s="397">
        <f>D6/11</f>
        <v>849181.81818181823</v>
      </c>
      <c r="F6" s="390">
        <f t="shared" ref="F6:F12" si="8">D6-E6</f>
        <v>8491818.1818181816</v>
      </c>
      <c r="G6" s="397">
        <f t="shared" ref="G6:G13" si="9">0.015*F6</f>
        <v>127377.27272727272</v>
      </c>
      <c r="H6" s="397"/>
      <c r="I6" s="393">
        <f>E6+G6</f>
        <v>976559.09090909094</v>
      </c>
      <c r="J6" s="398">
        <f t="shared" ref="J6:J12" si="10">D6-E6-G6</f>
        <v>8364440.9090909092</v>
      </c>
      <c r="K6" s="399" t="s">
        <v>517</v>
      </c>
    </row>
    <row r="7" spans="1:11">
      <c r="A7" s="395">
        <v>3</v>
      </c>
      <c r="B7" s="395"/>
      <c r="C7" s="396" t="s">
        <v>505</v>
      </c>
      <c r="D7" s="390">
        <v>27175000</v>
      </c>
      <c r="E7" s="397">
        <f t="shared" ref="E7:E21" si="11">D7/11</f>
        <v>2470454.5454545454</v>
      </c>
      <c r="F7" s="390">
        <f t="shared" si="8"/>
        <v>24704545.454545453</v>
      </c>
      <c r="G7" s="397">
        <f>0.015*F7</f>
        <v>370568.18181818177</v>
      </c>
      <c r="H7" s="397"/>
      <c r="I7" s="393">
        <f t="shared" ref="I7:I12" si="12">E7+G7</f>
        <v>2841022.7272727271</v>
      </c>
      <c r="J7" s="398">
        <f t="shared" si="10"/>
        <v>24333977.27272727</v>
      </c>
      <c r="K7" s="399" t="s">
        <v>517</v>
      </c>
    </row>
    <row r="8" spans="1:11">
      <c r="A8" s="395">
        <v>4</v>
      </c>
      <c r="B8" s="395"/>
      <c r="C8" s="95" t="s">
        <v>506</v>
      </c>
      <c r="D8" s="390">
        <v>3000000</v>
      </c>
      <c r="E8" s="397">
        <f t="shared" si="11"/>
        <v>272727.27272727271</v>
      </c>
      <c r="F8" s="390">
        <f t="shared" si="8"/>
        <v>2727272.7272727275</v>
      </c>
      <c r="G8" s="397">
        <f t="shared" si="9"/>
        <v>40909.090909090912</v>
      </c>
      <c r="H8" s="397"/>
      <c r="I8" s="393">
        <f t="shared" si="12"/>
        <v>313636.36363636365</v>
      </c>
      <c r="J8" s="398">
        <f t="shared" si="10"/>
        <v>2686363.6363636367</v>
      </c>
      <c r="K8" s="399" t="s">
        <v>517</v>
      </c>
    </row>
    <row r="9" spans="1:11">
      <c r="A9" s="395">
        <v>5</v>
      </c>
      <c r="B9" s="395"/>
      <c r="C9" s="396" t="s">
        <v>507</v>
      </c>
      <c r="D9" s="390">
        <v>2250000</v>
      </c>
      <c r="E9" s="397">
        <f>D9/11</f>
        <v>204545.45454545456</v>
      </c>
      <c r="F9" s="390">
        <f t="shared" si="8"/>
        <v>2045454.5454545454</v>
      </c>
      <c r="G9" s="397">
        <f t="shared" si="9"/>
        <v>30681.81818181818</v>
      </c>
      <c r="H9" s="397"/>
      <c r="I9" s="393">
        <f t="shared" si="12"/>
        <v>235227.27272727274</v>
      </c>
      <c r="J9" s="398">
        <f t="shared" si="10"/>
        <v>2014772.7272727273</v>
      </c>
      <c r="K9" s="399" t="s">
        <v>522</v>
      </c>
    </row>
    <row r="10" spans="1:11">
      <c r="A10" s="395">
        <v>6</v>
      </c>
      <c r="B10" s="395"/>
      <c r="C10" s="396" t="s">
        <v>521</v>
      </c>
      <c r="D10" s="390">
        <v>3000000</v>
      </c>
      <c r="E10" s="397">
        <f>D10/11</f>
        <v>272727.27272727271</v>
      </c>
      <c r="F10" s="390">
        <f t="shared" si="8"/>
        <v>2727272.7272727275</v>
      </c>
      <c r="G10" s="397">
        <f t="shared" si="9"/>
        <v>40909.090909090912</v>
      </c>
      <c r="H10" s="397"/>
      <c r="I10" s="393">
        <f t="shared" si="12"/>
        <v>313636.36363636365</v>
      </c>
      <c r="J10" s="398">
        <f t="shared" si="10"/>
        <v>2686363.6363636367</v>
      </c>
      <c r="K10" s="399" t="s">
        <v>517</v>
      </c>
    </row>
    <row r="11" spans="1:11">
      <c r="A11" s="395">
        <v>7</v>
      </c>
      <c r="B11" s="395"/>
      <c r="C11" s="400" t="s">
        <v>508</v>
      </c>
      <c r="D11" s="390">
        <v>74530500</v>
      </c>
      <c r="E11" s="397">
        <f>D11/11</f>
        <v>6775500</v>
      </c>
      <c r="F11" s="390">
        <f t="shared" si="8"/>
        <v>67755000</v>
      </c>
      <c r="G11" s="397">
        <f t="shared" si="9"/>
        <v>1016325</v>
      </c>
      <c r="H11" s="397"/>
      <c r="I11" s="393">
        <f t="shared" si="12"/>
        <v>7791825</v>
      </c>
      <c r="J11" s="398">
        <f t="shared" si="10"/>
        <v>66738675</v>
      </c>
      <c r="K11" s="399" t="s">
        <v>517</v>
      </c>
    </row>
    <row r="12" spans="1:11">
      <c r="A12" s="395">
        <v>8</v>
      </c>
      <c r="B12" s="395"/>
      <c r="C12" s="400" t="s">
        <v>509</v>
      </c>
      <c r="D12" s="390">
        <v>2500000</v>
      </c>
      <c r="E12" s="397">
        <f>D12/11</f>
        <v>227272.72727272726</v>
      </c>
      <c r="F12" s="390">
        <f t="shared" si="8"/>
        <v>2272727.2727272729</v>
      </c>
      <c r="G12" s="397">
        <f t="shared" si="9"/>
        <v>34090.909090909096</v>
      </c>
      <c r="H12" s="397"/>
      <c r="I12" s="393">
        <f t="shared" si="12"/>
        <v>261363.63636363635</v>
      </c>
      <c r="J12" s="398">
        <f t="shared" si="10"/>
        <v>2238636.3636363638</v>
      </c>
      <c r="K12" s="399" t="s">
        <v>517</v>
      </c>
    </row>
    <row r="13" spans="1:11">
      <c r="A13" s="395">
        <v>9</v>
      </c>
      <c r="B13" s="395"/>
      <c r="C13" s="625" t="s">
        <v>510</v>
      </c>
      <c r="D13" s="390">
        <v>4000000</v>
      </c>
      <c r="E13" s="397">
        <f>D13/11</f>
        <v>363636.36363636365</v>
      </c>
      <c r="F13" s="390">
        <f t="shared" ref="F13:F23" si="13">D13-E13</f>
        <v>3636363.6363636362</v>
      </c>
      <c r="G13" s="397">
        <f t="shared" si="9"/>
        <v>54545.454545454544</v>
      </c>
      <c r="H13" s="397"/>
      <c r="I13" s="393">
        <f t="shared" ref="I13:I23" si="14">E13+G13</f>
        <v>418181.81818181818</v>
      </c>
      <c r="J13" s="398">
        <f t="shared" ref="J13:J23" si="15">D13-E13-G13</f>
        <v>3581818.1818181816</v>
      </c>
      <c r="K13" s="399" t="s">
        <v>517</v>
      </c>
    </row>
    <row r="14" spans="1:11">
      <c r="A14" s="395">
        <v>10</v>
      </c>
      <c r="B14" s="395"/>
      <c r="C14" s="396" t="s">
        <v>511</v>
      </c>
      <c r="D14" s="390">
        <v>599940</v>
      </c>
      <c r="E14" s="397">
        <f t="shared" ref="E14:E15" si="16">D14/11</f>
        <v>54540</v>
      </c>
      <c r="F14" s="390">
        <f t="shared" si="13"/>
        <v>545400</v>
      </c>
      <c r="G14" s="397">
        <f>0.015*F14</f>
        <v>8181</v>
      </c>
      <c r="H14" s="397">
        <f>0.02*F14</f>
        <v>10908</v>
      </c>
      <c r="I14" s="393">
        <f t="shared" si="14"/>
        <v>62721</v>
      </c>
      <c r="J14" s="398">
        <f t="shared" si="15"/>
        <v>537219</v>
      </c>
      <c r="K14" s="399" t="s">
        <v>516</v>
      </c>
    </row>
    <row r="15" spans="1:11">
      <c r="A15" s="395">
        <v>11</v>
      </c>
      <c r="B15" s="395"/>
      <c r="C15" s="396" t="s">
        <v>512</v>
      </c>
      <c r="D15" s="390">
        <v>950000</v>
      </c>
      <c r="E15" s="397">
        <f t="shared" si="16"/>
        <v>86363.636363636368</v>
      </c>
      <c r="F15" s="390">
        <f t="shared" si="13"/>
        <v>863636.36363636365</v>
      </c>
      <c r="G15" s="397">
        <f>0.015*F15</f>
        <v>12954.545454545454</v>
      </c>
      <c r="H15" s="397"/>
      <c r="I15" s="393">
        <f t="shared" si="14"/>
        <v>99318.181818181823</v>
      </c>
      <c r="J15" s="398">
        <f t="shared" si="15"/>
        <v>850681.81818181823</v>
      </c>
      <c r="K15" s="399" t="s">
        <v>516</v>
      </c>
    </row>
    <row r="16" spans="1:11">
      <c r="A16" s="395">
        <v>12</v>
      </c>
      <c r="B16" s="395"/>
      <c r="C16" s="396" t="s">
        <v>515</v>
      </c>
      <c r="D16" s="390">
        <v>4094200</v>
      </c>
      <c r="E16" s="397">
        <f>D16/11</f>
        <v>372200</v>
      </c>
      <c r="F16" s="390">
        <f t="shared" si="13"/>
        <v>3722000</v>
      </c>
      <c r="G16" s="397">
        <f t="shared" ref="G16" si="17">0.015*F16</f>
        <v>55830</v>
      </c>
      <c r="H16" s="397"/>
      <c r="I16" s="393">
        <f t="shared" ref="I16" si="18">E16+G16</f>
        <v>428030</v>
      </c>
      <c r="J16" s="398">
        <f t="shared" ref="J16" si="19">D16-E16-G16</f>
        <v>3666170</v>
      </c>
      <c r="K16" s="399" t="s">
        <v>517</v>
      </c>
    </row>
    <row r="17" spans="1:11">
      <c r="A17" s="395">
        <v>13</v>
      </c>
      <c r="B17" s="395"/>
      <c r="C17" s="396" t="s">
        <v>520</v>
      </c>
      <c r="D17" s="390">
        <v>5000000</v>
      </c>
      <c r="E17" s="397">
        <f t="shared" si="11"/>
        <v>454545.45454545453</v>
      </c>
      <c r="F17" s="390">
        <f t="shared" si="13"/>
        <v>4545454.5454545459</v>
      </c>
      <c r="G17" s="397"/>
      <c r="H17" s="397">
        <v>0</v>
      </c>
      <c r="I17" s="393">
        <f t="shared" si="14"/>
        <v>454545.45454545453</v>
      </c>
      <c r="J17" s="398">
        <f t="shared" si="15"/>
        <v>4545454.5454545459</v>
      </c>
      <c r="K17" s="399" t="s">
        <v>575</v>
      </c>
    </row>
    <row r="18" spans="1:11" s="733" customFormat="1">
      <c r="A18" s="728">
        <v>14</v>
      </c>
      <c r="B18" s="728" t="s">
        <v>574</v>
      </c>
      <c r="C18" s="729" t="s">
        <v>573</v>
      </c>
      <c r="D18" s="408">
        <v>5900000</v>
      </c>
      <c r="E18" s="730">
        <f t="shared" si="11"/>
        <v>536363.63636363635</v>
      </c>
      <c r="F18" s="408">
        <f t="shared" si="13"/>
        <v>5363636.3636363633</v>
      </c>
      <c r="G18" s="730"/>
      <c r="H18" s="730">
        <f>0.02*F18</f>
        <v>107272.72727272726</v>
      </c>
      <c r="I18" s="731">
        <f t="shared" si="14"/>
        <v>536363.63636363635</v>
      </c>
      <c r="J18" s="732">
        <f t="shared" si="15"/>
        <v>5363636.3636363633</v>
      </c>
      <c r="K18" s="728" t="s">
        <v>574</v>
      </c>
    </row>
    <row r="19" spans="1:11" ht="31.5">
      <c r="A19" s="395">
        <v>15</v>
      </c>
      <c r="B19" s="395"/>
      <c r="C19" s="396" t="s">
        <v>577</v>
      </c>
      <c r="D19" s="389">
        <v>1900000</v>
      </c>
      <c r="E19" s="397">
        <f>10/110*D19</f>
        <v>172727.27272727274</v>
      </c>
      <c r="F19" s="390">
        <f t="shared" si="13"/>
        <v>1727272.7272727273</v>
      </c>
      <c r="G19" s="397">
        <f>0.03*F19</f>
        <v>51818.181818181816</v>
      </c>
      <c r="H19" s="397"/>
      <c r="I19" s="393">
        <f t="shared" si="14"/>
        <v>224545.45454545456</v>
      </c>
      <c r="J19" s="398">
        <f t="shared" si="15"/>
        <v>1675454.5454545454</v>
      </c>
      <c r="K19" s="399" t="s">
        <v>578</v>
      </c>
    </row>
    <row r="20" spans="1:11">
      <c r="A20" s="395">
        <v>16</v>
      </c>
      <c r="B20" s="395"/>
      <c r="C20" s="396" t="s">
        <v>579</v>
      </c>
      <c r="D20" s="389">
        <v>1500000</v>
      </c>
      <c r="E20" s="397">
        <f t="shared" si="11"/>
        <v>136363.63636363635</v>
      </c>
      <c r="F20" s="390">
        <f t="shared" si="13"/>
        <v>1363636.3636363638</v>
      </c>
      <c r="G20" s="397">
        <f>0.015*F20</f>
        <v>20454.545454545456</v>
      </c>
      <c r="H20" s="397"/>
      <c r="I20" s="393">
        <f t="shared" si="14"/>
        <v>156818.18181818182</v>
      </c>
      <c r="J20" s="398">
        <f t="shared" si="15"/>
        <v>1343181.8181818184</v>
      </c>
      <c r="K20" s="399"/>
    </row>
    <row r="21" spans="1:11">
      <c r="A21" s="395">
        <v>17</v>
      </c>
      <c r="B21" s="395"/>
      <c r="C21" s="734" t="s">
        <v>543</v>
      </c>
      <c r="D21" s="389">
        <v>1500000</v>
      </c>
      <c r="E21" s="397">
        <f t="shared" si="11"/>
        <v>136363.63636363635</v>
      </c>
      <c r="F21" s="390">
        <f t="shared" si="13"/>
        <v>1363636.3636363638</v>
      </c>
      <c r="G21" s="397"/>
      <c r="H21" s="397"/>
      <c r="I21" s="393">
        <f t="shared" si="14"/>
        <v>136363.63636363635</v>
      </c>
      <c r="J21" s="398">
        <f t="shared" si="15"/>
        <v>1363636.3636363638</v>
      </c>
      <c r="K21" s="399" t="s">
        <v>576</v>
      </c>
    </row>
    <row r="22" spans="1:11">
      <c r="A22" s="395">
        <v>18</v>
      </c>
      <c r="B22" s="395"/>
      <c r="C22" s="400" t="s">
        <v>580</v>
      </c>
      <c r="D22" s="390">
        <v>6750000</v>
      </c>
      <c r="E22" s="397">
        <f>D22/11</f>
        <v>613636.36363636365</v>
      </c>
      <c r="F22" s="390">
        <f t="shared" si="13"/>
        <v>6136363.6363636367</v>
      </c>
      <c r="G22" s="397">
        <f>0.015*F22</f>
        <v>92045.454545454544</v>
      </c>
      <c r="H22" s="397"/>
      <c r="I22" s="393">
        <f t="shared" si="14"/>
        <v>705681.81818181823</v>
      </c>
      <c r="J22" s="398">
        <f t="shared" si="15"/>
        <v>6044318.1818181826</v>
      </c>
      <c r="K22" s="399" t="s">
        <v>355</v>
      </c>
    </row>
    <row r="23" spans="1:11">
      <c r="A23" s="395">
        <v>19</v>
      </c>
      <c r="B23" s="395"/>
      <c r="C23" s="400" t="s">
        <v>581</v>
      </c>
      <c r="D23" s="390">
        <v>3000000</v>
      </c>
      <c r="E23" s="397">
        <f>D23/11</f>
        <v>272727.27272727271</v>
      </c>
      <c r="F23" s="390">
        <f t="shared" si="13"/>
        <v>2727272.7272727275</v>
      </c>
      <c r="G23" s="397">
        <f>0.015*F23</f>
        <v>40909.090909090912</v>
      </c>
      <c r="H23" s="397"/>
      <c r="I23" s="393">
        <f t="shared" si="14"/>
        <v>313636.36363636365</v>
      </c>
      <c r="J23" s="398">
        <f t="shared" si="15"/>
        <v>2686363.6363636367</v>
      </c>
      <c r="K23" s="399" t="s">
        <v>355</v>
      </c>
    </row>
    <row r="24" spans="1:11">
      <c r="A24" s="395">
        <v>19</v>
      </c>
      <c r="B24" s="395"/>
      <c r="C24" s="400" t="s">
        <v>583</v>
      </c>
      <c r="D24" s="390">
        <v>6500000</v>
      </c>
      <c r="E24" s="397">
        <f>D24/11</f>
        <v>590909.09090909094</v>
      </c>
      <c r="F24" s="390">
        <f t="shared" ref="F24" si="20">D24-E24</f>
        <v>5909090.9090909092</v>
      </c>
      <c r="G24" s="397"/>
      <c r="H24" s="397">
        <f>0.02*F24</f>
        <v>118181.81818181819</v>
      </c>
      <c r="I24" s="393">
        <f t="shared" ref="I24" si="21">E24+G24</f>
        <v>590909.09090909094</v>
      </c>
      <c r="J24" s="398">
        <f t="shared" ref="J24" si="22">D24-E24-G24</f>
        <v>5909090.9090909092</v>
      </c>
      <c r="K24" s="399" t="s">
        <v>355</v>
      </c>
    </row>
    <row r="25" spans="1:11">
      <c r="A25" s="395">
        <v>19</v>
      </c>
      <c r="B25" s="395"/>
      <c r="C25" s="400" t="s">
        <v>582</v>
      </c>
      <c r="D25" s="390">
        <v>3000000</v>
      </c>
      <c r="E25" s="397">
        <f>D25/11</f>
        <v>272727.27272727271</v>
      </c>
      <c r="F25" s="390">
        <f t="shared" ref="F25" si="23">D25-E25</f>
        <v>2727272.7272727275</v>
      </c>
      <c r="G25" s="397"/>
      <c r="H25" s="397">
        <f>0.02*F25</f>
        <v>54545.454545454551</v>
      </c>
      <c r="I25" s="393">
        <f t="shared" ref="I25" si="24">E25+G25</f>
        <v>272727.27272727271</v>
      </c>
      <c r="J25" s="398">
        <f t="shared" ref="J25" si="25">D25-E25-G25</f>
        <v>2727272.7272727275</v>
      </c>
      <c r="K25" s="399" t="s">
        <v>355</v>
      </c>
    </row>
    <row r="26" spans="1:11" s="402" customFormat="1">
      <c r="A26" s="393"/>
      <c r="B26" s="393"/>
      <c r="C26" s="401"/>
      <c r="D26" s="397">
        <f t="shared" ref="D26:J26" si="26">SUM(D8:D25)</f>
        <v>129974640</v>
      </c>
      <c r="E26" s="397">
        <f t="shared" si="26"/>
        <v>11815876.363636367</v>
      </c>
      <c r="F26" s="397">
        <f t="shared" si="26"/>
        <v>118158763.63636364</v>
      </c>
      <c r="G26" s="397">
        <f t="shared" si="26"/>
        <v>1499654.1818181819</v>
      </c>
      <c r="H26" s="397">
        <f t="shared" si="26"/>
        <v>290908</v>
      </c>
      <c r="I26" s="397">
        <f t="shared" si="26"/>
        <v>13315530.545454549</v>
      </c>
      <c r="J26" s="397">
        <f t="shared" si="26"/>
        <v>116659109.45454545</v>
      </c>
      <c r="K26" s="394"/>
    </row>
    <row r="27" spans="1:11">
      <c r="C27" s="403"/>
      <c r="D27" s="404"/>
      <c r="E27" s="404"/>
      <c r="F27" s="404"/>
      <c r="G27" s="404"/>
      <c r="H27" s="404"/>
      <c r="J27" s="405"/>
    </row>
    <row r="28" spans="1:11">
      <c r="D28" s="404"/>
      <c r="E28" s="404"/>
      <c r="F28" s="404"/>
      <c r="G28" s="404"/>
      <c r="H28" s="404"/>
      <c r="J28" s="405"/>
    </row>
    <row r="29" spans="1:11">
      <c r="C29" s="403"/>
      <c r="D29" s="404"/>
      <c r="E29" s="404"/>
      <c r="F29" s="404"/>
      <c r="G29" s="404"/>
      <c r="H29" s="404"/>
      <c r="J29" s="405"/>
    </row>
    <row r="30" spans="1:11">
      <c r="C30" s="403"/>
      <c r="D30" s="404"/>
      <c r="E30" s="404"/>
      <c r="F30" s="404"/>
      <c r="G30" s="404"/>
      <c r="H30" s="404"/>
      <c r="J30" s="405"/>
    </row>
  </sheetData>
  <mergeCells count="1">
    <mergeCell ref="A1:K1"/>
  </mergeCells>
  <pageMargins left="0.45" right="0.45" top="0.25" bottom="0" header="0.3" footer="0.3"/>
  <pageSetup paperSize="14" scale="95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AQ67"/>
  <sheetViews>
    <sheetView topLeftCell="A49" workbookViewId="0">
      <selection activeCell="J39" sqref="J39"/>
    </sheetView>
  </sheetViews>
  <sheetFormatPr defaultRowHeight="15"/>
  <cols>
    <col min="5" max="5" width="2.42578125" bestFit="1" customWidth="1"/>
    <col min="6" max="6" width="26.85546875" bestFit="1" customWidth="1"/>
    <col min="7" max="7" width="5.140625" bestFit="1" customWidth="1"/>
    <col min="8" max="8" width="4.7109375" bestFit="1" customWidth="1"/>
    <col min="9" max="10" width="8.42578125" bestFit="1" customWidth="1"/>
    <col min="11" max="11" width="5.140625" bestFit="1" customWidth="1"/>
    <col min="12" max="12" width="4.7109375" bestFit="1" customWidth="1"/>
    <col min="13" max="13" width="10.28515625" customWidth="1"/>
    <col min="14" max="15" width="10.5703125" bestFit="1" customWidth="1"/>
    <col min="17" max="17" width="4" bestFit="1" customWidth="1"/>
    <col min="18" max="18" width="4.7109375" bestFit="1" customWidth="1"/>
    <col min="19" max="19" width="7.7109375" bestFit="1" customWidth="1"/>
    <col min="20" max="20" width="8.42578125" bestFit="1" customWidth="1"/>
    <col min="21" max="21" width="7.7109375" customWidth="1"/>
  </cols>
  <sheetData>
    <row r="2" spans="1:34" ht="17.25" customHeight="1"/>
    <row r="3" spans="1:34" s="635" customFormat="1" ht="13.5">
      <c r="A3" s="627"/>
      <c r="B3" s="627"/>
      <c r="C3" s="627"/>
      <c r="D3" s="627"/>
      <c r="E3" s="627" t="s">
        <v>18</v>
      </c>
      <c r="F3" s="628" t="s">
        <v>31</v>
      </c>
      <c r="G3" s="629"/>
      <c r="H3" s="629"/>
      <c r="I3" s="630"/>
      <c r="J3" s="631">
        <f>SUM(J4:J7)</f>
        <v>7938800</v>
      </c>
      <c r="K3" s="629"/>
      <c r="L3" s="629"/>
      <c r="M3" s="630"/>
      <c r="N3" s="631">
        <f>SUM(N4:N7)</f>
        <v>12033000</v>
      </c>
      <c r="O3" s="632">
        <f t="shared" ref="O3:O7" si="0">N3-J3</f>
        <v>4094200</v>
      </c>
      <c r="P3" s="632"/>
      <c r="Q3" s="629"/>
      <c r="R3" s="629"/>
      <c r="S3" s="630"/>
      <c r="T3" s="631">
        <f>SUM(T4:T7)</f>
        <v>4094200</v>
      </c>
      <c r="U3" s="632">
        <f>T3-P3</f>
        <v>4094200</v>
      </c>
      <c r="V3" s="634"/>
      <c r="W3" s="634"/>
      <c r="X3" s="634"/>
      <c r="Y3" s="634"/>
      <c r="Z3" s="634"/>
      <c r="AA3" s="634"/>
      <c r="AB3" s="634"/>
      <c r="AC3" s="634"/>
      <c r="AD3" s="634"/>
    </row>
    <row r="4" spans="1:34" s="645" customFormat="1" ht="13.5">
      <c r="A4" s="637"/>
      <c r="B4" s="637"/>
      <c r="C4" s="637"/>
      <c r="D4" s="637"/>
      <c r="E4" s="637"/>
      <c r="F4" s="641" t="s">
        <v>523</v>
      </c>
      <c r="G4" s="639">
        <v>40</v>
      </c>
      <c r="H4" s="639" t="s">
        <v>524</v>
      </c>
      <c r="I4" s="639">
        <v>35000</v>
      </c>
      <c r="J4" s="642">
        <f t="shared" ref="J4:J7" si="1">G4*I4</f>
        <v>1400000</v>
      </c>
      <c r="K4" s="644">
        <v>50</v>
      </c>
      <c r="L4" s="639" t="s">
        <v>524</v>
      </c>
      <c r="M4" s="639">
        <v>35000</v>
      </c>
      <c r="N4" s="642">
        <f t="shared" ref="N4:N7" si="2">K4*M4</f>
        <v>1750000</v>
      </c>
      <c r="O4" s="632">
        <f t="shared" si="0"/>
        <v>350000</v>
      </c>
      <c r="P4" s="632"/>
      <c r="Q4" s="644">
        <v>10</v>
      </c>
      <c r="R4" s="639" t="s">
        <v>524</v>
      </c>
      <c r="S4" s="639">
        <v>35000</v>
      </c>
      <c r="T4" s="642">
        <f t="shared" ref="T4:T7" si="3">Q4*S4</f>
        <v>350000</v>
      </c>
      <c r="U4" s="632">
        <f>T4-P4</f>
        <v>350000</v>
      </c>
      <c r="V4" s="634"/>
      <c r="W4" s="634"/>
      <c r="X4" s="634"/>
      <c r="Y4" s="634"/>
      <c r="Z4" s="634"/>
      <c r="AA4" s="634"/>
      <c r="AB4" s="634"/>
      <c r="AC4" s="635"/>
      <c r="AD4" s="635"/>
      <c r="AE4" s="636"/>
      <c r="AF4" s="636"/>
      <c r="AG4" s="636"/>
      <c r="AH4" s="636"/>
    </row>
    <row r="5" spans="1:34" s="649" customFormat="1" ht="13.5">
      <c r="A5" s="637"/>
      <c r="B5" s="637"/>
      <c r="C5" s="637"/>
      <c r="D5" s="637"/>
      <c r="E5" s="637"/>
      <c r="F5" s="646" t="s">
        <v>525</v>
      </c>
      <c r="G5" s="646">
        <v>28</v>
      </c>
      <c r="H5" s="647" t="s">
        <v>349</v>
      </c>
      <c r="I5" s="647">
        <v>25000</v>
      </c>
      <c r="J5" s="630">
        <f t="shared" si="1"/>
        <v>700000</v>
      </c>
      <c r="K5" s="648">
        <v>35</v>
      </c>
      <c r="L5" s="647" t="s">
        <v>349</v>
      </c>
      <c r="M5" s="647">
        <v>25000</v>
      </c>
      <c r="N5" s="630">
        <f t="shared" si="2"/>
        <v>875000</v>
      </c>
      <c r="O5" s="632">
        <f t="shared" si="0"/>
        <v>175000</v>
      </c>
      <c r="P5" s="632"/>
      <c r="Q5" s="644">
        <v>7</v>
      </c>
      <c r="R5" s="647" t="s">
        <v>349</v>
      </c>
      <c r="S5" s="647">
        <v>25000</v>
      </c>
      <c r="T5" s="630">
        <f t="shared" si="3"/>
        <v>175000</v>
      </c>
      <c r="U5" s="632">
        <f>T5-P5</f>
        <v>175000</v>
      </c>
      <c r="V5" s="636"/>
      <c r="W5" s="636"/>
      <c r="X5" s="636"/>
      <c r="Y5" s="636"/>
      <c r="Z5" s="636"/>
      <c r="AA5" s="636"/>
      <c r="AB5" s="636"/>
      <c r="AC5" s="636"/>
      <c r="AD5" s="636"/>
      <c r="AE5" s="635"/>
      <c r="AF5" s="635"/>
      <c r="AG5" s="635"/>
      <c r="AH5" s="635"/>
    </row>
    <row r="6" spans="1:34" s="657" customFormat="1" ht="13.5">
      <c r="A6" s="651"/>
      <c r="B6" s="651"/>
      <c r="C6" s="651"/>
      <c r="D6" s="651"/>
      <c r="E6" s="651"/>
      <c r="F6" s="652" t="s">
        <v>526</v>
      </c>
      <c r="G6" s="644">
        <v>100</v>
      </c>
      <c r="H6" s="644" t="s">
        <v>360</v>
      </c>
      <c r="I6" s="644">
        <v>53600</v>
      </c>
      <c r="J6" s="653">
        <f t="shared" si="1"/>
        <v>5360000</v>
      </c>
      <c r="K6" s="644">
        <v>150</v>
      </c>
      <c r="L6" s="644" t="s">
        <v>360</v>
      </c>
      <c r="M6" s="644">
        <v>53600</v>
      </c>
      <c r="N6" s="653">
        <f t="shared" si="2"/>
        <v>8040000</v>
      </c>
      <c r="O6" s="654">
        <f t="shared" si="0"/>
        <v>2680000</v>
      </c>
      <c r="P6" s="654"/>
      <c r="Q6" s="644">
        <v>50</v>
      </c>
      <c r="R6" s="644" t="s">
        <v>360</v>
      </c>
      <c r="S6" s="644">
        <v>53600</v>
      </c>
      <c r="T6" s="653">
        <f t="shared" si="3"/>
        <v>2680000</v>
      </c>
      <c r="U6" s="654">
        <f>T6-P6</f>
        <v>2680000</v>
      </c>
      <c r="V6" s="656"/>
      <c r="W6" s="656"/>
      <c r="X6" s="656"/>
      <c r="Y6" s="656"/>
      <c r="Z6" s="656"/>
      <c r="AA6" s="656"/>
      <c r="AB6" s="656"/>
      <c r="AC6" s="655"/>
      <c r="AD6" s="655"/>
    </row>
    <row r="7" spans="1:34" s="649" customFormat="1" ht="13.5">
      <c r="A7" s="637"/>
      <c r="B7" s="637"/>
      <c r="C7" s="637"/>
      <c r="D7" s="637"/>
      <c r="E7" s="637"/>
      <c r="F7" s="641" t="s">
        <v>527</v>
      </c>
      <c r="G7" s="639">
        <v>14</v>
      </c>
      <c r="H7" s="639" t="s">
        <v>524</v>
      </c>
      <c r="I7" s="639">
        <v>34200</v>
      </c>
      <c r="J7" s="642">
        <f t="shared" si="1"/>
        <v>478800</v>
      </c>
      <c r="K7" s="644">
        <v>40</v>
      </c>
      <c r="L7" s="639" t="s">
        <v>524</v>
      </c>
      <c r="M7" s="639">
        <v>34200</v>
      </c>
      <c r="N7" s="642">
        <f t="shared" si="2"/>
        <v>1368000</v>
      </c>
      <c r="O7" s="632">
        <f t="shared" si="0"/>
        <v>889200</v>
      </c>
      <c r="P7" s="632"/>
      <c r="Q7" s="644">
        <v>26</v>
      </c>
      <c r="R7" s="639" t="s">
        <v>524</v>
      </c>
      <c r="S7" s="639">
        <v>34200</v>
      </c>
      <c r="T7" s="642">
        <f t="shared" si="3"/>
        <v>889200</v>
      </c>
      <c r="U7" s="632">
        <f>T7-P7</f>
        <v>889200</v>
      </c>
      <c r="V7" s="634"/>
      <c r="W7" s="634"/>
      <c r="X7" s="634"/>
      <c r="Y7" s="634"/>
      <c r="Z7" s="634"/>
      <c r="AA7" s="634"/>
      <c r="AB7" s="634"/>
      <c r="AC7" s="635"/>
      <c r="AD7" s="635"/>
    </row>
    <row r="9" spans="1:34">
      <c r="N9" s="667">
        <f>SUM(N10:N14)</f>
        <v>1900000</v>
      </c>
    </row>
    <row r="10" spans="1:34" s="635" customFormat="1" ht="13.5">
      <c r="A10" s="637"/>
      <c r="B10" s="637"/>
      <c r="C10" s="637"/>
      <c r="D10" s="637"/>
      <c r="E10" s="637"/>
      <c r="F10" s="638" t="s">
        <v>528</v>
      </c>
      <c r="G10" s="639"/>
      <c r="H10" s="639"/>
      <c r="I10" s="639"/>
      <c r="J10" s="630">
        <f>G10*I10</f>
        <v>0</v>
      </c>
      <c r="K10" s="644">
        <v>1</v>
      </c>
      <c r="L10" s="644" t="s">
        <v>349</v>
      </c>
      <c r="M10" s="644">
        <v>400000</v>
      </c>
      <c r="N10" s="661">
        <f>K10*M10</f>
        <v>400000</v>
      </c>
      <c r="O10" s="632">
        <f>N10-J10</f>
        <v>400000</v>
      </c>
      <c r="P10" s="632"/>
      <c r="Q10" s="633">
        <f t="shared" ref="Q10:Q17" si="4">K10*M10</f>
        <v>400000</v>
      </c>
      <c r="T10" s="636"/>
      <c r="U10" s="636"/>
      <c r="V10" s="658"/>
      <c r="W10" s="636"/>
      <c r="X10" s="659"/>
      <c r="Y10" s="636"/>
    </row>
    <row r="11" spans="1:34" s="635" customFormat="1" ht="13.5">
      <c r="A11" s="637"/>
      <c r="B11" s="637"/>
      <c r="C11" s="637"/>
      <c r="D11" s="637"/>
      <c r="E11" s="637"/>
      <c r="F11" s="638" t="s">
        <v>529</v>
      </c>
      <c r="G11" s="639"/>
      <c r="H11" s="639"/>
      <c r="I11" s="639"/>
      <c r="J11" s="630">
        <f>G11*I11</f>
        <v>0</v>
      </c>
      <c r="K11" s="644">
        <v>2</v>
      </c>
      <c r="L11" s="644" t="s">
        <v>349</v>
      </c>
      <c r="M11" s="644">
        <v>500000</v>
      </c>
      <c r="N11" s="661">
        <f>K11*M11</f>
        <v>1000000</v>
      </c>
      <c r="O11" s="632">
        <f>N11-J11</f>
        <v>1000000</v>
      </c>
      <c r="P11" s="632"/>
      <c r="Q11" s="633">
        <f t="shared" si="4"/>
        <v>1000000</v>
      </c>
      <c r="T11" s="636"/>
      <c r="U11" s="640"/>
      <c r="V11" s="658"/>
      <c r="W11" s="636"/>
      <c r="X11" s="659"/>
      <c r="Y11" s="636"/>
    </row>
    <row r="12" spans="1:34" s="635" customFormat="1" ht="13.5">
      <c r="A12" s="637"/>
      <c r="B12" s="637"/>
      <c r="C12" s="637"/>
      <c r="D12" s="637"/>
      <c r="E12" s="637"/>
      <c r="F12" s="638" t="s">
        <v>530</v>
      </c>
      <c r="G12" s="639"/>
      <c r="H12" s="639"/>
      <c r="I12" s="639"/>
      <c r="J12" s="630">
        <f>G12*I12</f>
        <v>0</v>
      </c>
      <c r="K12" s="644">
        <v>2</v>
      </c>
      <c r="L12" s="644" t="s">
        <v>531</v>
      </c>
      <c r="M12" s="644">
        <v>100000</v>
      </c>
      <c r="N12" s="661">
        <f>K12*M12</f>
        <v>200000</v>
      </c>
      <c r="O12" s="632">
        <f t="shared" ref="O12:O17" si="5">N12-J12</f>
        <v>200000</v>
      </c>
      <c r="P12" s="632"/>
      <c r="Q12" s="633">
        <f t="shared" si="4"/>
        <v>200000</v>
      </c>
      <c r="T12" s="636"/>
      <c r="U12" s="640"/>
      <c r="V12" s="658"/>
      <c r="W12" s="636"/>
      <c r="X12" s="659"/>
      <c r="Y12" s="636"/>
    </row>
    <row r="13" spans="1:34" s="635" customFormat="1" ht="13.5">
      <c r="A13" s="637"/>
      <c r="B13" s="637"/>
      <c r="C13" s="637"/>
      <c r="D13" s="637"/>
      <c r="E13" s="637"/>
      <c r="F13" s="638" t="s">
        <v>532</v>
      </c>
      <c r="G13" s="639"/>
      <c r="H13" s="639"/>
      <c r="I13" s="639"/>
      <c r="J13" s="630">
        <f>G13*I13</f>
        <v>0</v>
      </c>
      <c r="K13" s="644">
        <v>1</v>
      </c>
      <c r="L13" s="644" t="s">
        <v>531</v>
      </c>
      <c r="M13" s="644">
        <v>100000</v>
      </c>
      <c r="N13" s="661">
        <f>K13*M13</f>
        <v>100000</v>
      </c>
      <c r="O13" s="632">
        <f t="shared" si="5"/>
        <v>100000</v>
      </c>
      <c r="P13" s="632"/>
      <c r="Q13" s="633">
        <f t="shared" si="4"/>
        <v>100000</v>
      </c>
      <c r="T13" s="636"/>
      <c r="U13" s="640"/>
      <c r="V13" s="658"/>
      <c r="W13" s="636"/>
      <c r="X13" s="659"/>
      <c r="Y13" s="636"/>
    </row>
    <row r="14" spans="1:34" s="636" customFormat="1" ht="13.5">
      <c r="A14" s="637"/>
      <c r="B14" s="637"/>
      <c r="C14" s="662"/>
      <c r="D14" s="663"/>
      <c r="E14" s="663"/>
      <c r="F14" s="637" t="s">
        <v>533</v>
      </c>
      <c r="G14" s="639"/>
      <c r="H14" s="664"/>
      <c r="I14" s="639"/>
      <c r="J14" s="630">
        <f t="shared" ref="J14:J16" si="6">G14*I14</f>
        <v>0</v>
      </c>
      <c r="K14" s="644">
        <v>2</v>
      </c>
      <c r="L14" s="665" t="s">
        <v>350</v>
      </c>
      <c r="M14" s="644">
        <v>100000</v>
      </c>
      <c r="N14" s="661">
        <f t="shared" ref="N14:N17" si="7">K14*M14</f>
        <v>200000</v>
      </c>
      <c r="O14" s="654">
        <f t="shared" si="5"/>
        <v>200000</v>
      </c>
      <c r="P14" s="632"/>
      <c r="Q14" s="633">
        <f t="shared" si="4"/>
        <v>200000</v>
      </c>
      <c r="V14" s="658"/>
      <c r="X14" s="659"/>
    </row>
    <row r="15" spans="1:34" s="636" customFormat="1" ht="13.5">
      <c r="A15" s="637"/>
      <c r="B15" s="637"/>
      <c r="C15" s="662"/>
      <c r="D15" s="663"/>
      <c r="E15" s="663"/>
      <c r="F15" s="637"/>
      <c r="G15" s="639"/>
      <c r="H15" s="664"/>
      <c r="I15" s="639"/>
      <c r="J15" s="630"/>
      <c r="K15" s="644"/>
      <c r="L15" s="665"/>
      <c r="M15" s="644"/>
      <c r="N15" s="679">
        <f>SUM(N16:N17)</f>
        <v>1600000</v>
      </c>
      <c r="O15" s="654"/>
      <c r="P15" s="632"/>
      <c r="Q15" s="633"/>
      <c r="V15" s="658"/>
      <c r="X15" s="659"/>
    </row>
    <row r="16" spans="1:34" s="636" customFormat="1" ht="13.5">
      <c r="A16" s="637"/>
      <c r="B16" s="637"/>
      <c r="C16" s="662"/>
      <c r="D16" s="663"/>
      <c r="E16" s="663"/>
      <c r="F16" s="637" t="s">
        <v>534</v>
      </c>
      <c r="G16" s="639"/>
      <c r="H16" s="664"/>
      <c r="I16" s="639"/>
      <c r="J16" s="630">
        <f t="shared" si="6"/>
        <v>0</v>
      </c>
      <c r="K16" s="644">
        <v>1</v>
      </c>
      <c r="L16" s="665" t="s">
        <v>350</v>
      </c>
      <c r="M16" s="644">
        <v>100000</v>
      </c>
      <c r="N16" s="661">
        <f t="shared" si="7"/>
        <v>100000</v>
      </c>
      <c r="O16" s="654">
        <f t="shared" si="5"/>
        <v>100000</v>
      </c>
      <c r="P16" s="632"/>
      <c r="Q16" s="633">
        <f t="shared" si="4"/>
        <v>100000</v>
      </c>
      <c r="V16" s="658"/>
      <c r="X16" s="659"/>
    </row>
    <row r="17" spans="1:25" s="636" customFormat="1" ht="13.5">
      <c r="A17" s="637"/>
      <c r="B17" s="637"/>
      <c r="C17" s="662"/>
      <c r="D17" s="663"/>
      <c r="E17" s="663"/>
      <c r="F17" s="637" t="s">
        <v>535</v>
      </c>
      <c r="G17" s="639"/>
      <c r="H17" s="664"/>
      <c r="I17" s="639"/>
      <c r="J17" s="630"/>
      <c r="K17" s="644">
        <v>2</v>
      </c>
      <c r="L17" s="665" t="s">
        <v>350</v>
      </c>
      <c r="M17" s="644">
        <v>750000</v>
      </c>
      <c r="N17" s="661">
        <f t="shared" si="7"/>
        <v>1500000</v>
      </c>
      <c r="O17" s="654">
        <f t="shared" si="5"/>
        <v>1500000</v>
      </c>
      <c r="P17" s="632"/>
      <c r="Q17" s="633">
        <f t="shared" si="4"/>
        <v>1500000</v>
      </c>
      <c r="V17" s="658"/>
      <c r="X17" s="659"/>
    </row>
    <row r="20" spans="1:25" s="636" customFormat="1" ht="13.5">
      <c r="A20" s="637"/>
      <c r="B20" s="637"/>
      <c r="C20" s="637"/>
      <c r="D20" s="637"/>
      <c r="E20" s="668">
        <v>14</v>
      </c>
      <c r="F20" s="669" t="s">
        <v>38</v>
      </c>
      <c r="G20" s="639"/>
      <c r="H20" s="639"/>
      <c r="I20" s="639"/>
      <c r="J20" s="631">
        <f>SUM(J21:J21)</f>
        <v>5250000</v>
      </c>
      <c r="K20" s="639"/>
      <c r="L20" s="639"/>
      <c r="M20" s="639"/>
      <c r="N20" s="631">
        <f>SUM(N21:N22)</f>
        <v>8750000</v>
      </c>
      <c r="O20" s="632">
        <f t="shared" ref="O20:O24" si="8">N20-J20</f>
        <v>3500000</v>
      </c>
      <c r="P20" s="632"/>
      <c r="Q20" s="633">
        <f t="shared" ref="Q20:Q24" si="9">K20*M20</f>
        <v>0</v>
      </c>
      <c r="R20" s="640"/>
      <c r="S20" s="640"/>
      <c r="V20" s="658"/>
      <c r="X20" s="659"/>
    </row>
    <row r="21" spans="1:25" s="635" customFormat="1" ht="13.5">
      <c r="A21" s="637"/>
      <c r="B21" s="637"/>
      <c r="C21" s="637"/>
      <c r="D21" s="637"/>
      <c r="E21" s="637"/>
      <c r="F21" s="638" t="s">
        <v>536</v>
      </c>
      <c r="G21" s="639">
        <v>35</v>
      </c>
      <c r="H21" s="639" t="s">
        <v>357</v>
      </c>
      <c r="I21" s="639">
        <v>150000</v>
      </c>
      <c r="J21" s="630">
        <f>G21*I21</f>
        <v>5250000</v>
      </c>
      <c r="K21" s="639">
        <v>35</v>
      </c>
      <c r="L21" s="639" t="s">
        <v>357</v>
      </c>
      <c r="M21" s="639">
        <v>150000</v>
      </c>
      <c r="N21" s="630">
        <f>K21*M21</f>
        <v>5250000</v>
      </c>
      <c r="O21" s="632">
        <f t="shared" si="8"/>
        <v>0</v>
      </c>
      <c r="P21" s="632"/>
      <c r="Q21" s="633">
        <f t="shared" si="9"/>
        <v>5250000</v>
      </c>
      <c r="R21" s="640"/>
      <c r="S21" s="640"/>
      <c r="T21" s="634"/>
      <c r="U21" s="634"/>
      <c r="V21" s="658"/>
      <c r="W21" s="636"/>
      <c r="X21" s="659"/>
      <c r="Y21" s="636"/>
    </row>
    <row r="22" spans="1:25" s="643" customFormat="1" ht="54">
      <c r="A22" s="627"/>
      <c r="B22" s="627"/>
      <c r="C22" s="627"/>
      <c r="D22" s="627"/>
      <c r="E22" s="668"/>
      <c r="F22" s="670" t="s">
        <v>537</v>
      </c>
      <c r="G22" s="629"/>
      <c r="H22" s="629"/>
      <c r="I22" s="671"/>
      <c r="J22" s="672"/>
      <c r="K22" s="644">
        <v>35</v>
      </c>
      <c r="L22" s="644" t="s">
        <v>357</v>
      </c>
      <c r="M22" s="644">
        <v>100000</v>
      </c>
      <c r="N22" s="661">
        <f>K22*M22</f>
        <v>3500000</v>
      </c>
      <c r="O22" s="632">
        <f t="shared" si="8"/>
        <v>3500000</v>
      </c>
      <c r="P22" s="632"/>
      <c r="Q22" s="633">
        <f t="shared" si="9"/>
        <v>3500000</v>
      </c>
      <c r="V22" s="658"/>
      <c r="X22" s="659"/>
    </row>
    <row r="23" spans="1:25" s="636" customFormat="1" ht="13.5">
      <c r="A23" s="637"/>
      <c r="B23" s="637"/>
      <c r="C23" s="637"/>
      <c r="D23" s="637"/>
      <c r="E23" s="673">
        <v>15</v>
      </c>
      <c r="F23" s="674" t="s">
        <v>39</v>
      </c>
      <c r="G23" s="639"/>
      <c r="H23" s="639"/>
      <c r="I23" s="639"/>
      <c r="J23" s="631">
        <f>SUM(J24:J24)</f>
        <v>0</v>
      </c>
      <c r="K23" s="639"/>
      <c r="L23" s="639"/>
      <c r="M23" s="639"/>
      <c r="N23" s="631">
        <f>SUM(N24:N24)</f>
        <v>5000000</v>
      </c>
      <c r="O23" s="632">
        <f t="shared" si="8"/>
        <v>5000000</v>
      </c>
      <c r="P23" s="632"/>
      <c r="Q23" s="633">
        <f t="shared" si="9"/>
        <v>0</v>
      </c>
      <c r="R23" s="640"/>
      <c r="S23" s="640"/>
      <c r="V23" s="658"/>
      <c r="X23" s="659"/>
    </row>
    <row r="24" spans="1:25" s="635" customFormat="1" ht="13.5">
      <c r="A24" s="637"/>
      <c r="B24" s="637"/>
      <c r="C24" s="637"/>
      <c r="D24" s="637"/>
      <c r="E24" s="651"/>
      <c r="F24" s="660" t="s">
        <v>538</v>
      </c>
      <c r="G24" s="639"/>
      <c r="H24" s="639"/>
      <c r="I24" s="639"/>
      <c r="J24" s="630">
        <f>G24*I24</f>
        <v>0</v>
      </c>
      <c r="K24" s="644">
        <v>100</v>
      </c>
      <c r="L24" s="644" t="s">
        <v>357</v>
      </c>
      <c r="M24" s="644">
        <v>50000</v>
      </c>
      <c r="N24" s="661">
        <f>K24*M24</f>
        <v>5000000</v>
      </c>
      <c r="O24" s="654">
        <f t="shared" si="8"/>
        <v>5000000</v>
      </c>
      <c r="P24" s="632"/>
      <c r="Q24" s="633">
        <f t="shared" si="9"/>
        <v>5000000</v>
      </c>
      <c r="R24" s="640"/>
      <c r="S24" s="640"/>
      <c r="T24" s="634"/>
      <c r="U24" s="634"/>
      <c r="V24" s="658"/>
      <c r="W24" s="636"/>
      <c r="X24" s="659"/>
      <c r="Y24" s="636"/>
    </row>
    <row r="26" spans="1:25" s="636" customFormat="1" ht="27">
      <c r="A26" s="637"/>
      <c r="B26" s="637"/>
      <c r="C26" s="637"/>
      <c r="D26" s="637"/>
      <c r="E26" s="668">
        <v>16</v>
      </c>
      <c r="F26" s="669" t="s">
        <v>539</v>
      </c>
      <c r="G26" s="629"/>
      <c r="H26" s="629"/>
      <c r="I26" s="629"/>
      <c r="J26" s="631">
        <f>SUM(J27:J29)</f>
        <v>23850000</v>
      </c>
      <c r="K26" s="629"/>
      <c r="L26" s="629"/>
      <c r="M26" s="629"/>
      <c r="N26" s="631">
        <f>SUM(N27:N30)</f>
        <v>25350000</v>
      </c>
      <c r="O26" s="632">
        <f t="shared" ref="O26:O30" si="10">N26-J26</f>
        <v>1500000</v>
      </c>
      <c r="P26" s="632"/>
      <c r="Q26" s="633">
        <f t="shared" ref="Q26:Q30" si="11">K26*M26</f>
        <v>0</v>
      </c>
      <c r="T26" s="640">
        <f>J31-R31</f>
        <v>0</v>
      </c>
      <c r="V26" s="658"/>
      <c r="X26" s="659"/>
    </row>
    <row r="27" spans="1:25" s="636" customFormat="1" ht="27">
      <c r="A27" s="637"/>
      <c r="B27" s="637"/>
      <c r="C27" s="637"/>
      <c r="D27" s="668"/>
      <c r="E27" s="668"/>
      <c r="F27" s="627" t="s">
        <v>540</v>
      </c>
      <c r="G27" s="629">
        <v>48</v>
      </c>
      <c r="H27" s="629" t="s">
        <v>349</v>
      </c>
      <c r="I27" s="629">
        <v>75000</v>
      </c>
      <c r="J27" s="630">
        <f t="shared" ref="J27:J30" si="12">G27*I27</f>
        <v>3600000</v>
      </c>
      <c r="K27" s="629">
        <v>48</v>
      </c>
      <c r="L27" s="629" t="s">
        <v>349</v>
      </c>
      <c r="M27" s="629">
        <v>75000</v>
      </c>
      <c r="N27" s="630">
        <f t="shared" ref="N27:N28" si="13">K27*M27</f>
        <v>3600000</v>
      </c>
      <c r="O27" s="632">
        <f t="shared" si="10"/>
        <v>0</v>
      </c>
      <c r="P27" s="632"/>
      <c r="Q27" s="633">
        <f t="shared" si="11"/>
        <v>3600000</v>
      </c>
      <c r="R27" s="643"/>
      <c r="S27" s="643"/>
      <c r="V27" s="658"/>
      <c r="X27" s="659"/>
    </row>
    <row r="28" spans="1:25" s="643" customFormat="1" ht="27">
      <c r="A28" s="637"/>
      <c r="B28" s="637"/>
      <c r="C28" s="637"/>
      <c r="D28" s="668"/>
      <c r="E28" s="668"/>
      <c r="F28" s="627" t="s">
        <v>541</v>
      </c>
      <c r="G28" s="629">
        <v>1</v>
      </c>
      <c r="H28" s="629" t="s">
        <v>349</v>
      </c>
      <c r="I28" s="629">
        <v>250000</v>
      </c>
      <c r="J28" s="630">
        <f t="shared" si="12"/>
        <v>250000</v>
      </c>
      <c r="K28" s="629">
        <v>1</v>
      </c>
      <c r="L28" s="629" t="s">
        <v>349</v>
      </c>
      <c r="M28" s="629">
        <v>250000</v>
      </c>
      <c r="N28" s="630">
        <f t="shared" si="13"/>
        <v>250000</v>
      </c>
      <c r="O28" s="632">
        <f t="shared" si="10"/>
        <v>0</v>
      </c>
      <c r="P28" s="632"/>
      <c r="Q28" s="633">
        <f t="shared" si="11"/>
        <v>250000</v>
      </c>
      <c r="T28" s="636"/>
      <c r="U28" s="636"/>
      <c r="V28" s="658"/>
      <c r="W28" s="636"/>
      <c r="X28" s="659"/>
      <c r="Y28" s="636"/>
    </row>
    <row r="29" spans="1:25" s="643" customFormat="1" ht="40.5">
      <c r="A29" s="637"/>
      <c r="B29" s="637"/>
      <c r="C29" s="637"/>
      <c r="D29" s="668"/>
      <c r="E29" s="668"/>
      <c r="F29" s="627" t="s">
        <v>542</v>
      </c>
      <c r="G29" s="629">
        <v>2500</v>
      </c>
      <c r="H29" s="629" t="s">
        <v>359</v>
      </c>
      <c r="I29" s="629">
        <v>8000</v>
      </c>
      <c r="J29" s="630">
        <f t="shared" si="12"/>
        <v>20000000</v>
      </c>
      <c r="K29" s="629">
        <v>2500</v>
      </c>
      <c r="L29" s="629" t="s">
        <v>359</v>
      </c>
      <c r="M29" s="629">
        <v>8000</v>
      </c>
      <c r="N29" s="630">
        <f>K29*M29</f>
        <v>20000000</v>
      </c>
      <c r="O29" s="632">
        <f t="shared" si="10"/>
        <v>0</v>
      </c>
      <c r="P29" s="632"/>
      <c r="Q29" s="633">
        <f t="shared" si="11"/>
        <v>20000000</v>
      </c>
      <c r="T29" s="636"/>
      <c r="U29" s="636"/>
      <c r="V29" s="658"/>
      <c r="W29" s="636"/>
      <c r="X29" s="659"/>
      <c r="Y29" s="636"/>
    </row>
    <row r="30" spans="1:25" s="643" customFormat="1" ht="13.5">
      <c r="A30" s="637"/>
      <c r="B30" s="637"/>
      <c r="C30" s="637"/>
      <c r="D30" s="668"/>
      <c r="E30" s="668"/>
      <c r="G30" s="629"/>
      <c r="H30" s="629"/>
      <c r="I30" s="629"/>
      <c r="J30" s="630">
        <f t="shared" si="12"/>
        <v>0</v>
      </c>
      <c r="K30" s="675">
        <v>10</v>
      </c>
      <c r="L30" s="675" t="s">
        <v>349</v>
      </c>
      <c r="M30" s="675">
        <v>150000</v>
      </c>
      <c r="N30" s="661">
        <f t="shared" ref="N30" si="14">K30*M30</f>
        <v>1500000</v>
      </c>
      <c r="O30" s="654">
        <f t="shared" si="10"/>
        <v>1500000</v>
      </c>
      <c r="P30" s="632"/>
      <c r="Q30" s="633">
        <f t="shared" si="11"/>
        <v>1500000</v>
      </c>
      <c r="V30" s="658"/>
      <c r="X30" s="659"/>
    </row>
    <row r="31" spans="1:25">
      <c r="N31" s="666">
        <f>N32+N33</f>
        <v>5900000</v>
      </c>
    </row>
    <row r="32" spans="1:25" s="650" customFormat="1" ht="13.5">
      <c r="A32" s="719"/>
      <c r="B32" s="719"/>
      <c r="C32" s="719"/>
      <c r="D32" s="720"/>
      <c r="E32" s="720"/>
      <c r="F32" s="721" t="s">
        <v>572</v>
      </c>
      <c r="G32" s="722">
        <v>15</v>
      </c>
      <c r="H32" s="722" t="s">
        <v>524</v>
      </c>
      <c r="I32" s="722">
        <v>75000</v>
      </c>
      <c r="J32" s="723">
        <f>G32*I32</f>
        <v>1125000</v>
      </c>
      <c r="K32" s="722">
        <v>20</v>
      </c>
      <c r="L32" s="722" t="s">
        <v>524</v>
      </c>
      <c r="M32" s="722">
        <v>200000</v>
      </c>
      <c r="N32" s="723">
        <f>K32*M32</f>
        <v>4000000</v>
      </c>
      <c r="O32" s="724">
        <f>N32-J32</f>
        <v>2875000</v>
      </c>
      <c r="P32" s="724"/>
      <c r="Q32" s="725">
        <f t="shared" ref="Q32:Q33" si="15">K32*M32</f>
        <v>4000000</v>
      </c>
      <c r="V32" s="726"/>
      <c r="X32" s="727"/>
    </row>
    <row r="33" spans="1:31" s="643" customFormat="1" ht="27">
      <c r="A33" s="637"/>
      <c r="B33" s="637"/>
      <c r="C33" s="637"/>
      <c r="D33" s="668"/>
      <c r="E33" s="668"/>
      <c r="F33" s="627" t="s">
        <v>544</v>
      </c>
      <c r="G33" s="629"/>
      <c r="H33" s="629"/>
      <c r="I33" s="629"/>
      <c r="J33" s="630">
        <f>G33*I33</f>
        <v>0</v>
      </c>
      <c r="K33" s="675">
        <v>1</v>
      </c>
      <c r="L33" s="675" t="s">
        <v>524</v>
      </c>
      <c r="M33" s="675">
        <v>1900000</v>
      </c>
      <c r="N33" s="661">
        <f>K33*M33</f>
        <v>1900000</v>
      </c>
      <c r="O33" s="654">
        <f>N33-J33</f>
        <v>1900000</v>
      </c>
      <c r="P33" s="632"/>
      <c r="Q33" s="633">
        <f t="shared" si="15"/>
        <v>1900000</v>
      </c>
      <c r="V33" s="658"/>
      <c r="X33" s="659"/>
    </row>
    <row r="34" spans="1:31" s="643" customFormat="1" ht="13.5">
      <c r="A34" s="637"/>
      <c r="B34" s="637"/>
      <c r="C34" s="637"/>
      <c r="D34" s="668"/>
      <c r="E34" s="668"/>
      <c r="F34" s="627" t="s">
        <v>545</v>
      </c>
      <c r="G34" s="629"/>
      <c r="H34" s="629"/>
      <c r="I34" s="629"/>
      <c r="J34" s="630">
        <f t="shared" ref="J34:J43" si="16">G34*I34</f>
        <v>0</v>
      </c>
      <c r="K34" s="629">
        <v>0</v>
      </c>
      <c r="L34" s="629" t="s">
        <v>524</v>
      </c>
      <c r="M34" s="629">
        <v>1500000</v>
      </c>
      <c r="N34" s="630">
        <f t="shared" ref="N34:N43" si="17">K34*M34</f>
        <v>0</v>
      </c>
      <c r="O34" s="632">
        <f t="shared" ref="O34:O43" si="18">N34-J34</f>
        <v>0</v>
      </c>
      <c r="P34" s="632"/>
      <c r="Q34" s="633">
        <f t="shared" ref="Q34:Q43" si="19">K34*M34</f>
        <v>0</v>
      </c>
      <c r="V34" s="658"/>
      <c r="X34" s="659"/>
    </row>
    <row r="35" spans="1:31" s="643" customFormat="1" ht="13.5">
      <c r="A35" s="637"/>
      <c r="B35" s="637"/>
      <c r="C35" s="637"/>
      <c r="D35" s="668"/>
      <c r="E35" s="668"/>
      <c r="F35" s="627" t="s">
        <v>546</v>
      </c>
      <c r="G35" s="629"/>
      <c r="H35" s="629"/>
      <c r="I35" s="629"/>
      <c r="J35" s="630">
        <f t="shared" si="16"/>
        <v>0</v>
      </c>
      <c r="K35" s="675">
        <v>35</v>
      </c>
      <c r="L35" s="675" t="s">
        <v>524</v>
      </c>
      <c r="M35" s="675">
        <v>25000</v>
      </c>
      <c r="N35" s="661">
        <f t="shared" si="17"/>
        <v>875000</v>
      </c>
      <c r="O35" s="654">
        <f t="shared" si="18"/>
        <v>875000</v>
      </c>
      <c r="P35" s="632"/>
      <c r="Q35" s="633">
        <f t="shared" si="19"/>
        <v>875000</v>
      </c>
      <c r="V35" s="658"/>
      <c r="X35" s="659"/>
    </row>
    <row r="36" spans="1:31" s="643" customFormat="1" ht="13.5">
      <c r="A36" s="637"/>
      <c r="B36" s="637"/>
      <c r="C36" s="637"/>
      <c r="D36" s="668"/>
      <c r="E36" s="668"/>
      <c r="F36" s="627" t="s">
        <v>547</v>
      </c>
      <c r="G36" s="629"/>
      <c r="H36" s="629"/>
      <c r="I36" s="629"/>
      <c r="J36" s="630">
        <f t="shared" si="16"/>
        <v>0</v>
      </c>
      <c r="K36" s="675">
        <v>1</v>
      </c>
      <c r="L36" s="675" t="s">
        <v>353</v>
      </c>
      <c r="M36" s="675">
        <v>300000</v>
      </c>
      <c r="N36" s="661">
        <f t="shared" si="17"/>
        <v>300000</v>
      </c>
      <c r="O36" s="654">
        <f t="shared" si="18"/>
        <v>300000</v>
      </c>
      <c r="P36" s="632"/>
      <c r="Q36" s="633">
        <f t="shared" si="19"/>
        <v>300000</v>
      </c>
      <c r="V36" s="658"/>
      <c r="X36" s="659"/>
    </row>
    <row r="37" spans="1:31" s="643" customFormat="1" ht="13.5">
      <c r="A37" s="637"/>
      <c r="B37" s="637"/>
      <c r="C37" s="637"/>
      <c r="D37" s="668"/>
      <c r="E37" s="668"/>
      <c r="F37" s="627" t="s">
        <v>548</v>
      </c>
      <c r="G37" s="629"/>
      <c r="H37" s="629"/>
      <c r="I37" s="629"/>
      <c r="J37" s="630">
        <f t="shared" si="16"/>
        <v>0</v>
      </c>
      <c r="K37" s="675">
        <v>10</v>
      </c>
      <c r="L37" s="675" t="s">
        <v>524</v>
      </c>
      <c r="M37" s="675">
        <v>250000</v>
      </c>
      <c r="N37" s="661">
        <f t="shared" si="17"/>
        <v>2500000</v>
      </c>
      <c r="O37" s="654">
        <f t="shared" si="18"/>
        <v>2500000</v>
      </c>
      <c r="P37" s="632"/>
      <c r="Q37" s="633">
        <f t="shared" si="19"/>
        <v>2500000</v>
      </c>
      <c r="V37" s="658"/>
      <c r="X37" s="659"/>
    </row>
    <row r="38" spans="1:31" s="643" customFormat="1" ht="13.5">
      <c r="A38" s="637"/>
      <c r="B38" s="637"/>
      <c r="C38" s="637"/>
      <c r="D38" s="668"/>
      <c r="E38" s="668"/>
      <c r="F38" s="627" t="s">
        <v>549</v>
      </c>
      <c r="G38" s="629"/>
      <c r="H38" s="629"/>
      <c r="I38" s="629"/>
      <c r="J38" s="630">
        <f t="shared" si="16"/>
        <v>0</v>
      </c>
      <c r="K38" s="675">
        <v>10</v>
      </c>
      <c r="L38" s="675" t="s">
        <v>524</v>
      </c>
      <c r="M38" s="675">
        <v>125000</v>
      </c>
      <c r="N38" s="661">
        <f t="shared" si="17"/>
        <v>1250000</v>
      </c>
      <c r="O38" s="654">
        <f t="shared" si="18"/>
        <v>1250000</v>
      </c>
      <c r="P38" s="632"/>
      <c r="Q38" s="633">
        <f t="shared" si="19"/>
        <v>1250000</v>
      </c>
      <c r="V38" s="658"/>
      <c r="X38" s="659"/>
    </row>
    <row r="39" spans="1:31" s="635" customFormat="1" ht="13.5">
      <c r="A39" s="637"/>
      <c r="B39" s="637"/>
      <c r="C39" s="637"/>
      <c r="D39" s="637"/>
      <c r="E39" s="637"/>
      <c r="F39" s="638" t="s">
        <v>550</v>
      </c>
      <c r="G39" s="639"/>
      <c r="H39" s="639"/>
      <c r="I39" s="630"/>
      <c r="J39" s="630">
        <f t="shared" si="16"/>
        <v>0</v>
      </c>
      <c r="K39" s="644">
        <v>4</v>
      </c>
      <c r="L39" s="644" t="s">
        <v>551</v>
      </c>
      <c r="M39" s="661">
        <v>150000</v>
      </c>
      <c r="N39" s="661">
        <f t="shared" si="17"/>
        <v>600000</v>
      </c>
      <c r="O39" s="654">
        <f t="shared" si="18"/>
        <v>600000</v>
      </c>
      <c r="P39" s="632"/>
      <c r="Q39" s="633">
        <f t="shared" si="19"/>
        <v>600000</v>
      </c>
      <c r="R39" s="640">
        <f>Q39-1200000</f>
        <v>-600000</v>
      </c>
      <c r="S39" s="640"/>
      <c r="T39" s="634"/>
      <c r="U39" s="634"/>
      <c r="V39" s="634"/>
      <c r="W39" s="634"/>
      <c r="X39" s="634"/>
      <c r="Y39" s="634"/>
      <c r="Z39" s="634"/>
      <c r="AA39" s="634"/>
      <c r="AB39" s="634"/>
      <c r="AC39" s="634"/>
      <c r="AD39" s="634"/>
      <c r="AE39" s="634"/>
    </row>
    <row r="40" spans="1:31" s="643" customFormat="1" ht="13.5">
      <c r="A40" s="637"/>
      <c r="B40" s="637"/>
      <c r="C40" s="637"/>
      <c r="D40" s="668"/>
      <c r="E40" s="668"/>
      <c r="F40" s="627" t="s">
        <v>552</v>
      </c>
      <c r="G40" s="629"/>
      <c r="H40" s="629"/>
      <c r="I40" s="629"/>
      <c r="J40" s="630">
        <f t="shared" si="16"/>
        <v>0</v>
      </c>
      <c r="K40" s="675">
        <v>5</v>
      </c>
      <c r="L40" s="675" t="s">
        <v>524</v>
      </c>
      <c r="M40" s="675">
        <v>450000</v>
      </c>
      <c r="N40" s="661">
        <f t="shared" si="17"/>
        <v>2250000</v>
      </c>
      <c r="O40" s="654">
        <f t="shared" si="18"/>
        <v>2250000</v>
      </c>
      <c r="P40" s="632"/>
      <c r="Q40" s="633">
        <f t="shared" si="19"/>
        <v>2250000</v>
      </c>
      <c r="V40" s="658"/>
      <c r="X40" s="659"/>
    </row>
    <row r="41" spans="1:31" s="643" customFormat="1" ht="13.5">
      <c r="A41" s="637"/>
      <c r="B41" s="637"/>
      <c r="C41" s="637"/>
      <c r="D41" s="668"/>
      <c r="E41" s="668"/>
      <c r="F41" s="627"/>
      <c r="G41" s="629"/>
      <c r="H41" s="629"/>
      <c r="I41" s="629"/>
      <c r="N41" s="654">
        <f>N43+N42</f>
        <v>3600000</v>
      </c>
      <c r="O41" s="654">
        <f>O43+O42</f>
        <v>3600000</v>
      </c>
      <c r="P41" s="632"/>
      <c r="Q41" s="633"/>
      <c r="V41" s="658"/>
      <c r="X41" s="659"/>
    </row>
    <row r="42" spans="1:31" s="643" customFormat="1" ht="13.5">
      <c r="A42" s="637"/>
      <c r="B42" s="637"/>
      <c r="C42" s="637"/>
      <c r="D42" s="668"/>
      <c r="E42" s="668"/>
      <c r="F42" s="627" t="s">
        <v>553</v>
      </c>
      <c r="G42" s="629"/>
      <c r="H42" s="629"/>
      <c r="I42" s="629"/>
      <c r="J42" s="630">
        <f t="shared" si="16"/>
        <v>0</v>
      </c>
      <c r="K42" s="629">
        <v>1</v>
      </c>
      <c r="L42" s="629" t="s">
        <v>524</v>
      </c>
      <c r="M42" s="629">
        <v>1500000</v>
      </c>
      <c r="N42" s="630">
        <f t="shared" si="17"/>
        <v>1500000</v>
      </c>
      <c r="O42" s="632">
        <f t="shared" si="18"/>
        <v>1500000</v>
      </c>
      <c r="P42" s="632"/>
      <c r="Q42" s="633">
        <f t="shared" si="19"/>
        <v>1500000</v>
      </c>
      <c r="S42" s="676" t="e">
        <f>#REF!</f>
        <v>#REF!</v>
      </c>
      <c r="V42" s="658"/>
      <c r="X42" s="659"/>
    </row>
    <row r="43" spans="1:31" s="643" customFormat="1" ht="13.5">
      <c r="A43" s="637"/>
      <c r="B43" s="637"/>
      <c r="C43" s="637"/>
      <c r="D43" s="668"/>
      <c r="E43" s="668"/>
      <c r="F43" s="627" t="s">
        <v>554</v>
      </c>
      <c r="G43" s="629"/>
      <c r="H43" s="629"/>
      <c r="I43" s="629"/>
      <c r="J43" s="630">
        <f t="shared" si="16"/>
        <v>0</v>
      </c>
      <c r="K43" s="675">
        <v>5</v>
      </c>
      <c r="L43" s="675" t="s">
        <v>524</v>
      </c>
      <c r="M43" s="675">
        <v>420000</v>
      </c>
      <c r="N43" s="661">
        <f t="shared" si="17"/>
        <v>2100000</v>
      </c>
      <c r="O43" s="654">
        <f t="shared" si="18"/>
        <v>2100000</v>
      </c>
      <c r="P43" s="632"/>
      <c r="Q43" s="633">
        <f t="shared" si="19"/>
        <v>2100000</v>
      </c>
      <c r="V43" s="658"/>
      <c r="X43" s="659"/>
    </row>
    <row r="46" spans="1:31" s="643" customFormat="1" ht="54">
      <c r="A46" s="627"/>
      <c r="B46" s="627"/>
      <c r="C46" s="627"/>
      <c r="D46" s="627"/>
      <c r="E46" s="668"/>
      <c r="F46" s="677" t="s">
        <v>555</v>
      </c>
      <c r="G46" s="629"/>
      <c r="H46" s="629"/>
      <c r="I46" s="671"/>
      <c r="J46" s="672">
        <f>J47+J48</f>
        <v>0</v>
      </c>
      <c r="K46" s="675"/>
      <c r="L46" s="675"/>
      <c r="M46" s="678"/>
      <c r="N46" s="679">
        <f>N47+N48</f>
        <v>1750000</v>
      </c>
      <c r="O46" s="654">
        <f t="shared" ref="O46:O47" si="20">N46-J46</f>
        <v>1750000</v>
      </c>
      <c r="P46" s="632"/>
      <c r="Q46" s="633">
        <f t="shared" ref="Q46:Q48" si="21">K46*M46</f>
        <v>0</v>
      </c>
      <c r="V46" s="658"/>
      <c r="X46" s="659"/>
    </row>
    <row r="47" spans="1:31" s="643" customFormat="1" ht="13.5">
      <c r="A47" s="627"/>
      <c r="B47" s="627"/>
      <c r="C47" s="627"/>
      <c r="D47" s="627"/>
      <c r="E47" s="627"/>
      <c r="F47" s="627" t="s">
        <v>556</v>
      </c>
      <c r="G47" s="629"/>
      <c r="H47" s="629"/>
      <c r="I47" s="639"/>
      <c r="J47" s="630">
        <f t="shared" ref="J47" si="22">G47*I47</f>
        <v>0</v>
      </c>
      <c r="K47" s="675">
        <v>35</v>
      </c>
      <c r="L47" s="675" t="s">
        <v>557</v>
      </c>
      <c r="M47" s="644">
        <v>15000</v>
      </c>
      <c r="N47" s="661">
        <f t="shared" ref="N47" si="23">K47*M47</f>
        <v>525000</v>
      </c>
      <c r="O47" s="654">
        <f t="shared" si="20"/>
        <v>525000</v>
      </c>
      <c r="P47" s="632"/>
      <c r="Q47" s="633">
        <f t="shared" si="21"/>
        <v>525000</v>
      </c>
      <c r="V47" s="658"/>
      <c r="X47" s="659"/>
    </row>
    <row r="48" spans="1:31" s="643" customFormat="1" ht="13.5">
      <c r="A48" s="627"/>
      <c r="B48" s="627"/>
      <c r="C48" s="627"/>
      <c r="D48" s="627"/>
      <c r="E48" s="680"/>
      <c r="F48" s="681" t="s">
        <v>558</v>
      </c>
      <c r="G48" s="629"/>
      <c r="H48" s="629"/>
      <c r="I48" s="629"/>
      <c r="J48" s="630">
        <f>G48*I48</f>
        <v>0</v>
      </c>
      <c r="K48" s="675">
        <f>K47</f>
        <v>35</v>
      </c>
      <c r="L48" s="675" t="s">
        <v>557</v>
      </c>
      <c r="M48" s="675">
        <v>35000</v>
      </c>
      <c r="N48" s="661">
        <f>K48*M48</f>
        <v>1225000</v>
      </c>
      <c r="O48" s="654">
        <f>N48-J48</f>
        <v>1225000</v>
      </c>
      <c r="P48" s="632"/>
      <c r="Q48" s="633">
        <f t="shared" si="21"/>
        <v>1225000</v>
      </c>
      <c r="V48" s="658"/>
      <c r="X48" s="659"/>
    </row>
    <row r="49" spans="1:43" s="643" customFormat="1" ht="27">
      <c r="A49" s="627"/>
      <c r="B49" s="627" t="s">
        <v>237</v>
      </c>
      <c r="C49" s="627" t="s">
        <v>237</v>
      </c>
      <c r="D49" s="627" t="s">
        <v>559</v>
      </c>
      <c r="E49" s="627"/>
      <c r="F49" s="682" t="s">
        <v>560</v>
      </c>
      <c r="G49" s="629"/>
      <c r="H49" s="629"/>
      <c r="I49" s="629"/>
      <c r="J49" s="630"/>
      <c r="K49" s="675"/>
      <c r="L49" s="675"/>
      <c r="M49" s="675"/>
      <c r="N49" s="679">
        <f>N50</f>
        <v>3500000</v>
      </c>
      <c r="O49" s="654">
        <f>O50</f>
        <v>3500000</v>
      </c>
      <c r="P49" s="632"/>
      <c r="Q49" s="633"/>
      <c r="V49" s="658"/>
      <c r="X49" s="659"/>
    </row>
    <row r="50" spans="1:43" s="643" customFormat="1" ht="13.5">
      <c r="A50" s="627"/>
      <c r="B50" s="627"/>
      <c r="C50" s="627"/>
      <c r="D50" s="627"/>
      <c r="E50" s="668" t="s">
        <v>32</v>
      </c>
      <c r="F50" s="681" t="s">
        <v>561</v>
      </c>
      <c r="G50" s="629"/>
      <c r="H50" s="629"/>
      <c r="I50" s="629"/>
      <c r="J50" s="630"/>
      <c r="K50" s="675"/>
      <c r="L50" s="675"/>
      <c r="M50" s="675"/>
      <c r="N50" s="661">
        <f>N51</f>
        <v>3500000</v>
      </c>
      <c r="O50" s="678">
        <f>O51</f>
        <v>3500000</v>
      </c>
      <c r="P50" s="632"/>
      <c r="Q50" s="633"/>
      <c r="V50" s="658"/>
      <c r="X50" s="659"/>
    </row>
    <row r="51" spans="1:43" s="643" customFormat="1" ht="54">
      <c r="A51" s="627"/>
      <c r="B51" s="627"/>
      <c r="C51" s="627"/>
      <c r="D51" s="627"/>
      <c r="E51" s="680"/>
      <c r="F51" s="681" t="s">
        <v>537</v>
      </c>
      <c r="G51" s="629"/>
      <c r="H51" s="629"/>
      <c r="I51" s="629"/>
      <c r="J51" s="630"/>
      <c r="K51" s="675">
        <v>35</v>
      </c>
      <c r="L51" s="675" t="s">
        <v>557</v>
      </c>
      <c r="M51" s="675">
        <v>100000</v>
      </c>
      <c r="N51" s="661">
        <f>K51*M51</f>
        <v>3500000</v>
      </c>
      <c r="O51" s="661">
        <f>N51-J51</f>
        <v>3500000</v>
      </c>
      <c r="P51" s="632"/>
      <c r="Q51" s="633"/>
      <c r="V51" s="658"/>
      <c r="X51" s="659"/>
    </row>
    <row r="53" spans="1:43" s="687" customFormat="1" ht="13.5">
      <c r="A53" s="683">
        <v>5</v>
      </c>
      <c r="B53" s="683">
        <v>2</v>
      </c>
      <c r="C53" s="683">
        <v>2</v>
      </c>
      <c r="D53" s="683">
        <v>25</v>
      </c>
      <c r="E53" s="684" t="s">
        <v>44</v>
      </c>
      <c r="F53" s="685" t="s">
        <v>439</v>
      </c>
      <c r="G53" s="686"/>
      <c r="H53" s="686"/>
      <c r="I53" s="686"/>
      <c r="J53" s="631">
        <f>J54</f>
        <v>10000000</v>
      </c>
      <c r="K53" s="686"/>
      <c r="L53" s="686"/>
      <c r="M53" s="686"/>
      <c r="N53" s="631">
        <f>N54</f>
        <v>10000000</v>
      </c>
      <c r="O53" s="632">
        <f t="shared" ref="O53:O55" si="24">N53-J53</f>
        <v>0</v>
      </c>
      <c r="P53" s="632"/>
      <c r="Q53" s="633">
        <f t="shared" ref="Q53:Q55" si="25">K53*M53</f>
        <v>0</v>
      </c>
      <c r="R53" s="686"/>
      <c r="S53" s="686"/>
      <c r="T53" s="636"/>
      <c r="U53" s="636"/>
      <c r="V53" s="658"/>
      <c r="W53" s="636"/>
      <c r="X53" s="659"/>
      <c r="Y53" s="636"/>
      <c r="Z53" s="643"/>
      <c r="AA53" s="643"/>
      <c r="AB53" s="643"/>
      <c r="AC53" s="643"/>
      <c r="AD53" s="643"/>
      <c r="AE53" s="643"/>
      <c r="AF53" s="643"/>
      <c r="AG53" s="643"/>
      <c r="AH53" s="643"/>
      <c r="AI53" s="643"/>
    </row>
    <row r="54" spans="1:43" s="687" customFormat="1" ht="27">
      <c r="A54" s="683"/>
      <c r="B54" s="683"/>
      <c r="C54" s="683"/>
      <c r="D54" s="683"/>
      <c r="E54" s="683"/>
      <c r="F54" s="627" t="s">
        <v>562</v>
      </c>
      <c r="G54" s="629">
        <v>1</v>
      </c>
      <c r="H54" s="629" t="s">
        <v>353</v>
      </c>
      <c r="I54" s="629">
        <v>10000000</v>
      </c>
      <c r="J54" s="630">
        <f t="shared" ref="J54" si="26">G54*I54</f>
        <v>10000000</v>
      </c>
      <c r="K54" s="629">
        <v>1</v>
      </c>
      <c r="L54" s="629" t="s">
        <v>353</v>
      </c>
      <c r="M54" s="629">
        <v>10000000</v>
      </c>
      <c r="N54" s="630">
        <f t="shared" ref="N54" si="27">K54*M54</f>
        <v>10000000</v>
      </c>
      <c r="O54" s="632">
        <f t="shared" si="24"/>
        <v>0</v>
      </c>
      <c r="P54" s="632"/>
      <c r="Q54" s="633">
        <f t="shared" si="25"/>
        <v>10000000</v>
      </c>
      <c r="R54" s="686" t="s">
        <v>353</v>
      </c>
      <c r="S54" s="686"/>
      <c r="T54" s="636"/>
      <c r="U54" s="636"/>
      <c r="V54" s="658"/>
      <c r="W54" s="636"/>
      <c r="X54" s="659"/>
      <c r="Y54" s="636"/>
      <c r="Z54" s="643"/>
      <c r="AA54" s="643"/>
      <c r="AB54" s="643"/>
      <c r="AC54" s="643"/>
      <c r="AD54" s="643"/>
      <c r="AE54" s="643"/>
      <c r="AF54" s="643"/>
      <c r="AG54" s="643"/>
      <c r="AH54" s="643"/>
      <c r="AI54" s="643"/>
    </row>
    <row r="55" spans="1:43" s="687" customFormat="1" ht="13.5">
      <c r="A55" s="683"/>
      <c r="B55" s="683"/>
      <c r="C55" s="683"/>
      <c r="D55" s="683"/>
      <c r="E55" s="683"/>
      <c r="F55" s="688"/>
      <c r="G55" s="686"/>
      <c r="H55" s="686"/>
      <c r="I55" s="686"/>
      <c r="J55" s="642"/>
      <c r="K55" s="686"/>
      <c r="L55" s="686"/>
      <c r="M55" s="686"/>
      <c r="N55" s="642"/>
      <c r="O55" s="632">
        <f t="shared" si="24"/>
        <v>0</v>
      </c>
      <c r="P55" s="632"/>
      <c r="Q55" s="633">
        <f t="shared" si="25"/>
        <v>0</v>
      </c>
      <c r="R55" s="689"/>
      <c r="S55" s="689"/>
      <c r="T55" s="636"/>
      <c r="U55" s="636"/>
      <c r="V55" s="658"/>
      <c r="W55" s="636"/>
      <c r="X55" s="659"/>
      <c r="Y55" s="636"/>
      <c r="Z55" s="643"/>
      <c r="AA55" s="643"/>
      <c r="AB55" s="643"/>
      <c r="AC55" s="643"/>
      <c r="AD55" s="643"/>
      <c r="AE55" s="643"/>
      <c r="AF55" s="643"/>
      <c r="AG55" s="643"/>
      <c r="AH55" s="643"/>
      <c r="AI55" s="643"/>
    </row>
    <row r="57" spans="1:43" s="693" customFormat="1" ht="40.5">
      <c r="A57" s="651"/>
      <c r="B57" s="651"/>
      <c r="C57" s="651"/>
      <c r="D57" s="690" t="s">
        <v>563</v>
      </c>
      <c r="E57" s="690"/>
      <c r="F57" s="691" t="s">
        <v>564</v>
      </c>
      <c r="G57" s="678"/>
      <c r="H57" s="678"/>
      <c r="I57" s="678"/>
      <c r="J57" s="679">
        <f>J58</f>
        <v>0</v>
      </c>
      <c r="K57" s="678"/>
      <c r="L57" s="678"/>
      <c r="M57" s="678"/>
      <c r="N57" s="679">
        <f>N58</f>
        <v>1925000</v>
      </c>
      <c r="O57" s="654">
        <f t="shared" ref="O57:O60" si="28">N57-J57</f>
        <v>1925000</v>
      </c>
      <c r="P57" s="654"/>
      <c r="Q57" s="633">
        <f t="shared" ref="Q57:Q60" si="29">K57*M57</f>
        <v>0</v>
      </c>
      <c r="R57" s="692">
        <f>SUM(Q58:Q60)</f>
        <v>1925000</v>
      </c>
      <c r="S57" s="692"/>
      <c r="V57" s="694"/>
      <c r="X57" s="695"/>
      <c r="Z57" s="657"/>
      <c r="AA57" s="657"/>
      <c r="AB57" s="657"/>
      <c r="AC57" s="657"/>
    </row>
    <row r="58" spans="1:43" s="696" customFormat="1" ht="26.25" customHeight="1">
      <c r="A58" s="651"/>
      <c r="B58" s="651"/>
      <c r="C58" s="651"/>
      <c r="D58" s="690"/>
      <c r="E58" s="690" t="s">
        <v>18</v>
      </c>
      <c r="F58" s="691" t="s">
        <v>564</v>
      </c>
      <c r="G58" s="654"/>
      <c r="H58" s="654"/>
      <c r="I58" s="654"/>
      <c r="J58" s="679">
        <f>SUM(J59:J61)</f>
        <v>0</v>
      </c>
      <c r="K58" s="654"/>
      <c r="L58" s="654"/>
      <c r="M58" s="654"/>
      <c r="N58" s="679">
        <f>SUM(N59:N61)</f>
        <v>1925000</v>
      </c>
      <c r="O58" s="654">
        <f t="shared" si="28"/>
        <v>1925000</v>
      </c>
      <c r="P58" s="654"/>
      <c r="Q58" s="633">
        <f t="shared" si="29"/>
        <v>0</v>
      </c>
      <c r="T58" s="693"/>
      <c r="U58" s="693"/>
      <c r="V58" s="694"/>
      <c r="W58" s="693"/>
      <c r="X58" s="695"/>
      <c r="Y58" s="693"/>
      <c r="Z58" s="657"/>
      <c r="AA58" s="657"/>
      <c r="AB58" s="657"/>
      <c r="AC58" s="657"/>
      <c r="AD58" s="693"/>
      <c r="AE58" s="693"/>
      <c r="AF58" s="693"/>
      <c r="AG58" s="693"/>
      <c r="AH58" s="693"/>
      <c r="AI58" s="693"/>
      <c r="AJ58" s="693"/>
      <c r="AK58" s="693"/>
      <c r="AL58" s="693"/>
      <c r="AM58" s="693"/>
      <c r="AN58" s="693"/>
      <c r="AO58" s="693"/>
      <c r="AP58" s="693"/>
      <c r="AQ58" s="693"/>
    </row>
    <row r="59" spans="1:43" s="657" customFormat="1" ht="13.5">
      <c r="A59" s="697"/>
      <c r="B59" s="697"/>
      <c r="C59" s="697"/>
      <c r="D59" s="690"/>
      <c r="E59" s="690"/>
      <c r="F59" s="698" t="s">
        <v>565</v>
      </c>
      <c r="G59" s="644"/>
      <c r="H59" s="644"/>
      <c r="I59" s="644"/>
      <c r="J59" s="661">
        <f>G59*I59</f>
        <v>0</v>
      </c>
      <c r="K59" s="644">
        <v>1</v>
      </c>
      <c r="L59" s="644" t="s">
        <v>350</v>
      </c>
      <c r="M59" s="644">
        <v>925000</v>
      </c>
      <c r="N59" s="661">
        <f>K59*M59</f>
        <v>925000</v>
      </c>
      <c r="O59" s="654">
        <f t="shared" si="28"/>
        <v>925000</v>
      </c>
      <c r="P59" s="654"/>
      <c r="Q59" s="633">
        <f t="shared" si="29"/>
        <v>925000</v>
      </c>
      <c r="R59" s="693"/>
      <c r="S59" s="693"/>
      <c r="T59" s="693"/>
      <c r="U59" s="693"/>
      <c r="V59" s="694"/>
      <c r="W59" s="693"/>
      <c r="X59" s="695"/>
    </row>
    <row r="60" spans="1:43" s="693" customFormat="1" ht="27">
      <c r="A60" s="697"/>
      <c r="B60" s="697"/>
      <c r="C60" s="699"/>
      <c r="D60" s="700"/>
      <c r="E60" s="700"/>
      <c r="F60" s="651" t="s">
        <v>566</v>
      </c>
      <c r="G60" s="644"/>
      <c r="H60" s="665"/>
      <c r="I60" s="644"/>
      <c r="J60" s="661">
        <f t="shared" ref="J60" si="30">G60*I60</f>
        <v>0</v>
      </c>
      <c r="K60" s="644">
        <v>4</v>
      </c>
      <c r="L60" s="665" t="s">
        <v>350</v>
      </c>
      <c r="M60" s="644">
        <v>250000</v>
      </c>
      <c r="N60" s="661">
        <f t="shared" ref="N60" si="31">K60*M60</f>
        <v>1000000</v>
      </c>
      <c r="O60" s="654">
        <f t="shared" si="28"/>
        <v>1000000</v>
      </c>
      <c r="P60" s="654"/>
      <c r="Q60" s="633">
        <f t="shared" si="29"/>
        <v>1000000</v>
      </c>
      <c r="V60" s="694"/>
      <c r="X60" s="695"/>
    </row>
    <row r="62" spans="1:43" s="636" customFormat="1" ht="27">
      <c r="A62" s="701"/>
      <c r="B62" s="701"/>
      <c r="C62" s="701"/>
      <c r="D62" s="680"/>
      <c r="E62" s="680" t="s">
        <v>24</v>
      </c>
      <c r="F62" s="669" t="s">
        <v>567</v>
      </c>
      <c r="G62" s="702"/>
      <c r="H62" s="702"/>
      <c r="I62" s="702"/>
      <c r="J62" s="672">
        <f>J63</f>
        <v>0</v>
      </c>
      <c r="K62" s="702"/>
      <c r="L62" s="702"/>
      <c r="M62" s="702"/>
      <c r="N62" s="631">
        <f>N63+N64</f>
        <v>5250000</v>
      </c>
      <c r="O62" s="632">
        <f t="shared" ref="O62:O63" si="32">N62-J62</f>
        <v>5250000</v>
      </c>
      <c r="P62" s="632"/>
      <c r="Q62" s="633">
        <f t="shared" ref="Q62:Q63" si="33">K62*M62</f>
        <v>0</v>
      </c>
      <c r="V62" s="658"/>
      <c r="X62" s="659"/>
    </row>
    <row r="63" spans="1:43" s="636" customFormat="1" ht="13.5">
      <c r="A63" s="662"/>
      <c r="B63" s="662"/>
      <c r="C63" s="662"/>
      <c r="D63" s="663"/>
      <c r="E63" s="663"/>
      <c r="F63" s="637" t="s">
        <v>568</v>
      </c>
      <c r="G63" s="639"/>
      <c r="H63" s="664"/>
      <c r="I63" s="639"/>
      <c r="J63" s="630">
        <f t="shared" ref="J63" si="34">G63*I63</f>
        <v>0</v>
      </c>
      <c r="K63" s="644">
        <v>1</v>
      </c>
      <c r="L63" s="665" t="s">
        <v>350</v>
      </c>
      <c r="M63" s="644">
        <v>3000000</v>
      </c>
      <c r="N63" s="630">
        <f t="shared" ref="N63" si="35">K63*M63</f>
        <v>3000000</v>
      </c>
      <c r="O63" s="632">
        <f t="shared" si="32"/>
        <v>3000000</v>
      </c>
      <c r="P63" s="632"/>
      <c r="Q63" s="633">
        <f t="shared" si="33"/>
        <v>3000000</v>
      </c>
      <c r="S63" s="703" t="e">
        <f>#REF!</f>
        <v>#REF!</v>
      </c>
      <c r="V63" s="658"/>
      <c r="X63" s="659"/>
    </row>
    <row r="64" spans="1:43" s="636" customFormat="1" ht="13.5">
      <c r="A64" s="662"/>
      <c r="B64" s="662"/>
      <c r="C64" s="662"/>
      <c r="D64" s="663"/>
      <c r="E64" s="663"/>
      <c r="F64" s="637" t="s">
        <v>569</v>
      </c>
      <c r="G64" s="639"/>
      <c r="H64" s="664"/>
      <c r="I64" s="639"/>
      <c r="J64" s="630"/>
      <c r="K64" s="644">
        <v>1</v>
      </c>
      <c r="L64" s="665" t="s">
        <v>350</v>
      </c>
      <c r="M64" s="644">
        <v>2250000</v>
      </c>
      <c r="N64" s="630">
        <f>M64*K64</f>
        <v>2250000</v>
      </c>
      <c r="O64" s="632">
        <f>M64-J64</f>
        <v>2250000</v>
      </c>
      <c r="P64" s="632"/>
      <c r="Q64" s="633"/>
      <c r="S64" s="703"/>
      <c r="V64" s="658"/>
      <c r="X64" s="659"/>
    </row>
    <row r="66" spans="1:24" s="716" customFormat="1" ht="13.5">
      <c r="A66" s="704"/>
      <c r="B66" s="704"/>
      <c r="C66" s="705"/>
      <c r="D66" s="706"/>
      <c r="E66" s="706"/>
      <c r="F66" s="707" t="s">
        <v>570</v>
      </c>
      <c r="G66" s="708"/>
      <c r="H66" s="709"/>
      <c r="I66" s="708"/>
      <c r="J66" s="710">
        <f t="shared" ref="J66" si="36">G66*I66</f>
        <v>0</v>
      </c>
      <c r="K66" s="711">
        <v>1</v>
      </c>
      <c r="L66" s="712" t="s">
        <v>350</v>
      </c>
      <c r="M66" s="711">
        <v>2500000</v>
      </c>
      <c r="N66" s="713">
        <f t="shared" ref="N66:N67" si="37">K66*M66</f>
        <v>2500000</v>
      </c>
      <c r="O66" s="714">
        <f t="shared" ref="O66:O67" si="38">N66-J66</f>
        <v>2500000</v>
      </c>
      <c r="P66" s="715"/>
      <c r="Q66" s="633">
        <f t="shared" ref="Q66:Q67" si="39">K66*M66</f>
        <v>2500000</v>
      </c>
      <c r="V66" s="717"/>
      <c r="X66" s="718"/>
    </row>
    <row r="67" spans="1:24" s="636" customFormat="1" ht="13.5">
      <c r="A67" s="637"/>
      <c r="B67" s="637"/>
      <c r="C67" s="662"/>
      <c r="D67" s="663"/>
      <c r="E67" s="663"/>
      <c r="F67" s="637" t="s">
        <v>571</v>
      </c>
      <c r="G67" s="639"/>
      <c r="H67" s="664"/>
      <c r="I67" s="639"/>
      <c r="J67" s="630"/>
      <c r="K67" s="644">
        <v>3</v>
      </c>
      <c r="L67" s="665" t="s">
        <v>531</v>
      </c>
      <c r="M67" s="644">
        <v>1000000</v>
      </c>
      <c r="N67" s="661">
        <f t="shared" si="37"/>
        <v>3000000</v>
      </c>
      <c r="O67" s="654">
        <f t="shared" si="38"/>
        <v>3000000</v>
      </c>
      <c r="P67" s="632"/>
      <c r="Q67" s="633">
        <f t="shared" si="39"/>
        <v>3000000</v>
      </c>
      <c r="V67" s="658"/>
      <c r="X67" s="659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U64"/>
  <sheetViews>
    <sheetView zoomScale="78" zoomScaleNormal="78" workbookViewId="0">
      <selection activeCell="K12" sqref="K12"/>
    </sheetView>
  </sheetViews>
  <sheetFormatPr defaultRowHeight="15"/>
  <cols>
    <col min="1" max="1" width="5.85546875" style="119" bestFit="1" customWidth="1"/>
    <col min="2" max="2" width="13.85546875" style="119" bestFit="1" customWidth="1"/>
    <col min="3" max="3" width="19.7109375" style="119" customWidth="1"/>
    <col min="4" max="4" width="20.7109375" style="168" bestFit="1" customWidth="1"/>
    <col min="5" max="6" width="20.28515625" style="119" bestFit="1" customWidth="1"/>
    <col min="7" max="7" width="14.5703125" style="119" customWidth="1"/>
    <col min="8" max="8" width="12" style="163" customWidth="1"/>
    <col min="9" max="9" width="20.140625" style="163" customWidth="1"/>
    <col min="10" max="10" width="12.85546875" style="161" customWidth="1"/>
    <col min="11" max="11" width="19.7109375" style="160" bestFit="1" customWidth="1"/>
    <col min="12" max="12" width="6.5703125" style="160" bestFit="1" customWidth="1"/>
    <col min="13" max="13" width="18.28515625" style="592" bestFit="1" customWidth="1"/>
    <col min="14" max="14" width="9.140625" style="160"/>
    <col min="15" max="15" width="21.7109375" style="160" bestFit="1" customWidth="1"/>
    <col min="16" max="16" width="17.85546875" style="160" bestFit="1" customWidth="1"/>
    <col min="17" max="20" width="9.140625" style="160"/>
    <col min="21" max="16384" width="9.140625" style="119"/>
  </cols>
  <sheetData>
    <row r="1" spans="1:20">
      <c r="A1" s="871"/>
      <c r="B1" s="871"/>
      <c r="C1" s="871"/>
      <c r="D1" s="871"/>
      <c r="E1" s="871"/>
      <c r="F1" s="871"/>
      <c r="G1" s="871"/>
      <c r="H1" s="871"/>
      <c r="I1" s="871"/>
      <c r="J1" s="871"/>
    </row>
    <row r="2" spans="1:20" s="120" customFormat="1">
      <c r="A2" s="872" t="s">
        <v>220</v>
      </c>
      <c r="B2" s="872"/>
      <c r="C2" s="872"/>
      <c r="D2" s="872"/>
      <c r="E2" s="872"/>
      <c r="F2" s="872"/>
      <c r="G2" s="872"/>
      <c r="H2" s="872"/>
      <c r="I2" s="872"/>
      <c r="J2" s="872"/>
      <c r="K2" s="164"/>
      <c r="L2" s="164"/>
      <c r="M2" s="593"/>
      <c r="N2" s="164"/>
      <c r="O2" s="164"/>
      <c r="P2" s="164"/>
      <c r="Q2" s="164"/>
      <c r="R2" s="164"/>
      <c r="S2" s="164"/>
      <c r="T2" s="164"/>
    </row>
    <row r="3" spans="1:20" s="121" customFormat="1">
      <c r="A3" s="873" t="s">
        <v>2</v>
      </c>
      <c r="B3" s="873"/>
      <c r="C3" s="873"/>
      <c r="D3" s="873"/>
      <c r="E3" s="873"/>
      <c r="F3" s="873"/>
      <c r="G3" s="873"/>
      <c r="H3" s="873"/>
      <c r="I3" s="873"/>
      <c r="J3" s="873"/>
      <c r="K3" s="423"/>
      <c r="L3" s="423"/>
      <c r="M3" s="592"/>
      <c r="N3" s="423"/>
      <c r="O3" s="423"/>
      <c r="P3" s="423"/>
      <c r="Q3" s="423"/>
      <c r="R3" s="423"/>
      <c r="S3" s="423"/>
      <c r="T3" s="423"/>
    </row>
    <row r="4" spans="1:20" s="121" customFormat="1">
      <c r="A4" s="873" t="s">
        <v>686</v>
      </c>
      <c r="B4" s="873"/>
      <c r="C4" s="873"/>
      <c r="D4" s="873"/>
      <c r="E4" s="873"/>
      <c r="F4" s="873"/>
      <c r="G4" s="873"/>
      <c r="H4" s="873"/>
      <c r="I4" s="873"/>
      <c r="J4" s="873"/>
      <c r="K4" s="423"/>
      <c r="L4" s="423"/>
      <c r="M4" s="592"/>
      <c r="N4" s="423"/>
      <c r="O4" s="423"/>
      <c r="P4" s="423"/>
      <c r="Q4" s="423"/>
      <c r="R4" s="423"/>
      <c r="S4" s="423"/>
      <c r="T4" s="423"/>
    </row>
    <row r="5" spans="1:20" s="121" customFormat="1">
      <c r="A5" s="874" t="s">
        <v>446</v>
      </c>
      <c r="B5" s="874"/>
      <c r="C5" s="874"/>
      <c r="D5" s="874"/>
      <c r="E5" s="874"/>
      <c r="F5" s="874"/>
      <c r="G5" s="874"/>
      <c r="H5" s="874"/>
      <c r="I5" s="874"/>
      <c r="J5" s="874"/>
      <c r="K5" s="423"/>
      <c r="L5" s="423"/>
      <c r="M5" s="592"/>
      <c r="N5" s="423"/>
      <c r="O5" s="423"/>
      <c r="P5" s="423"/>
      <c r="Q5" s="423"/>
      <c r="R5" s="423"/>
      <c r="S5" s="423"/>
      <c r="T5" s="423"/>
    </row>
    <row r="6" spans="1:20" s="121" customFormat="1">
      <c r="A6" s="122"/>
      <c r="D6" s="123"/>
      <c r="H6" s="124"/>
      <c r="I6" s="124"/>
      <c r="J6" s="125"/>
      <c r="K6" s="423"/>
      <c r="L6" s="423"/>
      <c r="M6" s="592"/>
      <c r="N6" s="423"/>
      <c r="O6" s="423"/>
      <c r="P6" s="423"/>
      <c r="Q6" s="423"/>
      <c r="R6" s="423"/>
      <c r="S6" s="423"/>
      <c r="T6" s="423"/>
    </row>
    <row r="7" spans="1:20" s="126" customFormat="1">
      <c r="A7" s="867" t="s">
        <v>85</v>
      </c>
      <c r="B7" s="867" t="s">
        <v>4</v>
      </c>
      <c r="C7" s="868" t="s">
        <v>186</v>
      </c>
      <c r="D7" s="868" t="s">
        <v>187</v>
      </c>
      <c r="E7" s="869" t="s">
        <v>411</v>
      </c>
      <c r="F7" s="867" t="s">
        <v>7</v>
      </c>
      <c r="G7" s="867"/>
      <c r="H7" s="867"/>
      <c r="I7" s="867" t="s">
        <v>188</v>
      </c>
      <c r="J7" s="868" t="s">
        <v>189</v>
      </c>
      <c r="K7" s="424"/>
      <c r="L7" s="424"/>
      <c r="M7" s="593"/>
      <c r="N7" s="424"/>
      <c r="O7" s="424"/>
      <c r="P7" s="424"/>
      <c r="Q7" s="424"/>
      <c r="R7" s="424"/>
      <c r="S7" s="424"/>
      <c r="T7" s="424"/>
    </row>
    <row r="8" spans="1:20" s="126" customFormat="1" ht="30">
      <c r="A8" s="867"/>
      <c r="B8" s="867"/>
      <c r="C8" s="867"/>
      <c r="D8" s="867"/>
      <c r="E8" s="870"/>
      <c r="F8" s="777" t="s">
        <v>190</v>
      </c>
      <c r="G8" s="422" t="s">
        <v>191</v>
      </c>
      <c r="H8" s="422" t="s">
        <v>192</v>
      </c>
      <c r="I8" s="867"/>
      <c r="J8" s="867"/>
      <c r="K8" s="424"/>
      <c r="L8" s="424"/>
      <c r="M8" s="593"/>
      <c r="N8" s="424"/>
      <c r="O8" s="424"/>
      <c r="P8" s="424"/>
      <c r="Q8" s="424"/>
      <c r="R8" s="424"/>
      <c r="S8" s="424"/>
      <c r="T8" s="424"/>
    </row>
    <row r="9" spans="1:20" s="429" customFormat="1" ht="12.75">
      <c r="A9" s="427">
        <v>1</v>
      </c>
      <c r="B9" s="427">
        <v>2</v>
      </c>
      <c r="C9" s="427">
        <v>3</v>
      </c>
      <c r="D9" s="787">
        <v>4</v>
      </c>
      <c r="E9" s="427" t="s">
        <v>412</v>
      </c>
      <c r="F9" s="427">
        <v>6</v>
      </c>
      <c r="G9" s="776">
        <v>7</v>
      </c>
      <c r="H9" s="776">
        <v>8</v>
      </c>
      <c r="I9" s="427" t="s">
        <v>413</v>
      </c>
      <c r="J9" s="427">
        <v>10</v>
      </c>
      <c r="K9" s="428"/>
      <c r="L9" s="428"/>
      <c r="M9" s="594"/>
      <c r="N9" s="428"/>
      <c r="O9" s="428"/>
      <c r="P9" s="428"/>
      <c r="Q9" s="428"/>
      <c r="R9" s="428"/>
      <c r="S9" s="428"/>
      <c r="T9" s="428"/>
    </row>
    <row r="10" spans="1:20" s="126" customFormat="1">
      <c r="A10" s="781" t="s">
        <v>193</v>
      </c>
      <c r="B10" s="782" t="s">
        <v>194</v>
      </c>
      <c r="C10" s="782"/>
      <c r="D10" s="183">
        <v>55886204</v>
      </c>
      <c r="E10" s="783"/>
      <c r="F10" s="784"/>
      <c r="G10" s="785"/>
      <c r="H10" s="785"/>
      <c r="I10" s="786"/>
      <c r="J10" s="786"/>
      <c r="K10" s="424"/>
      <c r="L10" s="424"/>
      <c r="M10" s="593"/>
      <c r="N10" s="424"/>
      <c r="O10" s="424"/>
      <c r="P10" s="424"/>
      <c r="Q10" s="424"/>
      <c r="R10" s="424"/>
      <c r="S10" s="424"/>
      <c r="T10" s="424"/>
    </row>
    <row r="11" spans="1:20" s="121" customFormat="1">
      <c r="A11" s="128" t="s">
        <v>195</v>
      </c>
      <c r="B11" s="129" t="s">
        <v>196</v>
      </c>
      <c r="C11" s="130"/>
      <c r="D11" s="583">
        <f>SUM(D12:D23)</f>
        <v>1674070200</v>
      </c>
      <c r="E11" s="131">
        <f>D11*0.6</f>
        <v>1004442120</v>
      </c>
      <c r="F11" s="131" t="e">
        <f>SUM(F12:F23)</f>
        <v>#REF!</v>
      </c>
      <c r="G11" s="127"/>
      <c r="H11" s="132"/>
      <c r="I11" s="133"/>
      <c r="J11" s="134"/>
      <c r="K11" s="423"/>
      <c r="L11" s="423"/>
      <c r="M11" s="592"/>
      <c r="N11" s="423"/>
      <c r="O11" s="735">
        <v>314813747</v>
      </c>
      <c r="P11" s="737" t="s">
        <v>584</v>
      </c>
      <c r="Q11" s="423"/>
      <c r="R11" s="423"/>
      <c r="S11" s="423"/>
      <c r="T11" s="423"/>
    </row>
    <row r="12" spans="1:20" s="141" customFormat="1">
      <c r="A12" s="135">
        <v>1</v>
      </c>
      <c r="B12" s="136" t="s">
        <v>197</v>
      </c>
      <c r="C12" s="137"/>
      <c r="D12" s="143">
        <v>142476000</v>
      </c>
      <c r="E12" s="761">
        <f t="shared" ref="E12:E21" si="0">D12*0.6</f>
        <v>85485600</v>
      </c>
      <c r="F12" s="138">
        <f>jan!P12</f>
        <v>80551540</v>
      </c>
      <c r="G12" s="774">
        <f>jan!P16</f>
        <v>78188040</v>
      </c>
      <c r="H12" s="762">
        <f>E12-G12</f>
        <v>7297560</v>
      </c>
      <c r="I12" s="139">
        <f>D10+D12-F12</f>
        <v>117810664</v>
      </c>
      <c r="J12" s="140">
        <f>K12</f>
        <v>23746</v>
      </c>
      <c r="K12" s="425">
        <f t="shared" ref="K12:K22" si="1">D12/6000</f>
        <v>23746</v>
      </c>
      <c r="L12" s="426">
        <f>J12-K12</f>
        <v>0</v>
      </c>
      <c r="M12" s="595">
        <f>D12*60/100</f>
        <v>85485600</v>
      </c>
      <c r="N12" s="164"/>
      <c r="O12" s="736">
        <v>136200000</v>
      </c>
      <c r="P12" s="737" t="s">
        <v>585</v>
      </c>
      <c r="Q12" s="164"/>
      <c r="R12" s="164"/>
      <c r="S12" s="164"/>
      <c r="T12" s="164"/>
    </row>
    <row r="13" spans="1:20" s="141" customFormat="1">
      <c r="A13" s="135">
        <v>2</v>
      </c>
      <c r="B13" s="136" t="s">
        <v>198</v>
      </c>
      <c r="C13" s="137"/>
      <c r="D13" s="143">
        <v>141342000</v>
      </c>
      <c r="E13" s="761">
        <f t="shared" si="0"/>
        <v>84805200</v>
      </c>
      <c r="F13" s="138" t="e">
        <f>#REF!</f>
        <v>#REF!</v>
      </c>
      <c r="G13" s="774" t="e">
        <f>#REF!</f>
        <v>#REF!</v>
      </c>
      <c r="H13" s="762" t="e">
        <f t="shared" ref="H13:H23" si="2">E13-G13</f>
        <v>#REF!</v>
      </c>
      <c r="I13" s="139" t="e">
        <f t="shared" ref="I13:I23" si="3">I12+D13-F13</f>
        <v>#REF!</v>
      </c>
      <c r="J13" s="140">
        <f t="shared" ref="J13:J22" si="4">K13</f>
        <v>23557</v>
      </c>
      <c r="K13" s="425">
        <f t="shared" si="1"/>
        <v>23557</v>
      </c>
      <c r="L13" s="426">
        <f t="shared" ref="L13:L23" si="5">J13-K13</f>
        <v>0</v>
      </c>
      <c r="M13" s="595">
        <f t="shared" ref="M13:M23" si="6">D13*60/100</f>
        <v>84805200</v>
      </c>
      <c r="N13" s="164"/>
      <c r="O13" s="736">
        <v>179192277</v>
      </c>
      <c r="P13" s="737" t="s">
        <v>586</v>
      </c>
      <c r="Q13" s="164"/>
      <c r="R13" s="164"/>
      <c r="S13" s="164"/>
      <c r="T13" s="164"/>
    </row>
    <row r="14" spans="1:20" s="142" customFormat="1">
      <c r="A14" s="135">
        <v>3</v>
      </c>
      <c r="B14" s="136" t="s">
        <v>199</v>
      </c>
      <c r="C14" s="137"/>
      <c r="D14" s="143">
        <v>139578000</v>
      </c>
      <c r="E14" s="761">
        <f t="shared" si="0"/>
        <v>83746800</v>
      </c>
      <c r="F14" s="138" t="e">
        <f>#REF!</f>
        <v>#REF!</v>
      </c>
      <c r="G14" s="774" t="e">
        <f>#REF!</f>
        <v>#REF!</v>
      </c>
      <c r="H14" s="762" t="e">
        <f t="shared" si="2"/>
        <v>#REF!</v>
      </c>
      <c r="I14" s="139" t="e">
        <f t="shared" si="3"/>
        <v>#REF!</v>
      </c>
      <c r="J14" s="140">
        <f t="shared" si="4"/>
        <v>23263</v>
      </c>
      <c r="K14" s="425">
        <f t="shared" si="1"/>
        <v>23263</v>
      </c>
      <c r="L14" s="426">
        <f t="shared" si="5"/>
        <v>0</v>
      </c>
      <c r="M14" s="595">
        <f t="shared" si="6"/>
        <v>83746800</v>
      </c>
      <c r="N14" s="164"/>
      <c r="O14" s="736">
        <v>271821470</v>
      </c>
      <c r="P14" s="737" t="s">
        <v>587</v>
      </c>
      <c r="Q14" s="164"/>
      <c r="R14" s="164"/>
      <c r="S14" s="164"/>
      <c r="T14" s="164"/>
    </row>
    <row r="15" spans="1:20" s="120" customFormat="1">
      <c r="A15" s="135">
        <v>4</v>
      </c>
      <c r="B15" s="136" t="s">
        <v>200</v>
      </c>
      <c r="C15" s="137"/>
      <c r="D15" s="143">
        <v>140112000</v>
      </c>
      <c r="E15" s="761">
        <f t="shared" si="0"/>
        <v>84067200</v>
      </c>
      <c r="F15" s="138" t="e">
        <f>#REF!</f>
        <v>#REF!</v>
      </c>
      <c r="G15" s="774" t="e">
        <f>#REF!</f>
        <v>#REF!</v>
      </c>
      <c r="H15" s="762" t="e">
        <f t="shared" si="2"/>
        <v>#REF!</v>
      </c>
      <c r="I15" s="139" t="e">
        <f t="shared" si="3"/>
        <v>#REF!</v>
      </c>
      <c r="J15" s="140">
        <f t="shared" si="4"/>
        <v>23352</v>
      </c>
      <c r="K15" s="425">
        <f t="shared" si="1"/>
        <v>23352</v>
      </c>
      <c r="L15" s="426">
        <f t="shared" si="5"/>
        <v>0</v>
      </c>
      <c r="M15" s="595">
        <f t="shared" si="6"/>
        <v>84067200</v>
      </c>
      <c r="N15" s="164"/>
      <c r="O15" s="736"/>
      <c r="P15" s="164"/>
      <c r="Q15" s="164"/>
      <c r="R15" s="164"/>
      <c r="S15" s="164"/>
      <c r="T15" s="164"/>
    </row>
    <row r="16" spans="1:20" s="120" customFormat="1">
      <c r="A16" s="135">
        <v>5</v>
      </c>
      <c r="B16" s="136" t="s">
        <v>201</v>
      </c>
      <c r="C16" s="137"/>
      <c r="D16" s="143">
        <v>139734000</v>
      </c>
      <c r="E16" s="761">
        <f t="shared" si="0"/>
        <v>83840400</v>
      </c>
      <c r="F16" s="138" t="e">
        <f>#REF!</f>
        <v>#REF!</v>
      </c>
      <c r="G16" s="774" t="e">
        <f>#REF!</f>
        <v>#REF!</v>
      </c>
      <c r="H16" s="762" t="e">
        <f t="shared" si="2"/>
        <v>#REF!</v>
      </c>
      <c r="I16" s="139" t="e">
        <f t="shared" si="3"/>
        <v>#REF!</v>
      </c>
      <c r="J16" s="140">
        <f t="shared" si="4"/>
        <v>23289</v>
      </c>
      <c r="K16" s="425">
        <f t="shared" si="1"/>
        <v>23289</v>
      </c>
      <c r="L16" s="426">
        <f t="shared" si="5"/>
        <v>0</v>
      </c>
      <c r="M16" s="595">
        <f t="shared" si="6"/>
        <v>83840400</v>
      </c>
      <c r="N16" s="164"/>
      <c r="O16" s="164"/>
      <c r="P16" s="164"/>
      <c r="Q16" s="164"/>
      <c r="R16" s="164"/>
      <c r="S16" s="164"/>
      <c r="T16" s="164"/>
    </row>
    <row r="17" spans="1:20" s="141" customFormat="1">
      <c r="A17" s="135">
        <v>6</v>
      </c>
      <c r="B17" s="136" t="s">
        <v>202</v>
      </c>
      <c r="C17" s="137"/>
      <c r="D17" s="143">
        <v>142194000</v>
      </c>
      <c r="E17" s="761">
        <f t="shared" si="0"/>
        <v>85316400</v>
      </c>
      <c r="F17" s="138" t="e">
        <f>#REF!</f>
        <v>#REF!</v>
      </c>
      <c r="G17" s="774" t="e">
        <f>#REF!</f>
        <v>#REF!</v>
      </c>
      <c r="H17" s="762" t="e">
        <f t="shared" si="2"/>
        <v>#REF!</v>
      </c>
      <c r="I17" s="139" t="e">
        <f t="shared" si="3"/>
        <v>#REF!</v>
      </c>
      <c r="J17" s="140">
        <f t="shared" si="4"/>
        <v>23699</v>
      </c>
      <c r="K17" s="425">
        <f t="shared" si="1"/>
        <v>23699</v>
      </c>
      <c r="L17" s="426">
        <f t="shared" si="5"/>
        <v>0</v>
      </c>
      <c r="M17" s="595">
        <f t="shared" si="6"/>
        <v>85316400</v>
      </c>
      <c r="N17" s="164"/>
      <c r="O17" s="164"/>
      <c r="P17" s="164"/>
      <c r="Q17" s="164"/>
      <c r="R17" s="164"/>
      <c r="S17" s="164"/>
      <c r="T17" s="164"/>
    </row>
    <row r="18" spans="1:20" s="120" customFormat="1" ht="20.25" customHeight="1">
      <c r="A18" s="135">
        <v>7</v>
      </c>
      <c r="B18" s="136" t="s">
        <v>203</v>
      </c>
      <c r="C18" s="137"/>
      <c r="D18" s="143">
        <v>142044000</v>
      </c>
      <c r="E18" s="761">
        <f t="shared" si="0"/>
        <v>85226400</v>
      </c>
      <c r="F18" s="143" t="e">
        <f>#REF!</f>
        <v>#REF!</v>
      </c>
      <c r="G18" s="774" t="e">
        <f>#REF!</f>
        <v>#REF!</v>
      </c>
      <c r="H18" s="762" t="e">
        <f t="shared" si="2"/>
        <v>#REF!</v>
      </c>
      <c r="I18" s="139" t="e">
        <f t="shared" si="3"/>
        <v>#REF!</v>
      </c>
      <c r="J18" s="140">
        <f t="shared" si="4"/>
        <v>23674</v>
      </c>
      <c r="K18" s="425">
        <f t="shared" si="1"/>
        <v>23674</v>
      </c>
      <c r="L18" s="426">
        <f t="shared" si="5"/>
        <v>0</v>
      </c>
      <c r="M18" s="595">
        <f t="shared" si="6"/>
        <v>85226400</v>
      </c>
      <c r="N18" s="164"/>
      <c r="O18" s="164"/>
      <c r="P18" s="164"/>
      <c r="Q18" s="164"/>
      <c r="R18" s="164"/>
      <c r="S18" s="164"/>
      <c r="T18" s="164"/>
    </row>
    <row r="19" spans="1:20" s="120" customFormat="1" ht="20.25" customHeight="1">
      <c r="A19" s="135">
        <v>8</v>
      </c>
      <c r="B19" s="136" t="s">
        <v>204</v>
      </c>
      <c r="C19" s="137"/>
      <c r="D19" s="143">
        <v>140394000</v>
      </c>
      <c r="E19" s="761">
        <f t="shared" si="0"/>
        <v>84236400</v>
      </c>
      <c r="F19" s="143" t="e">
        <f>#REF!</f>
        <v>#REF!</v>
      </c>
      <c r="G19" s="774" t="e">
        <f>#REF!</f>
        <v>#REF!</v>
      </c>
      <c r="H19" s="762" t="e">
        <f t="shared" si="2"/>
        <v>#REF!</v>
      </c>
      <c r="I19" s="139" t="e">
        <f t="shared" si="3"/>
        <v>#REF!</v>
      </c>
      <c r="J19" s="140">
        <f t="shared" si="4"/>
        <v>23399</v>
      </c>
      <c r="K19" s="425">
        <f t="shared" si="1"/>
        <v>23399</v>
      </c>
      <c r="L19" s="426">
        <f t="shared" si="5"/>
        <v>0</v>
      </c>
      <c r="M19" s="595">
        <f t="shared" si="6"/>
        <v>84236400</v>
      </c>
      <c r="N19" s="164"/>
      <c r="O19" s="164"/>
      <c r="P19" s="164"/>
      <c r="Q19" s="164"/>
      <c r="R19" s="164"/>
      <c r="S19" s="164"/>
      <c r="T19" s="164"/>
    </row>
    <row r="20" spans="1:20" s="141" customFormat="1" ht="20.25" customHeight="1">
      <c r="A20" s="135">
        <v>9</v>
      </c>
      <c r="B20" s="136" t="s">
        <v>205</v>
      </c>
      <c r="C20" s="137"/>
      <c r="D20" s="143">
        <f>137622000+336000</f>
        <v>137958000</v>
      </c>
      <c r="E20" s="761">
        <f t="shared" si="0"/>
        <v>82774800</v>
      </c>
      <c r="F20" s="143" t="e">
        <f>#REF!</f>
        <v>#REF!</v>
      </c>
      <c r="G20" s="774" t="e">
        <f>#REF!</f>
        <v>#REF!</v>
      </c>
      <c r="H20" s="762" t="e">
        <f t="shared" si="2"/>
        <v>#REF!</v>
      </c>
      <c r="I20" s="139" t="e">
        <f t="shared" si="3"/>
        <v>#REF!</v>
      </c>
      <c r="J20" s="140">
        <f t="shared" si="4"/>
        <v>22993</v>
      </c>
      <c r="K20" s="425">
        <f t="shared" si="1"/>
        <v>22993</v>
      </c>
      <c r="L20" s="426">
        <f t="shared" si="5"/>
        <v>0</v>
      </c>
      <c r="M20" s="595">
        <f t="shared" si="6"/>
        <v>82774800</v>
      </c>
      <c r="N20" s="164"/>
      <c r="O20" s="735">
        <v>314813747</v>
      </c>
      <c r="P20" s="165" t="e">
        <f>I20-O20</f>
        <v>#REF!</v>
      </c>
      <c r="Q20" s="164"/>
      <c r="R20" s="164"/>
      <c r="S20" s="164"/>
      <c r="T20" s="164"/>
    </row>
    <row r="21" spans="1:20" s="141" customFormat="1" ht="20.25" customHeight="1">
      <c r="A21" s="135">
        <v>10</v>
      </c>
      <c r="B21" s="136" t="s">
        <v>206</v>
      </c>
      <c r="C21" s="137"/>
      <c r="D21" s="736">
        <v>136200000</v>
      </c>
      <c r="E21" s="761">
        <f t="shared" si="0"/>
        <v>81720000</v>
      </c>
      <c r="F21" s="138" t="e">
        <f>#REF!</f>
        <v>#REF!</v>
      </c>
      <c r="G21" s="774" t="e">
        <f>#REF!</f>
        <v>#REF!</v>
      </c>
      <c r="H21" s="762" t="e">
        <f t="shared" si="2"/>
        <v>#REF!</v>
      </c>
      <c r="I21" s="139" t="e">
        <f t="shared" si="3"/>
        <v>#REF!</v>
      </c>
      <c r="J21" s="140">
        <f t="shared" si="4"/>
        <v>22700</v>
      </c>
      <c r="K21" s="425">
        <f t="shared" si="1"/>
        <v>22700</v>
      </c>
      <c r="L21" s="426">
        <f t="shared" si="5"/>
        <v>0</v>
      </c>
      <c r="M21" s="595">
        <f t="shared" si="6"/>
        <v>81720000</v>
      </c>
      <c r="N21" s="164"/>
      <c r="O21" s="736">
        <v>271821470</v>
      </c>
      <c r="P21" s="165" t="e">
        <f>I21-O21</f>
        <v>#REF!</v>
      </c>
      <c r="Q21" s="164"/>
      <c r="R21" s="164"/>
      <c r="S21" s="164"/>
      <c r="T21" s="164"/>
    </row>
    <row r="22" spans="1:20" s="141" customFormat="1" ht="20.25" customHeight="1">
      <c r="A22" s="135">
        <v>11</v>
      </c>
      <c r="B22" s="136" t="s">
        <v>207</v>
      </c>
      <c r="C22" s="137"/>
      <c r="D22" s="143">
        <f>137790000+1998000</f>
        <v>139788000</v>
      </c>
      <c r="E22" s="761">
        <f>D22*0.6</f>
        <v>83872800</v>
      </c>
      <c r="F22" s="138" t="e">
        <f>#REF!</f>
        <v>#REF!</v>
      </c>
      <c r="G22" s="774" t="e">
        <f>#REF!</f>
        <v>#REF!</v>
      </c>
      <c r="H22" s="762" t="e">
        <f t="shared" si="2"/>
        <v>#REF!</v>
      </c>
      <c r="I22" s="139" t="e">
        <f t="shared" si="3"/>
        <v>#REF!</v>
      </c>
      <c r="J22" s="140">
        <f t="shared" si="4"/>
        <v>23298</v>
      </c>
      <c r="K22" s="425">
        <f t="shared" si="1"/>
        <v>23298</v>
      </c>
      <c r="L22" s="426">
        <f t="shared" si="5"/>
        <v>0</v>
      </c>
      <c r="M22" s="595">
        <f t="shared" si="6"/>
        <v>83872800</v>
      </c>
      <c r="N22" s="164"/>
      <c r="O22" s="164"/>
      <c r="P22" s="164"/>
      <c r="Q22" s="164"/>
      <c r="R22" s="164"/>
      <c r="S22" s="164"/>
      <c r="T22" s="164"/>
    </row>
    <row r="23" spans="1:20" s="120" customFormat="1" ht="20.25" customHeight="1">
      <c r="A23" s="135">
        <v>12</v>
      </c>
      <c r="B23" s="136" t="s">
        <v>208</v>
      </c>
      <c r="C23" s="137"/>
      <c r="D23" s="143">
        <f>131932200+318000</f>
        <v>132250200</v>
      </c>
      <c r="E23" s="761"/>
      <c r="F23" s="138" t="e">
        <f>#REF!</f>
        <v>#REF!</v>
      </c>
      <c r="G23" s="775">
        <f>82674000+79083720</f>
        <v>161757720</v>
      </c>
      <c r="H23" s="762">
        <f t="shared" si="2"/>
        <v>-161757720</v>
      </c>
      <c r="I23" s="139" t="e">
        <f t="shared" si="3"/>
        <v>#REF!</v>
      </c>
      <c r="J23" s="140">
        <f>K23</f>
        <v>23201.78947368421</v>
      </c>
      <c r="K23" s="425">
        <f>D23/5700</f>
        <v>23201.78947368421</v>
      </c>
      <c r="L23" s="426">
        <f t="shared" si="5"/>
        <v>0</v>
      </c>
      <c r="M23" s="595">
        <f t="shared" si="6"/>
        <v>79350120</v>
      </c>
      <c r="N23" s="164"/>
      <c r="O23" s="164"/>
      <c r="P23" s="164"/>
      <c r="Q23" s="164"/>
      <c r="R23" s="164"/>
      <c r="S23" s="164"/>
      <c r="T23" s="164"/>
    </row>
    <row r="24" spans="1:20" s="147" customFormat="1" ht="15.75">
      <c r="A24" s="128" t="s">
        <v>209</v>
      </c>
      <c r="B24" s="144" t="s">
        <v>135</v>
      </c>
      <c r="C24" s="130" t="e">
        <f>#REF!</f>
        <v>#REF!</v>
      </c>
      <c r="D24" s="145">
        <f>D10+D11</f>
        <v>1729956404</v>
      </c>
      <c r="E24" s="145" t="e">
        <f>C24-D24</f>
        <v>#REF!</v>
      </c>
      <c r="F24" s="145" t="e">
        <f>F11</f>
        <v>#REF!</v>
      </c>
      <c r="G24" s="146" t="e">
        <f>F24/C24*100</f>
        <v>#REF!</v>
      </c>
      <c r="H24" s="132" t="e">
        <f>F24/D24*100</f>
        <v>#REF!</v>
      </c>
      <c r="I24" s="133" t="e">
        <f>D24-F24</f>
        <v>#REF!</v>
      </c>
      <c r="J24" s="281">
        <f>SUM(J12:J23)/12</f>
        <v>23347.649122807019</v>
      </c>
      <c r="K24" s="425"/>
      <c r="L24" s="160"/>
      <c r="M24" s="596"/>
      <c r="N24" s="160"/>
      <c r="O24" s="160"/>
      <c r="P24" s="160"/>
      <c r="Q24" s="160"/>
      <c r="R24" s="160"/>
      <c r="S24" s="160"/>
      <c r="T24" s="160"/>
    </row>
    <row r="25" spans="1:20" s="120" customFormat="1" ht="37.5" customHeight="1">
      <c r="A25" s="148"/>
      <c r="B25" s="149" t="s">
        <v>210</v>
      </c>
      <c r="C25" s="150" t="e">
        <f>C24-F24</f>
        <v>#REF!</v>
      </c>
      <c r="D25" s="766"/>
      <c r="E25" s="766"/>
      <c r="F25" s="766"/>
      <c r="G25" s="766"/>
      <c r="H25" s="766"/>
      <c r="I25" s="767"/>
      <c r="J25" s="764"/>
      <c r="K25" s="164"/>
      <c r="L25" s="164"/>
      <c r="M25" s="597">
        <f>SUM(M12:M24)</f>
        <v>1004442120</v>
      </c>
      <c r="N25" s="164"/>
      <c r="O25" s="425">
        <v>36</v>
      </c>
      <c r="P25" s="164"/>
      <c r="Q25" s="164"/>
      <c r="R25" s="164"/>
      <c r="S25" s="164"/>
      <c r="T25" s="164"/>
    </row>
    <row r="26" spans="1:20" s="120" customFormat="1">
      <c r="A26" s="152"/>
      <c r="B26" s="153"/>
      <c r="C26" s="154"/>
      <c r="D26" s="155"/>
      <c r="E26" s="156"/>
      <c r="F26" s="156"/>
      <c r="G26" s="157"/>
      <c r="H26" s="158"/>
      <c r="I26" s="158"/>
      <c r="J26" s="159"/>
      <c r="K26" s="164"/>
      <c r="L26" s="164"/>
      <c r="M26" s="593"/>
      <c r="N26" s="164"/>
      <c r="O26" s="164">
        <v>52</v>
      </c>
      <c r="P26" s="164"/>
      <c r="Q26" s="164"/>
      <c r="R26" s="164"/>
      <c r="S26" s="164"/>
      <c r="T26" s="164"/>
    </row>
    <row r="27" spans="1:20">
      <c r="A27" s="160"/>
      <c r="B27" s="160"/>
      <c r="C27" s="430"/>
      <c r="D27" s="430" t="s">
        <v>212</v>
      </c>
      <c r="E27" s="431" t="s">
        <v>211</v>
      </c>
      <c r="F27" s="431" t="s">
        <v>213</v>
      </c>
      <c r="G27" s="166"/>
      <c r="I27" s="768"/>
      <c r="J27" s="160"/>
      <c r="K27" s="164"/>
      <c r="L27" s="164"/>
      <c r="M27" s="593"/>
      <c r="N27" s="164"/>
      <c r="O27" s="164"/>
      <c r="P27" s="164"/>
      <c r="Q27" s="164"/>
    </row>
    <row r="28" spans="1:20">
      <c r="A28" s="160"/>
      <c r="B28" s="164" t="s">
        <v>214</v>
      </c>
      <c r="C28" s="771" t="s">
        <v>215</v>
      </c>
      <c r="D28" s="772">
        <f>60/100*D11</f>
        <v>1004442120</v>
      </c>
      <c r="E28" s="773" t="e">
        <f>#REF!</f>
        <v>#REF!</v>
      </c>
      <c r="F28" s="772" t="e">
        <f>D28-E28</f>
        <v>#REF!</v>
      </c>
      <c r="G28" s="770"/>
      <c r="H28" s="151"/>
      <c r="I28" s="876"/>
      <c r="J28" s="876"/>
      <c r="K28" s="769">
        <v>79083720</v>
      </c>
      <c r="L28" s="164"/>
      <c r="M28" s="593"/>
      <c r="N28" s="164"/>
      <c r="O28" s="164"/>
      <c r="P28" s="164"/>
      <c r="Q28" s="164"/>
    </row>
    <row r="29" spans="1:20">
      <c r="A29" s="160"/>
      <c r="B29" s="164"/>
      <c r="C29" s="432">
        <v>0.25</v>
      </c>
      <c r="D29" s="626">
        <f>25/40*(D11-D28+D10)</f>
        <v>453446427.5</v>
      </c>
      <c r="E29" s="433" t="e">
        <f>F24-E28-E30</f>
        <v>#REF!</v>
      </c>
      <c r="F29" s="434" t="e">
        <f>D29-E29</f>
        <v>#REF!</v>
      </c>
      <c r="G29" s="778">
        <f>25/40*D10</f>
        <v>34928877.5</v>
      </c>
      <c r="H29" s="407"/>
      <c r="I29" s="763" t="e">
        <f>F29-G29</f>
        <v>#REF!</v>
      </c>
      <c r="J29" s="763"/>
      <c r="K29" s="164"/>
      <c r="L29" s="164"/>
      <c r="M29" s="593"/>
      <c r="N29" s="164"/>
      <c r="O29" s="164"/>
      <c r="P29" s="164"/>
      <c r="Q29" s="164"/>
    </row>
    <row r="30" spans="1:20">
      <c r="A30" s="160"/>
      <c r="B30" s="164"/>
      <c r="C30" s="435">
        <v>0.15</v>
      </c>
      <c r="D30" s="436" t="e">
        <f>15/40*(D11-E28+D10)</f>
        <v>#REF!</v>
      </c>
      <c r="E30" s="437" t="e">
        <f>#REF!+#REF!+#REF!+#REF!</f>
        <v>#REF!</v>
      </c>
      <c r="F30" s="436" t="e">
        <f>D30-E30</f>
        <v>#REF!</v>
      </c>
      <c r="G30" s="779">
        <f>15/40*D10</f>
        <v>20957326.5</v>
      </c>
      <c r="H30" s="407"/>
      <c r="I30" s="763" t="e">
        <f>F30-G30</f>
        <v>#REF!</v>
      </c>
      <c r="J30" s="763"/>
      <c r="K30" s="164"/>
      <c r="L30" s="164"/>
      <c r="M30" s="593"/>
      <c r="N30" s="164"/>
      <c r="O30" s="164"/>
      <c r="P30" s="164"/>
      <c r="Q30" s="164"/>
    </row>
    <row r="31" spans="1:20" ht="14.25" customHeight="1">
      <c r="A31" s="160"/>
      <c r="B31" s="160"/>
      <c r="C31" s="430"/>
      <c r="D31" s="438" t="e">
        <f>SUM(D28:D30)</f>
        <v>#REF!</v>
      </c>
      <c r="E31" s="438" t="e">
        <f>SUM(E28:E30)</f>
        <v>#REF!</v>
      </c>
      <c r="F31" s="134" t="e">
        <f>D31-E31</f>
        <v>#REF!</v>
      </c>
      <c r="G31" s="780"/>
      <c r="H31" s="124"/>
      <c r="I31" s="877"/>
      <c r="J31" s="877"/>
      <c r="K31" s="164"/>
      <c r="L31" s="164"/>
      <c r="M31" s="593"/>
      <c r="N31" s="164"/>
      <c r="O31" s="164"/>
      <c r="P31" s="164"/>
      <c r="Q31" s="164"/>
    </row>
    <row r="32" spans="1:20" ht="8.25" customHeight="1">
      <c r="A32" s="160"/>
      <c r="B32" s="160"/>
      <c r="C32" s="161"/>
      <c r="D32" s="162"/>
      <c r="E32" s="166"/>
      <c r="F32" s="161"/>
      <c r="G32" s="165"/>
      <c r="I32" s="160"/>
      <c r="J32" s="160"/>
      <c r="K32" s="164"/>
      <c r="L32" s="164"/>
      <c r="M32" s="593"/>
      <c r="N32" s="164"/>
      <c r="O32" s="164"/>
      <c r="P32" s="164"/>
      <c r="Q32" s="164"/>
    </row>
    <row r="33" spans="1:21" ht="15.75">
      <c r="A33" s="160"/>
      <c r="B33" s="21"/>
      <c r="C33" s="21"/>
      <c r="D33" s="21"/>
      <c r="E33" s="21" t="e">
        <f>F24-E31</f>
        <v>#REF!</v>
      </c>
      <c r="F33" s="21"/>
      <c r="G33" s="21"/>
      <c r="H33" s="875" t="s">
        <v>627</v>
      </c>
      <c r="I33" s="875"/>
      <c r="J33" s="163"/>
      <c r="K33" s="161"/>
      <c r="L33" s="164"/>
      <c r="M33" s="164"/>
      <c r="N33" s="593"/>
      <c r="O33" s="164"/>
      <c r="P33" s="141"/>
      <c r="Q33" s="164"/>
      <c r="R33" s="164"/>
      <c r="U33" s="160"/>
    </row>
    <row r="34" spans="1:21" ht="16.5">
      <c r="A34" s="160"/>
      <c r="B34" s="184" t="s">
        <v>179</v>
      </c>
      <c r="D34" s="184"/>
      <c r="E34" s="184"/>
      <c r="F34" s="184"/>
      <c r="G34" s="21"/>
      <c r="H34" s="23" t="s">
        <v>79</v>
      </c>
      <c r="I34" s="34"/>
      <c r="J34" s="163"/>
      <c r="K34" s="161"/>
      <c r="L34" s="164"/>
      <c r="M34" s="164"/>
      <c r="N34" s="593"/>
      <c r="O34" s="164"/>
      <c r="P34" s="759">
        <f>17856000-2160000</f>
        <v>15696000</v>
      </c>
      <c r="Q34" s="164"/>
      <c r="R34" s="164"/>
      <c r="U34" s="160"/>
    </row>
    <row r="35" spans="1:21" ht="15.75">
      <c r="A35" s="160"/>
      <c r="B35" s="185" t="s">
        <v>80</v>
      </c>
      <c r="C35" s="185"/>
      <c r="D35" s="185"/>
      <c r="E35" s="185"/>
      <c r="F35" s="760"/>
      <c r="G35" s="21"/>
      <c r="H35" s="879" t="s">
        <v>80</v>
      </c>
      <c r="I35" s="879"/>
      <c r="J35" s="163"/>
      <c r="K35" s="161"/>
      <c r="L35" s="164"/>
      <c r="M35" s="164"/>
      <c r="N35" s="593"/>
      <c r="O35" s="164"/>
      <c r="P35" s="141"/>
      <c r="Q35" s="164"/>
      <c r="R35" s="164"/>
      <c r="U35" s="160"/>
    </row>
    <row r="36" spans="1:21" ht="15.75">
      <c r="A36" s="160"/>
      <c r="B36" s="118"/>
      <c r="C36" s="118"/>
      <c r="D36" s="118"/>
      <c r="E36" s="118"/>
      <c r="F36" s="118"/>
      <c r="G36" s="21"/>
      <c r="H36" s="185"/>
      <c r="I36" s="185"/>
      <c r="J36" s="163"/>
      <c r="K36" s="161"/>
      <c r="L36" s="164"/>
      <c r="M36" s="164"/>
      <c r="N36" s="593"/>
      <c r="O36" s="164"/>
      <c r="P36" s="141"/>
      <c r="Q36" s="164"/>
      <c r="R36" s="164"/>
      <c r="U36" s="160"/>
    </row>
    <row r="37" spans="1:21" ht="15.75">
      <c r="A37" s="160"/>
      <c r="B37" s="21"/>
      <c r="C37" s="21"/>
      <c r="D37" s="21"/>
      <c r="E37" s="21"/>
      <c r="F37" s="21"/>
      <c r="G37" s="21"/>
      <c r="H37" s="185"/>
      <c r="I37" s="188"/>
      <c r="J37" s="163"/>
      <c r="K37" s="161"/>
      <c r="L37" s="164"/>
      <c r="M37" s="164"/>
      <c r="N37" s="593"/>
      <c r="O37" s="164"/>
      <c r="P37" s="141"/>
      <c r="Q37" s="164"/>
      <c r="R37" s="164"/>
      <c r="U37" s="160"/>
    </row>
    <row r="38" spans="1:21" ht="16.5">
      <c r="A38" s="160"/>
      <c r="B38" s="186" t="s">
        <v>180</v>
      </c>
      <c r="C38" s="186"/>
      <c r="D38" s="186"/>
      <c r="E38" s="186"/>
      <c r="F38" s="186"/>
      <c r="G38" s="21"/>
      <c r="H38" s="880" t="s">
        <v>177</v>
      </c>
      <c r="I38" s="880"/>
      <c r="J38" s="163"/>
      <c r="K38" s="161"/>
      <c r="L38" s="164"/>
      <c r="M38" s="164"/>
      <c r="N38" s="593"/>
      <c r="O38" s="164"/>
      <c r="P38" s="141"/>
      <c r="Q38" s="164"/>
      <c r="R38" s="164"/>
      <c r="U38" s="160"/>
    </row>
    <row r="39" spans="1:21" ht="16.5">
      <c r="A39" s="160"/>
      <c r="B39" s="187" t="s">
        <v>181</v>
      </c>
      <c r="C39" s="187"/>
      <c r="D39" s="187"/>
      <c r="E39" s="187"/>
      <c r="F39" s="187"/>
      <c r="G39" s="2"/>
      <c r="H39" s="881" t="s">
        <v>178</v>
      </c>
      <c r="I39" s="881"/>
      <c r="J39" s="163"/>
      <c r="K39" s="161"/>
      <c r="L39" s="164"/>
      <c r="M39" s="164"/>
      <c r="N39" s="593"/>
      <c r="O39" s="164"/>
      <c r="P39" s="164"/>
      <c r="Q39" s="164"/>
      <c r="R39" s="164"/>
      <c r="U39" s="160"/>
    </row>
    <row r="40" spans="1:21">
      <c r="A40" s="160"/>
      <c r="B40" s="160"/>
      <c r="C40" s="161"/>
      <c r="D40" s="162"/>
      <c r="E40" s="166"/>
      <c r="F40" s="166"/>
      <c r="H40" s="119"/>
      <c r="I40" s="119"/>
      <c r="J40" s="119"/>
      <c r="K40" s="119"/>
      <c r="L40" s="164"/>
      <c r="M40" s="164"/>
      <c r="N40" s="593"/>
      <c r="O40" s="164"/>
      <c r="P40" s="164"/>
      <c r="Q40" s="164"/>
      <c r="R40" s="164"/>
      <c r="U40" s="160"/>
    </row>
    <row r="41" spans="1:21">
      <c r="A41" s="160"/>
      <c r="B41" s="160"/>
      <c r="C41" s="161"/>
      <c r="D41" s="162"/>
      <c r="E41" s="166"/>
      <c r="F41" s="166"/>
      <c r="H41" s="119"/>
      <c r="I41" s="119"/>
      <c r="J41" s="119"/>
      <c r="K41" s="119"/>
      <c r="L41" s="164"/>
      <c r="M41" s="164"/>
      <c r="N41" s="593"/>
      <c r="O41" s="164"/>
      <c r="P41" s="164"/>
      <c r="Q41" s="164"/>
      <c r="R41" s="164"/>
      <c r="U41" s="160"/>
    </row>
    <row r="42" spans="1:21">
      <c r="A42" s="160"/>
      <c r="B42" s="160"/>
      <c r="C42" s="161"/>
      <c r="D42" s="162"/>
      <c r="E42" s="166"/>
      <c r="F42" s="166"/>
      <c r="H42" s="119"/>
      <c r="I42" s="119"/>
      <c r="J42" s="119"/>
      <c r="K42" s="119"/>
      <c r="L42" s="164"/>
      <c r="M42" s="164"/>
      <c r="N42" s="593"/>
      <c r="O42" s="164"/>
      <c r="P42" s="164"/>
      <c r="Q42" s="164"/>
      <c r="R42" s="164"/>
      <c r="U42" s="160"/>
    </row>
    <row r="43" spans="1:21">
      <c r="A43" s="160"/>
      <c r="B43" s="160"/>
      <c r="C43" s="161"/>
      <c r="D43" s="162"/>
      <c r="E43" s="166"/>
      <c r="F43" s="161"/>
      <c r="G43" s="165"/>
      <c r="I43" s="167"/>
      <c r="J43" s="167"/>
    </row>
    <row r="44" spans="1:21">
      <c r="A44" s="160"/>
      <c r="B44" s="160"/>
      <c r="C44" s="161"/>
      <c r="D44" s="162"/>
      <c r="E44" s="166"/>
      <c r="F44" s="161"/>
      <c r="G44" s="165"/>
      <c r="I44" s="167"/>
      <c r="J44" s="167"/>
    </row>
    <row r="45" spans="1:21">
      <c r="H45" s="119"/>
      <c r="I45" s="119"/>
      <c r="J45" s="119"/>
    </row>
    <row r="46" spans="1:21">
      <c r="H46" s="119"/>
      <c r="I46" s="119"/>
      <c r="J46" s="119"/>
    </row>
    <row r="47" spans="1:21" ht="15.75">
      <c r="B47" s="882" t="s">
        <v>167</v>
      </c>
      <c r="C47" s="882" t="s">
        <v>216</v>
      </c>
      <c r="D47" s="883" t="s">
        <v>217</v>
      </c>
      <c r="E47" s="883"/>
      <c r="F47" s="883"/>
      <c r="H47" s="119"/>
      <c r="I47" s="119"/>
      <c r="J47" s="119"/>
    </row>
    <row r="48" spans="1:21" ht="15.75">
      <c r="B48" s="882"/>
      <c r="C48" s="882"/>
      <c r="D48" s="169" t="s">
        <v>218</v>
      </c>
      <c r="E48" s="169" t="s">
        <v>219</v>
      </c>
      <c r="F48" s="169" t="s">
        <v>213</v>
      </c>
      <c r="H48" s="119"/>
      <c r="I48" s="119"/>
      <c r="J48" s="119"/>
    </row>
    <row r="49" spans="2:10" ht="15.75">
      <c r="B49" s="884" t="s">
        <v>194</v>
      </c>
      <c r="C49" s="884"/>
      <c r="D49" s="170">
        <v>141873505</v>
      </c>
      <c r="E49" s="171"/>
      <c r="F49" s="171"/>
    </row>
    <row r="50" spans="2:10">
      <c r="B50" s="172">
        <v>1</v>
      </c>
      <c r="C50" s="173" t="s">
        <v>197</v>
      </c>
      <c r="D50" s="174">
        <v>91404000</v>
      </c>
      <c r="E50" s="175">
        <v>49282200</v>
      </c>
      <c r="F50" s="176">
        <f>D49+D50-E50</f>
        <v>183995305</v>
      </c>
      <c r="H50" s="119"/>
      <c r="I50" s="119"/>
      <c r="J50" s="119"/>
    </row>
    <row r="51" spans="2:10">
      <c r="B51" s="172">
        <v>2</v>
      </c>
      <c r="C51" s="173" t="s">
        <v>198</v>
      </c>
      <c r="D51" s="177">
        <v>90558000</v>
      </c>
      <c r="E51" s="175">
        <v>140577884</v>
      </c>
      <c r="F51" s="176">
        <f>F50+D51-E51</f>
        <v>133975421</v>
      </c>
      <c r="H51" s="119"/>
      <c r="I51" s="119"/>
      <c r="J51" s="119"/>
    </row>
    <row r="52" spans="2:10">
      <c r="B52" s="172">
        <v>3</v>
      </c>
      <c r="C52" s="173" t="s">
        <v>199</v>
      </c>
      <c r="D52" s="174">
        <v>90354000</v>
      </c>
      <c r="E52" s="175">
        <v>94213871.00000003</v>
      </c>
      <c r="F52" s="176">
        <f t="shared" ref="F52:F61" si="7">F51+D52-E52</f>
        <v>130115549.99999997</v>
      </c>
      <c r="H52" s="119"/>
      <c r="I52" s="119"/>
      <c r="J52" s="119"/>
    </row>
    <row r="53" spans="2:10">
      <c r="B53" s="172">
        <v>4</v>
      </c>
      <c r="C53" s="173" t="s">
        <v>200</v>
      </c>
      <c r="D53" s="177">
        <v>86767200</v>
      </c>
      <c r="E53" s="175">
        <v>99865312</v>
      </c>
      <c r="F53" s="176">
        <f t="shared" si="7"/>
        <v>117017437.99999997</v>
      </c>
      <c r="H53" s="119"/>
      <c r="I53" s="119"/>
      <c r="J53" s="119"/>
    </row>
    <row r="54" spans="2:10">
      <c r="B54" s="172">
        <v>5</v>
      </c>
      <c r="C54" s="173" t="s">
        <v>201</v>
      </c>
      <c r="D54" s="177">
        <v>87001500</v>
      </c>
      <c r="E54" s="175">
        <v>145265452</v>
      </c>
      <c r="F54" s="176">
        <f t="shared" si="7"/>
        <v>58753485.99999997</v>
      </c>
      <c r="H54" s="119"/>
      <c r="I54" s="119"/>
      <c r="J54" s="119"/>
    </row>
    <row r="55" spans="2:10">
      <c r="B55" s="172">
        <v>6</v>
      </c>
      <c r="C55" s="173" t="s">
        <v>202</v>
      </c>
      <c r="D55" s="177">
        <f>87101700</f>
        <v>87101700</v>
      </c>
      <c r="E55" s="175">
        <v>53028700</v>
      </c>
      <c r="F55" s="176">
        <f t="shared" si="7"/>
        <v>92826485.99999997</v>
      </c>
      <c r="H55" s="119"/>
      <c r="I55" s="119"/>
      <c r="J55" s="119"/>
    </row>
    <row r="56" spans="2:10">
      <c r="B56" s="172">
        <v>7</v>
      </c>
      <c r="C56" s="173" t="s">
        <v>203</v>
      </c>
      <c r="D56" s="177">
        <v>91412400</v>
      </c>
      <c r="E56" s="177">
        <v>53088820</v>
      </c>
      <c r="F56" s="176">
        <f t="shared" si="7"/>
        <v>131150065.99999997</v>
      </c>
      <c r="H56" s="119"/>
      <c r="I56" s="119"/>
      <c r="J56" s="119"/>
    </row>
    <row r="57" spans="2:10">
      <c r="B57" s="172">
        <v>8</v>
      </c>
      <c r="C57" s="173" t="s">
        <v>204</v>
      </c>
      <c r="D57" s="177">
        <v>91050000</v>
      </c>
      <c r="E57" s="177">
        <v>93507947</v>
      </c>
      <c r="F57" s="176">
        <f t="shared" si="7"/>
        <v>128692118.99999997</v>
      </c>
    </row>
    <row r="58" spans="2:10">
      <c r="B58" s="172">
        <v>9</v>
      </c>
      <c r="C58" s="173" t="s">
        <v>205</v>
      </c>
      <c r="D58" s="177">
        <v>91536000</v>
      </c>
      <c r="E58" s="177">
        <v>88821300</v>
      </c>
      <c r="F58" s="176">
        <f t="shared" si="7"/>
        <v>131406818.99999997</v>
      </c>
    </row>
    <row r="59" spans="2:10">
      <c r="B59" s="172">
        <v>10</v>
      </c>
      <c r="C59" s="173" t="s">
        <v>206</v>
      </c>
      <c r="D59" s="175">
        <v>91314000</v>
      </c>
      <c r="E59" s="175">
        <v>68297100</v>
      </c>
      <c r="F59" s="176">
        <f t="shared" si="7"/>
        <v>154423718.99999997</v>
      </c>
      <c r="I59" s="178">
        <v>1081816800</v>
      </c>
      <c r="J59" s="179">
        <f>D62-I59</f>
        <v>0</v>
      </c>
    </row>
    <row r="60" spans="2:10">
      <c r="B60" s="172">
        <v>11</v>
      </c>
      <c r="C60" s="173" t="s">
        <v>207</v>
      </c>
      <c r="D60" s="177">
        <f>90427000+5000</f>
        <v>90432000</v>
      </c>
      <c r="E60" s="175">
        <v>75129700</v>
      </c>
      <c r="F60" s="176">
        <f t="shared" si="7"/>
        <v>169726018.99999997</v>
      </c>
      <c r="I60" s="178"/>
      <c r="J60" s="180"/>
    </row>
    <row r="61" spans="2:10">
      <c r="B61" s="172">
        <v>12</v>
      </c>
      <c r="C61" s="173" t="s">
        <v>208</v>
      </c>
      <c r="D61" s="177">
        <v>92886000</v>
      </c>
      <c r="E61" s="175">
        <v>236595285</v>
      </c>
      <c r="F61" s="176">
        <f t="shared" si="7"/>
        <v>26016733.99999997</v>
      </c>
      <c r="I61" s="178">
        <v>1197673571</v>
      </c>
      <c r="J61" s="179">
        <f>E64-I61</f>
        <v>0</v>
      </c>
    </row>
    <row r="62" spans="2:10" ht="15.75">
      <c r="B62" s="878" t="s">
        <v>165</v>
      </c>
      <c r="C62" s="878"/>
      <c r="D62" s="181">
        <f>SUM(D50:D61)</f>
        <v>1081816800</v>
      </c>
      <c r="E62" s="181">
        <f>SUM(E50:E61)</f>
        <v>1197673571</v>
      </c>
      <c r="F62" s="182"/>
      <c r="I62" s="178"/>
      <c r="J62" s="180"/>
    </row>
    <row r="63" spans="2:10" ht="15.75">
      <c r="B63" s="884" t="s">
        <v>194</v>
      </c>
      <c r="C63" s="884"/>
      <c r="D63" s="170">
        <v>141873505</v>
      </c>
      <c r="E63" s="171"/>
      <c r="F63" s="171"/>
      <c r="I63" s="178"/>
      <c r="J63" s="180">
        <v>26016734</v>
      </c>
    </row>
    <row r="64" spans="2:10" ht="15.75">
      <c r="B64" s="878" t="s">
        <v>135</v>
      </c>
      <c r="C64" s="878"/>
      <c r="D64" s="181">
        <f>D62+D63</f>
        <v>1223690305</v>
      </c>
      <c r="E64" s="181">
        <f>E62</f>
        <v>1197673571</v>
      </c>
      <c r="F64" s="181">
        <f>D64-E64</f>
        <v>26016734</v>
      </c>
      <c r="H64" s="119"/>
      <c r="I64" s="119"/>
      <c r="J64" s="119"/>
    </row>
  </sheetData>
  <mergeCells count="26">
    <mergeCell ref="B64:C64"/>
    <mergeCell ref="H35:I35"/>
    <mergeCell ref="H38:I38"/>
    <mergeCell ref="H39:I39"/>
    <mergeCell ref="B47:B48"/>
    <mergeCell ref="C47:C48"/>
    <mergeCell ref="D47:F47"/>
    <mergeCell ref="B49:C49"/>
    <mergeCell ref="B62:C62"/>
    <mergeCell ref="B63:C63"/>
    <mergeCell ref="I7:I8"/>
    <mergeCell ref="J7:J8"/>
    <mergeCell ref="H33:I33"/>
    <mergeCell ref="I28:J28"/>
    <mergeCell ref="I31:J31"/>
    <mergeCell ref="A1:J1"/>
    <mergeCell ref="A2:J2"/>
    <mergeCell ref="A3:J3"/>
    <mergeCell ref="A4:J4"/>
    <mergeCell ref="A5:J5"/>
    <mergeCell ref="A7:A8"/>
    <mergeCell ref="B7:B8"/>
    <mergeCell ref="C7:C8"/>
    <mergeCell ref="D7:D8"/>
    <mergeCell ref="F7:H7"/>
    <mergeCell ref="E7:E8"/>
  </mergeCells>
  <pageMargins left="0.95" right="0.2" top="0.5" bottom="0.25" header="0.3" footer="0.3"/>
  <pageSetup paperSize="14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T122"/>
  <sheetViews>
    <sheetView workbookViewId="0">
      <selection activeCell="C2" sqref="C2:N2"/>
    </sheetView>
  </sheetViews>
  <sheetFormatPr defaultRowHeight="15.75"/>
  <cols>
    <col min="1" max="1" width="4.42578125" style="189" customWidth="1"/>
    <col min="2" max="2" width="3.5703125" style="189" customWidth="1"/>
    <col min="3" max="3" width="13.7109375" style="189" customWidth="1"/>
    <col min="4" max="4" width="23" style="189" customWidth="1"/>
    <col min="5" max="5" width="6.7109375" style="189" bestFit="1" customWidth="1"/>
    <col min="6" max="6" width="5.5703125" style="189" bestFit="1" customWidth="1"/>
    <col min="7" max="7" width="8.85546875" style="189" bestFit="1" customWidth="1"/>
    <col min="8" max="8" width="3.85546875" style="189" bestFit="1" customWidth="1"/>
    <col min="9" max="9" width="31.42578125" style="189" customWidth="1"/>
    <col min="10" max="10" width="9.140625" style="244" bestFit="1" customWidth="1"/>
    <col min="11" max="11" width="14" style="254" bestFit="1" customWidth="1"/>
    <col min="12" max="12" width="14" style="255" bestFit="1" customWidth="1"/>
    <col min="13" max="13" width="9" style="189" customWidth="1"/>
    <col min="14" max="14" width="4.28515625" style="189" customWidth="1"/>
    <col min="15" max="15" width="6.5703125" style="189" customWidth="1"/>
    <col min="16" max="16" width="9.140625" style="191"/>
    <col min="17" max="17" width="10.85546875" style="191" bestFit="1" customWidth="1"/>
    <col min="18" max="18" width="30" style="191" customWidth="1"/>
    <col min="19" max="19" width="14.7109375" style="192" customWidth="1"/>
    <col min="20" max="22" width="10.42578125" style="192" bestFit="1" customWidth="1"/>
    <col min="23" max="30" width="3.140625" style="192" customWidth="1"/>
    <col min="31" max="31" width="10.42578125" style="192" bestFit="1" customWidth="1"/>
    <col min="32" max="33" width="10.7109375" style="191" bestFit="1" customWidth="1"/>
    <col min="34" max="34" width="9.28515625" style="191" bestFit="1" customWidth="1"/>
    <col min="35" max="46" width="9.140625" style="191"/>
    <col min="47" max="16384" width="9.140625" style="193"/>
  </cols>
  <sheetData>
    <row r="1" spans="1:46" ht="20.25">
      <c r="C1" s="843" t="s">
        <v>221</v>
      </c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3"/>
      <c r="O1" s="374"/>
    </row>
    <row r="2" spans="1:46" ht="20.25">
      <c r="C2" s="843" t="s">
        <v>665</v>
      </c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374"/>
    </row>
    <row r="3" spans="1:46">
      <c r="A3" s="844" t="s">
        <v>279</v>
      </c>
      <c r="B3" s="844"/>
      <c r="C3" s="844"/>
      <c r="D3" s="844"/>
      <c r="E3" s="194"/>
      <c r="F3" s="194"/>
      <c r="G3" s="194"/>
      <c r="H3" s="194"/>
      <c r="I3" s="194"/>
      <c r="J3" s="195"/>
      <c r="K3" s="196"/>
      <c r="L3" s="197"/>
      <c r="M3" s="194"/>
      <c r="N3" s="194"/>
      <c r="O3" s="194"/>
    </row>
    <row r="4" spans="1:46">
      <c r="A4" s="845" t="s">
        <v>85</v>
      </c>
      <c r="B4" s="846"/>
      <c r="C4" s="849" t="s">
        <v>222</v>
      </c>
      <c r="D4" s="850"/>
      <c r="E4" s="853" t="s">
        <v>7</v>
      </c>
      <c r="F4" s="853"/>
      <c r="G4" s="854" t="s">
        <v>221</v>
      </c>
      <c r="H4" s="855"/>
      <c r="I4" s="855"/>
      <c r="J4" s="855"/>
      <c r="K4" s="855"/>
      <c r="L4" s="855"/>
      <c r="M4" s="856"/>
      <c r="N4" s="853" t="s">
        <v>223</v>
      </c>
      <c r="O4" s="191"/>
    </row>
    <row r="5" spans="1:46" ht="48.75" customHeight="1">
      <c r="A5" s="847"/>
      <c r="B5" s="848"/>
      <c r="C5" s="851"/>
      <c r="D5" s="852"/>
      <c r="E5" s="198" t="s">
        <v>224</v>
      </c>
      <c r="F5" s="198" t="s">
        <v>225</v>
      </c>
      <c r="G5" s="857" t="s">
        <v>226</v>
      </c>
      <c r="H5" s="858"/>
      <c r="I5" s="859"/>
      <c r="J5" s="198" t="s">
        <v>227</v>
      </c>
      <c r="K5" s="199" t="s">
        <v>228</v>
      </c>
      <c r="L5" s="200" t="s">
        <v>229</v>
      </c>
      <c r="M5" s="198" t="s">
        <v>230</v>
      </c>
      <c r="N5" s="853"/>
      <c r="O5" s="191"/>
    </row>
    <row r="6" spans="1:46" s="207" customFormat="1">
      <c r="A6" s="838">
        <v>1</v>
      </c>
      <c r="B6" s="838"/>
      <c r="C6" s="838">
        <v>2</v>
      </c>
      <c r="D6" s="838"/>
      <c r="E6" s="201">
        <v>3</v>
      </c>
      <c r="F6" s="201">
        <v>4</v>
      </c>
      <c r="G6" s="839">
        <v>5</v>
      </c>
      <c r="H6" s="840"/>
      <c r="I6" s="841"/>
      <c r="J6" s="201">
        <v>6</v>
      </c>
      <c r="K6" s="201">
        <v>7</v>
      </c>
      <c r="L6" s="202">
        <v>8</v>
      </c>
      <c r="M6" s="201">
        <v>9</v>
      </c>
      <c r="N6" s="203">
        <v>10</v>
      </c>
      <c r="O6" s="204"/>
      <c r="P6" s="205"/>
      <c r="Q6" s="205"/>
      <c r="R6" s="205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</row>
    <row r="7" spans="1:46" ht="75.75" customHeight="1">
      <c r="A7" s="208" t="s">
        <v>231</v>
      </c>
      <c r="B7" s="208" t="s">
        <v>232</v>
      </c>
      <c r="C7" s="209" t="s">
        <v>684</v>
      </c>
      <c r="D7" s="210" t="s">
        <v>280</v>
      </c>
      <c r="E7" s="211" t="e">
        <f>#REF!</f>
        <v>#REF!</v>
      </c>
      <c r="F7" s="212" t="e">
        <f>M8</f>
        <v>#REF!</v>
      </c>
      <c r="G7" s="213"/>
      <c r="H7" s="213"/>
      <c r="I7" s="214"/>
      <c r="J7" s="215"/>
      <c r="K7" s="216"/>
      <c r="L7" s="216"/>
      <c r="M7" s="217"/>
      <c r="N7" s="214"/>
      <c r="O7" s="218"/>
    </row>
    <row r="8" spans="1:46" ht="16.5" customHeight="1">
      <c r="A8" s="219"/>
      <c r="B8" s="219"/>
      <c r="C8" s="220"/>
      <c r="D8" s="213"/>
      <c r="E8" s="213"/>
      <c r="F8" s="213"/>
      <c r="G8" s="213" t="s">
        <v>233</v>
      </c>
      <c r="H8" s="221" t="s">
        <v>234</v>
      </c>
      <c r="I8" s="222" t="s">
        <v>235</v>
      </c>
      <c r="J8" s="215" t="s">
        <v>236</v>
      </c>
      <c r="K8" s="216" t="e">
        <f>#REF!</f>
        <v>#REF!</v>
      </c>
      <c r="L8" s="216" t="e">
        <f>#REF!</f>
        <v>#REF!</v>
      </c>
      <c r="M8" s="223" t="e">
        <f>L8/K8*100</f>
        <v>#REF!</v>
      </c>
      <c r="N8" s="222"/>
      <c r="O8" s="224"/>
      <c r="R8" s="225" t="e">
        <f>L8-'[1]PKK tri B (1)'!L8</f>
        <v>#REF!</v>
      </c>
    </row>
    <row r="9" spans="1:46" ht="21" customHeight="1">
      <c r="A9" s="219"/>
      <c r="B9" s="219"/>
      <c r="C9" s="220"/>
      <c r="D9" s="213"/>
      <c r="E9" s="213"/>
      <c r="F9" s="213"/>
      <c r="G9" s="213"/>
      <c r="H9" s="221" t="s">
        <v>237</v>
      </c>
      <c r="I9" s="226" t="s">
        <v>238</v>
      </c>
      <c r="J9" s="227" t="s">
        <v>239</v>
      </c>
      <c r="K9" s="228">
        <v>29</v>
      </c>
      <c r="L9" s="228">
        <v>28</v>
      </c>
      <c r="M9" s="223">
        <f>L9/K9*100</f>
        <v>96.551724137931032</v>
      </c>
      <c r="N9" s="222"/>
      <c r="O9" s="224"/>
      <c r="Q9" s="225" t="e">
        <f>#REF!-'[1]PKK tri new'!#REF!</f>
        <v>#REF!</v>
      </c>
    </row>
    <row r="10" spans="1:46" ht="16.5" customHeight="1">
      <c r="A10" s="219"/>
      <c r="B10" s="219"/>
      <c r="C10" s="220"/>
      <c r="D10" s="213"/>
      <c r="E10" s="213"/>
      <c r="F10" s="213"/>
      <c r="G10" s="213"/>
      <c r="H10" s="221" t="s">
        <v>240</v>
      </c>
      <c r="I10" s="226" t="s">
        <v>241</v>
      </c>
      <c r="J10" s="229" t="s">
        <v>242</v>
      </c>
      <c r="K10" s="228">
        <v>12</v>
      </c>
      <c r="L10" s="228">
        <v>12</v>
      </c>
      <c r="M10" s="223">
        <f>L10/K10*100</f>
        <v>100</v>
      </c>
      <c r="N10" s="222"/>
      <c r="O10" s="224"/>
    </row>
    <row r="11" spans="1:46" ht="16.5" customHeight="1">
      <c r="A11" s="219"/>
      <c r="B11" s="219"/>
      <c r="C11" s="220"/>
      <c r="D11" s="213"/>
      <c r="E11" s="213"/>
      <c r="F11" s="213"/>
      <c r="G11" s="213"/>
      <c r="H11" s="221" t="s">
        <v>243</v>
      </c>
      <c r="I11" s="226" t="s">
        <v>244</v>
      </c>
      <c r="J11" s="229" t="s">
        <v>245</v>
      </c>
      <c r="K11" s="228">
        <v>5</v>
      </c>
      <c r="L11" s="228">
        <v>5</v>
      </c>
      <c r="M11" s="223">
        <f>L11/K11*100</f>
        <v>100</v>
      </c>
      <c r="N11" s="222"/>
      <c r="O11" s="224"/>
    </row>
    <row r="12" spans="1:46" ht="16.5" customHeight="1">
      <c r="A12" s="219"/>
      <c r="B12" s="219"/>
      <c r="C12" s="220"/>
      <c r="D12" s="213"/>
      <c r="E12" s="213"/>
      <c r="F12" s="213"/>
      <c r="G12" s="213"/>
      <c r="H12" s="221"/>
      <c r="I12" s="226"/>
      <c r="J12" s="229"/>
      <c r="K12" s="228"/>
      <c r="L12" s="765"/>
      <c r="M12" s="223"/>
      <c r="N12" s="222"/>
      <c r="O12" s="224"/>
      <c r="Q12" s="230"/>
      <c r="R12" s="230"/>
    </row>
    <row r="13" spans="1:46" s="267" customFormat="1" ht="39" customHeight="1">
      <c r="A13" s="269"/>
      <c r="B13" s="269"/>
      <c r="C13" s="270"/>
      <c r="D13" s="271"/>
      <c r="E13" s="271"/>
      <c r="F13" s="271"/>
      <c r="G13" s="271" t="s">
        <v>246</v>
      </c>
      <c r="H13" s="272">
        <v>1</v>
      </c>
      <c r="I13" s="555" t="s">
        <v>429</v>
      </c>
      <c r="J13" s="273" t="s">
        <v>239</v>
      </c>
      <c r="K13" s="274">
        <f>L14</f>
        <v>23202</v>
      </c>
      <c r="L13" s="274">
        <f>'PKK Tri3'!L13+3884</f>
        <v>17819</v>
      </c>
      <c r="M13" s="275">
        <f>L13/K13*100</f>
        <v>76.79941384363417</v>
      </c>
      <c r="N13" s="276"/>
      <c r="O13" s="885" t="s">
        <v>410</v>
      </c>
      <c r="P13" s="886"/>
      <c r="Q13" s="886"/>
      <c r="R13" s="88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</row>
    <row r="14" spans="1:46" ht="25.5" customHeight="1">
      <c r="A14" s="219"/>
      <c r="B14" s="219"/>
      <c r="C14" s="220"/>
      <c r="D14" s="213"/>
      <c r="E14" s="213"/>
      <c r="F14" s="213"/>
      <c r="G14" s="213" t="s">
        <v>247</v>
      </c>
      <c r="H14" s="229"/>
      <c r="I14" s="555" t="s">
        <v>430</v>
      </c>
      <c r="J14" s="233" t="s">
        <v>248</v>
      </c>
      <c r="K14" s="232" t="e">
        <f>K8/12/6000</f>
        <v>#REF!</v>
      </c>
      <c r="L14" s="282">
        <v>23202</v>
      </c>
      <c r="M14" s="223" t="e">
        <f>L14/K14*100</f>
        <v>#REF!</v>
      </c>
      <c r="N14" s="222"/>
      <c r="O14" s="224"/>
      <c r="P14" s="789">
        <f>L13-'PKK Tri3'!L13</f>
        <v>3884</v>
      </c>
      <c r="Q14" s="842"/>
      <c r="R14" s="234"/>
      <c r="S14" s="235"/>
      <c r="U14" s="192">
        <f>87474000/6000</f>
        <v>14579</v>
      </c>
    </row>
    <row r="15" spans="1:46" ht="15" customHeight="1">
      <c r="A15" s="236"/>
      <c r="B15" s="236"/>
      <c r="C15" s="237"/>
      <c r="D15" s="238"/>
      <c r="E15" s="238"/>
      <c r="F15" s="238"/>
      <c r="G15" s="238"/>
      <c r="H15" s="239"/>
      <c r="I15" s="240"/>
      <c r="J15" s="241"/>
      <c r="K15" s="242"/>
      <c r="L15" s="242"/>
      <c r="M15" s="243"/>
      <c r="N15" s="224"/>
      <c r="O15" s="224"/>
      <c r="P15" s="230"/>
      <c r="Q15" s="842"/>
      <c r="R15" s="234"/>
      <c r="S15" s="235"/>
    </row>
    <row r="16" spans="1:46">
      <c r="D16" s="283"/>
      <c r="K16" s="863" t="s">
        <v>628</v>
      </c>
      <c r="L16" s="863"/>
      <c r="M16" s="863"/>
      <c r="N16" s="863"/>
      <c r="P16" s="230"/>
      <c r="Q16" s="842"/>
      <c r="R16" s="230"/>
    </row>
    <row r="17" spans="1:46">
      <c r="D17" s="541" t="s">
        <v>182</v>
      </c>
      <c r="K17" s="863" t="s">
        <v>79</v>
      </c>
      <c r="L17" s="863"/>
      <c r="M17" s="863"/>
      <c r="N17" s="863"/>
      <c r="O17" s="373"/>
      <c r="P17" s="230"/>
      <c r="Q17" s="842"/>
      <c r="R17" s="230"/>
    </row>
    <row r="18" spans="1:46">
      <c r="C18" s="367"/>
      <c r="D18" s="541" t="s">
        <v>183</v>
      </c>
      <c r="E18" s="367"/>
      <c r="F18" s="367"/>
      <c r="G18" s="367"/>
      <c r="K18" s="247"/>
      <c r="L18" s="247"/>
      <c r="M18" s="247"/>
      <c r="N18" s="247"/>
      <c r="O18" s="373"/>
      <c r="P18" s="230"/>
      <c r="Q18" s="836" t="s">
        <v>249</v>
      </c>
    </row>
    <row r="19" spans="1:46">
      <c r="C19" s="367"/>
      <c r="D19" s="541"/>
      <c r="E19" s="367"/>
      <c r="F19" s="367"/>
      <c r="G19" s="367"/>
      <c r="K19" s="247"/>
      <c r="L19" s="247"/>
      <c r="M19" s="247"/>
      <c r="N19" s="247"/>
      <c r="O19" s="247"/>
      <c r="Q19" s="836"/>
    </row>
    <row r="20" spans="1:46">
      <c r="C20" s="367"/>
      <c r="D20" s="368"/>
      <c r="E20" s="367"/>
      <c r="F20" s="367"/>
      <c r="G20" s="367"/>
      <c r="I20" s="248"/>
      <c r="J20" s="375"/>
      <c r="K20" s="250"/>
      <c r="L20" s="250"/>
      <c r="M20" s="250"/>
      <c r="N20" s="250"/>
      <c r="O20" s="247"/>
      <c r="Q20" s="836"/>
    </row>
    <row r="21" spans="1:46" s="248" customFormat="1">
      <c r="C21" s="369"/>
      <c r="D21" s="370" t="s">
        <v>180</v>
      </c>
      <c r="E21" s="369"/>
      <c r="F21" s="369"/>
      <c r="G21" s="369"/>
      <c r="J21" s="375"/>
      <c r="K21" s="864" t="s">
        <v>177</v>
      </c>
      <c r="L21" s="864"/>
      <c r="M21" s="864"/>
      <c r="N21" s="864"/>
      <c r="O21" s="250"/>
      <c r="P21" s="251"/>
      <c r="Q21" s="836"/>
      <c r="R21" s="251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</row>
    <row r="22" spans="1:46" s="248" customFormat="1">
      <c r="A22" s="189"/>
      <c r="B22" s="189"/>
      <c r="C22" s="367"/>
      <c r="D22" s="371" t="s">
        <v>181</v>
      </c>
      <c r="E22" s="367"/>
      <c r="F22" s="367"/>
      <c r="G22" s="367"/>
      <c r="I22" s="189"/>
      <c r="J22" s="244"/>
      <c r="K22" s="865" t="s">
        <v>250</v>
      </c>
      <c r="L22" s="865"/>
      <c r="M22" s="865"/>
      <c r="N22" s="865"/>
      <c r="O22" s="253"/>
      <c r="P22" s="251"/>
      <c r="Q22" s="836"/>
      <c r="R22" s="251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</row>
    <row r="23" spans="1:46" s="189" customFormat="1">
      <c r="C23" s="367"/>
      <c r="D23" s="367"/>
      <c r="E23" s="367"/>
      <c r="F23" s="367"/>
      <c r="G23" s="367"/>
      <c r="J23" s="244"/>
      <c r="K23" s="254"/>
      <c r="L23" s="255"/>
      <c r="O23" s="376"/>
      <c r="P23" s="256"/>
      <c r="Q23" s="836"/>
      <c r="R23" s="256"/>
      <c r="S23" s="257"/>
      <c r="T23" s="257"/>
      <c r="U23" s="257"/>
      <c r="V23" s="257"/>
      <c r="W23" s="257"/>
      <c r="X23" s="257"/>
      <c r="Y23" s="257"/>
      <c r="Z23" s="257"/>
      <c r="AA23" s="257"/>
      <c r="AB23" s="257"/>
      <c r="AC23" s="257"/>
      <c r="AD23" s="257"/>
      <c r="AE23" s="257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</row>
    <row r="24" spans="1:46" s="189" customFormat="1">
      <c r="C24" s="367"/>
      <c r="D24" s="367"/>
      <c r="E24" s="367"/>
      <c r="F24" s="367"/>
      <c r="G24" s="367"/>
      <c r="J24" s="244"/>
      <c r="K24" s="254"/>
      <c r="L24" s="255"/>
      <c r="P24" s="256"/>
      <c r="Q24" s="836"/>
      <c r="R24" s="256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</row>
    <row r="25" spans="1:46" ht="51">
      <c r="Q25" s="836"/>
      <c r="R25" s="372"/>
      <c r="S25" s="259"/>
      <c r="T25" s="259" t="s">
        <v>251</v>
      </c>
      <c r="U25" s="259" t="s">
        <v>252</v>
      </c>
      <c r="V25" s="259" t="s">
        <v>253</v>
      </c>
      <c r="W25" s="259" t="s">
        <v>254</v>
      </c>
      <c r="X25" s="259" t="s">
        <v>201</v>
      </c>
      <c r="Y25" s="259" t="s">
        <v>255</v>
      </c>
      <c r="Z25" s="259" t="s">
        <v>256</v>
      </c>
      <c r="AA25" s="259" t="s">
        <v>257</v>
      </c>
      <c r="AB25" s="259" t="s">
        <v>258</v>
      </c>
      <c r="AC25" s="259" t="s">
        <v>259</v>
      </c>
      <c r="AD25" s="259" t="s">
        <v>260</v>
      </c>
      <c r="AE25" s="259" t="s">
        <v>261</v>
      </c>
    </row>
    <row r="26" spans="1:46" ht="15" customHeight="1">
      <c r="I26" s="538">
        <v>99</v>
      </c>
      <c r="J26" s="539">
        <v>151</v>
      </c>
      <c r="K26" s="538">
        <v>158</v>
      </c>
      <c r="L26" s="540">
        <f>SUM(I26:K26)</f>
        <v>408</v>
      </c>
      <c r="Q26" s="836" t="s">
        <v>262</v>
      </c>
      <c r="T26" s="259"/>
      <c r="U26" s="259">
        <v>150000</v>
      </c>
      <c r="V26" s="259"/>
      <c r="W26" s="259"/>
      <c r="X26" s="259"/>
      <c r="Y26" s="259"/>
      <c r="Z26" s="259"/>
      <c r="AA26" s="259"/>
      <c r="AB26" s="259"/>
      <c r="AC26" s="259"/>
      <c r="AD26" s="259"/>
      <c r="AE26" s="259">
        <f t="shared" ref="AE26:AE31" si="0">SUM(T26:AD26)</f>
        <v>150000</v>
      </c>
      <c r="AG26" s="192">
        <v>374000</v>
      </c>
      <c r="AH26" s="191">
        <f>AG26/5500</f>
        <v>68</v>
      </c>
    </row>
    <row r="27" spans="1:46">
      <c r="I27" s="538">
        <v>78</v>
      </c>
      <c r="J27" s="539">
        <v>197</v>
      </c>
      <c r="K27" s="538">
        <v>168</v>
      </c>
      <c r="L27" s="540">
        <f>SUM(I27:K27)</f>
        <v>443</v>
      </c>
      <c r="Q27" s="836"/>
      <c r="T27" s="259"/>
      <c r="U27" s="259"/>
      <c r="V27" s="259">
        <v>600000</v>
      </c>
      <c r="W27" s="259"/>
      <c r="X27" s="259"/>
      <c r="Y27" s="259"/>
      <c r="Z27" s="259"/>
      <c r="AA27" s="259"/>
      <c r="AB27" s="259"/>
      <c r="AC27" s="259"/>
      <c r="AD27" s="259"/>
      <c r="AE27" s="259">
        <f t="shared" si="0"/>
        <v>600000</v>
      </c>
      <c r="AG27" s="192">
        <v>260000</v>
      </c>
    </row>
    <row r="28" spans="1:46">
      <c r="I28" s="538">
        <v>66</v>
      </c>
      <c r="J28" s="539">
        <v>158</v>
      </c>
      <c r="K28" s="538">
        <v>184</v>
      </c>
      <c r="L28" s="540">
        <f>SUM(I28:K28)</f>
        <v>408</v>
      </c>
      <c r="Q28" s="836"/>
      <c r="R28" s="260" t="s">
        <v>263</v>
      </c>
      <c r="S28" s="235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>
        <f t="shared" si="0"/>
        <v>0</v>
      </c>
      <c r="AG28" s="192">
        <v>165000</v>
      </c>
      <c r="AH28" s="191">
        <f>AG28/5500</f>
        <v>30</v>
      </c>
    </row>
    <row r="29" spans="1:46">
      <c r="I29" s="538"/>
      <c r="J29" s="539"/>
      <c r="K29" s="538"/>
      <c r="L29" s="540">
        <f>SUM(L26:L28)</f>
        <v>1259</v>
      </c>
      <c r="Q29" s="836"/>
      <c r="R29" s="260" t="s">
        <v>264</v>
      </c>
      <c r="S29" s="235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>
        <f t="shared" si="0"/>
        <v>0</v>
      </c>
    </row>
    <row r="30" spans="1:46">
      <c r="Q30" s="836"/>
      <c r="R30" s="260" t="s">
        <v>265</v>
      </c>
      <c r="S30" s="235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59">
        <f t="shared" si="0"/>
        <v>0</v>
      </c>
    </row>
    <row r="31" spans="1:46">
      <c r="Q31" s="836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>
        <f t="shared" si="0"/>
        <v>0</v>
      </c>
    </row>
    <row r="32" spans="1:46">
      <c r="Q32" s="836"/>
      <c r="R32" s="262"/>
      <c r="S32" s="263"/>
      <c r="T32" s="263">
        <f>SUM(T26:T31)</f>
        <v>0</v>
      </c>
      <c r="U32" s="263">
        <f t="shared" ref="U32:AE32" si="1">SUM(U26:U31)</f>
        <v>150000</v>
      </c>
      <c r="V32" s="263">
        <f t="shared" si="1"/>
        <v>600000</v>
      </c>
      <c r="W32" s="263">
        <f t="shared" si="1"/>
        <v>0</v>
      </c>
      <c r="X32" s="263">
        <f t="shared" si="1"/>
        <v>0</v>
      </c>
      <c r="Y32" s="263">
        <f t="shared" si="1"/>
        <v>0</v>
      </c>
      <c r="Z32" s="263">
        <f t="shared" si="1"/>
        <v>0</v>
      </c>
      <c r="AA32" s="263">
        <f t="shared" si="1"/>
        <v>0</v>
      </c>
      <c r="AB32" s="263">
        <f t="shared" si="1"/>
        <v>0</v>
      </c>
      <c r="AC32" s="263">
        <f t="shared" si="1"/>
        <v>0</v>
      </c>
      <c r="AD32" s="263">
        <f t="shared" si="1"/>
        <v>0</v>
      </c>
      <c r="AE32" s="264">
        <f t="shared" si="1"/>
        <v>750000</v>
      </c>
    </row>
    <row r="33" spans="1:46" s="267" customFormat="1">
      <c r="A33" s="189"/>
      <c r="B33" s="189"/>
      <c r="C33" s="189"/>
      <c r="D33" s="189"/>
      <c r="E33" s="189"/>
      <c r="F33" s="189"/>
      <c r="G33" s="189"/>
      <c r="H33" s="189"/>
      <c r="I33" s="189"/>
      <c r="J33" s="244"/>
      <c r="K33" s="254"/>
      <c r="L33" s="255"/>
      <c r="M33" s="189"/>
      <c r="N33" s="189"/>
      <c r="O33" s="189"/>
      <c r="P33" s="265"/>
      <c r="Q33" s="836"/>
      <c r="R33" s="265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265"/>
      <c r="AT33" s="265"/>
    </row>
    <row r="34" spans="1:46" ht="12.75" customHeight="1">
      <c r="Q34" s="836" t="s">
        <v>266</v>
      </c>
      <c r="R34" s="372"/>
      <c r="S34" s="259"/>
      <c r="T34" s="259" t="s">
        <v>251</v>
      </c>
      <c r="U34" s="259" t="s">
        <v>252</v>
      </c>
      <c r="V34" s="259" t="s">
        <v>253</v>
      </c>
      <c r="W34" s="259" t="s">
        <v>254</v>
      </c>
      <c r="X34" s="259" t="s">
        <v>201</v>
      </c>
      <c r="Y34" s="259" t="s">
        <v>255</v>
      </c>
      <c r="Z34" s="259" t="s">
        <v>256</v>
      </c>
      <c r="AA34" s="259" t="s">
        <v>257</v>
      </c>
      <c r="AB34" s="259" t="s">
        <v>258</v>
      </c>
      <c r="AC34" s="259" t="s">
        <v>259</v>
      </c>
      <c r="AD34" s="259" t="s">
        <v>260</v>
      </c>
      <c r="AE34" s="259" t="s">
        <v>261</v>
      </c>
    </row>
    <row r="35" spans="1:46">
      <c r="Q35" s="836"/>
      <c r="R35" s="372" t="s">
        <v>267</v>
      </c>
      <c r="S35" s="259">
        <v>540000</v>
      </c>
      <c r="T35" s="259">
        <f>10*5500</f>
        <v>55000</v>
      </c>
      <c r="U35" s="259"/>
      <c r="V35" s="259">
        <f>10*5500</f>
        <v>55000</v>
      </c>
      <c r="W35" s="259"/>
      <c r="X35" s="259"/>
      <c r="Y35" s="259"/>
      <c r="Z35" s="259"/>
      <c r="AA35" s="259"/>
      <c r="AB35" s="259"/>
      <c r="AC35" s="259"/>
      <c r="AD35" s="259"/>
      <c r="AE35" s="259">
        <f t="shared" ref="AE35:AE40" si="2">SUM(T35:AD35)</f>
        <v>110000</v>
      </c>
      <c r="AF35" s="225">
        <f>AE35+AE43+AE51+AE59+AE67+AE75+AE26</f>
        <v>799000</v>
      </c>
      <c r="AG35" s="225" t="e">
        <f>#REF!</f>
        <v>#REF!</v>
      </c>
      <c r="AH35" s="225" t="e">
        <f>AF35-AG35</f>
        <v>#REF!</v>
      </c>
    </row>
    <row r="36" spans="1:46">
      <c r="Q36" s="836"/>
      <c r="R36" s="372" t="s">
        <v>268</v>
      </c>
      <c r="S36" s="259">
        <v>90000</v>
      </c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>
        <f t="shared" si="2"/>
        <v>0</v>
      </c>
      <c r="AF36" s="225">
        <f>AE36+AE44+AE52+AE60+AE68+AE76+AE27</f>
        <v>600000</v>
      </c>
      <c r="AG36" s="225" t="e">
        <f>#REF!</f>
        <v>#REF!</v>
      </c>
      <c r="AH36" s="225" t="e">
        <f>AF36-AG36</f>
        <v>#REF!</v>
      </c>
    </row>
    <row r="37" spans="1:46">
      <c r="Q37" s="836"/>
      <c r="R37" s="372" t="s">
        <v>269</v>
      </c>
      <c r="S37" s="259">
        <v>3168000</v>
      </c>
      <c r="T37" s="259">
        <v>450000</v>
      </c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>
        <f t="shared" si="2"/>
        <v>450000</v>
      </c>
      <c r="AF37" s="225">
        <f>AE37+AE45+AE53+AE61+AE69+AE77</f>
        <v>4657500</v>
      </c>
      <c r="AG37" s="225" t="e">
        <f>#REF!</f>
        <v>#REF!</v>
      </c>
      <c r="AH37" s="225" t="e">
        <f>AF37-AG37</f>
        <v>#REF!</v>
      </c>
    </row>
    <row r="38" spans="1:46">
      <c r="Q38" s="836"/>
      <c r="R38" s="372" t="s">
        <v>270</v>
      </c>
      <c r="S38" s="259">
        <v>3000000</v>
      </c>
      <c r="T38" s="259">
        <v>500000</v>
      </c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>
        <f t="shared" si="2"/>
        <v>500000</v>
      </c>
      <c r="AF38" s="225">
        <f>AE38+AE46+AE54+AE62+AE70+AE78</f>
        <v>4000000</v>
      </c>
      <c r="AG38" s="225" t="e">
        <f>#REF!</f>
        <v>#REF!</v>
      </c>
      <c r="AH38" s="225" t="e">
        <f>AF38-AG38</f>
        <v>#REF!</v>
      </c>
    </row>
    <row r="39" spans="1:46" s="191" customFormat="1">
      <c r="A39" s="189"/>
      <c r="B39" s="189"/>
      <c r="C39" s="189"/>
      <c r="D39" s="189"/>
      <c r="E39" s="189"/>
      <c r="F39" s="189"/>
      <c r="G39" s="189"/>
      <c r="H39" s="189"/>
      <c r="I39" s="189"/>
      <c r="J39" s="244"/>
      <c r="K39" s="254"/>
      <c r="L39" s="255"/>
      <c r="M39" s="189"/>
      <c r="N39" s="189"/>
      <c r="O39" s="189"/>
      <c r="Q39" s="836"/>
      <c r="R39" s="191" t="s">
        <v>271</v>
      </c>
      <c r="S39" s="192">
        <v>3000000</v>
      </c>
      <c r="T39" s="261">
        <v>500000</v>
      </c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59">
        <f t="shared" si="2"/>
        <v>500000</v>
      </c>
      <c r="AF39" s="225">
        <f>AE39+AE47+AE55+AE63+AE71+AE79</f>
        <v>4700000</v>
      </c>
      <c r="AG39" s="225" t="e">
        <f>#REF!</f>
        <v>#REF!</v>
      </c>
      <c r="AH39" s="225" t="e">
        <f>AF39-AG39</f>
        <v>#REF!</v>
      </c>
    </row>
    <row r="40" spans="1:46" s="191" customFormat="1">
      <c r="A40" s="189"/>
      <c r="B40" s="189"/>
      <c r="C40" s="189"/>
      <c r="D40" s="189"/>
      <c r="E40" s="189"/>
      <c r="F40" s="189"/>
      <c r="G40" s="189"/>
      <c r="H40" s="189"/>
      <c r="I40" s="189"/>
      <c r="J40" s="244"/>
      <c r="K40" s="254"/>
      <c r="L40" s="255"/>
      <c r="M40" s="189"/>
      <c r="N40" s="189"/>
      <c r="O40" s="189"/>
      <c r="Q40" s="836"/>
      <c r="S40" s="192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>
        <f t="shared" si="2"/>
        <v>0</v>
      </c>
    </row>
    <row r="41" spans="1:46" s="191" customFormat="1">
      <c r="A41" s="189"/>
      <c r="B41" s="189"/>
      <c r="C41" s="189"/>
      <c r="D41" s="189"/>
      <c r="E41" s="189"/>
      <c r="F41" s="189"/>
      <c r="G41" s="189"/>
      <c r="H41" s="189"/>
      <c r="I41" s="189"/>
      <c r="J41" s="244"/>
      <c r="K41" s="254"/>
      <c r="L41" s="255"/>
      <c r="M41" s="189"/>
      <c r="N41" s="189"/>
      <c r="O41" s="189"/>
      <c r="Q41" s="836"/>
      <c r="R41" s="262"/>
      <c r="S41" s="263"/>
      <c r="T41" s="263">
        <f>SUM(T35:T40)</f>
        <v>1505000</v>
      </c>
      <c r="U41" s="263">
        <f t="shared" ref="U41:AE41" si="3">SUM(U35:U40)</f>
        <v>0</v>
      </c>
      <c r="V41" s="263">
        <f t="shared" si="3"/>
        <v>55000</v>
      </c>
      <c r="W41" s="263">
        <f t="shared" si="3"/>
        <v>0</v>
      </c>
      <c r="X41" s="263">
        <f t="shared" si="3"/>
        <v>0</v>
      </c>
      <c r="Y41" s="263">
        <f t="shared" si="3"/>
        <v>0</v>
      </c>
      <c r="Z41" s="263">
        <f t="shared" si="3"/>
        <v>0</v>
      </c>
      <c r="AA41" s="263">
        <f t="shared" si="3"/>
        <v>0</v>
      </c>
      <c r="AB41" s="263">
        <f t="shared" si="3"/>
        <v>0</v>
      </c>
      <c r="AC41" s="263">
        <f t="shared" si="3"/>
        <v>0</v>
      </c>
      <c r="AD41" s="263">
        <f t="shared" si="3"/>
        <v>0</v>
      </c>
      <c r="AE41" s="264">
        <f t="shared" si="3"/>
        <v>1560000</v>
      </c>
    </row>
    <row r="42" spans="1:46" s="191" customFormat="1" ht="12.75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244"/>
      <c r="K42" s="254"/>
      <c r="L42" s="255"/>
      <c r="M42" s="189"/>
      <c r="N42" s="189"/>
      <c r="O42" s="189"/>
      <c r="Q42" s="836" t="s">
        <v>272</v>
      </c>
      <c r="R42" s="372"/>
      <c r="S42" s="259"/>
      <c r="T42" s="259" t="s">
        <v>251</v>
      </c>
      <c r="U42" s="259" t="s">
        <v>252</v>
      </c>
      <c r="V42" s="259" t="s">
        <v>253</v>
      </c>
      <c r="W42" s="259" t="s">
        <v>254</v>
      </c>
      <c r="X42" s="259" t="s">
        <v>201</v>
      </c>
      <c r="Y42" s="259" t="s">
        <v>255</v>
      </c>
      <c r="Z42" s="259" t="s">
        <v>256</v>
      </c>
      <c r="AA42" s="259" t="s">
        <v>257</v>
      </c>
      <c r="AB42" s="259" t="s">
        <v>258</v>
      </c>
      <c r="AC42" s="259" t="s">
        <v>259</v>
      </c>
      <c r="AD42" s="259" t="s">
        <v>260</v>
      </c>
      <c r="AE42" s="259" t="s">
        <v>261</v>
      </c>
    </row>
    <row r="43" spans="1:46" s="191" customFormat="1">
      <c r="A43" s="189"/>
      <c r="B43" s="189"/>
      <c r="C43" s="189"/>
      <c r="D43" s="189"/>
      <c r="E43" s="189"/>
      <c r="F43" s="189"/>
      <c r="G43" s="189"/>
      <c r="H43" s="189"/>
      <c r="I43" s="189"/>
      <c r="J43" s="244"/>
      <c r="K43" s="254"/>
      <c r="L43" s="255"/>
      <c r="M43" s="189"/>
      <c r="N43" s="189"/>
      <c r="O43" s="189"/>
      <c r="Q43" s="836"/>
      <c r="R43" s="372" t="s">
        <v>267</v>
      </c>
      <c r="S43" s="259">
        <v>540000</v>
      </c>
      <c r="T43" s="259"/>
      <c r="U43" s="259">
        <f>20*5500</f>
        <v>110000</v>
      </c>
      <c r="V43" s="259"/>
      <c r="W43" s="259"/>
      <c r="X43" s="259"/>
      <c r="Y43" s="259"/>
      <c r="Z43" s="259"/>
      <c r="AA43" s="259"/>
      <c r="AB43" s="259"/>
      <c r="AC43" s="259"/>
      <c r="AD43" s="259"/>
      <c r="AE43" s="259">
        <f t="shared" ref="AE43:AE48" si="4">SUM(T43:AD43)</f>
        <v>110000</v>
      </c>
    </row>
    <row r="44" spans="1:46" s="191" customFormat="1">
      <c r="A44" s="189"/>
      <c r="B44" s="189"/>
      <c r="C44" s="189"/>
      <c r="D44" s="189"/>
      <c r="E44" s="189"/>
      <c r="F44" s="189"/>
      <c r="G44" s="189"/>
      <c r="H44" s="189"/>
      <c r="I44" s="189"/>
      <c r="J44" s="244"/>
      <c r="K44" s="254"/>
      <c r="L44" s="255"/>
      <c r="M44" s="189"/>
      <c r="N44" s="189"/>
      <c r="O44" s="189"/>
      <c r="Q44" s="836"/>
      <c r="R44" s="372" t="s">
        <v>268</v>
      </c>
      <c r="S44" s="259">
        <v>90000</v>
      </c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>
        <f t="shared" si="4"/>
        <v>0</v>
      </c>
    </row>
    <row r="45" spans="1:46" s="191" customFormat="1">
      <c r="A45" s="189"/>
      <c r="B45" s="189"/>
      <c r="C45" s="189"/>
      <c r="D45" s="189"/>
      <c r="E45" s="189"/>
      <c r="F45" s="189"/>
      <c r="G45" s="189"/>
      <c r="H45" s="189"/>
      <c r="I45" s="189"/>
      <c r="J45" s="244"/>
      <c r="K45" s="254"/>
      <c r="L45" s="255"/>
      <c r="M45" s="189"/>
      <c r="N45" s="189"/>
      <c r="O45" s="189"/>
      <c r="Q45" s="836"/>
      <c r="R45" s="372" t="s">
        <v>269</v>
      </c>
      <c r="S45" s="259">
        <v>3168000</v>
      </c>
      <c r="T45" s="259"/>
      <c r="U45" s="259">
        <v>450000</v>
      </c>
      <c r="V45" s="259"/>
      <c r="W45" s="259"/>
      <c r="X45" s="259"/>
      <c r="Y45" s="259"/>
      <c r="Z45" s="259"/>
      <c r="AA45" s="259"/>
      <c r="AB45" s="259"/>
      <c r="AC45" s="259"/>
      <c r="AD45" s="259"/>
      <c r="AE45" s="259">
        <f t="shared" si="4"/>
        <v>450000</v>
      </c>
    </row>
    <row r="46" spans="1:46" s="191" customFormat="1">
      <c r="A46" s="189"/>
      <c r="B46" s="189"/>
      <c r="C46" s="189"/>
      <c r="D46" s="189"/>
      <c r="E46" s="189"/>
      <c r="F46" s="189"/>
      <c r="G46" s="189"/>
      <c r="H46" s="189"/>
      <c r="I46" s="189"/>
      <c r="J46" s="244"/>
      <c r="K46" s="254"/>
      <c r="L46" s="255"/>
      <c r="M46" s="189"/>
      <c r="N46" s="189"/>
      <c r="O46" s="189"/>
      <c r="Q46" s="836"/>
      <c r="R46" s="372" t="s">
        <v>270</v>
      </c>
      <c r="S46" s="259">
        <v>3000000</v>
      </c>
      <c r="T46" s="259"/>
      <c r="U46" s="259">
        <v>500000</v>
      </c>
      <c r="V46" s="259"/>
      <c r="W46" s="259"/>
      <c r="X46" s="259"/>
      <c r="Y46" s="259"/>
      <c r="Z46" s="259"/>
      <c r="AA46" s="259"/>
      <c r="AB46" s="259"/>
      <c r="AC46" s="259"/>
      <c r="AD46" s="259"/>
      <c r="AE46" s="259">
        <f t="shared" si="4"/>
        <v>500000</v>
      </c>
    </row>
    <row r="47" spans="1:46" s="191" customFormat="1">
      <c r="A47" s="189"/>
      <c r="B47" s="189"/>
      <c r="C47" s="189"/>
      <c r="D47" s="189"/>
      <c r="E47" s="189"/>
      <c r="F47" s="189"/>
      <c r="G47" s="189"/>
      <c r="H47" s="189"/>
      <c r="I47" s="189"/>
      <c r="J47" s="244"/>
      <c r="K47" s="254"/>
      <c r="L47" s="255"/>
      <c r="M47" s="189"/>
      <c r="N47" s="189"/>
      <c r="O47" s="189"/>
      <c r="Q47" s="836"/>
      <c r="R47" s="191" t="s">
        <v>271</v>
      </c>
      <c r="S47" s="192">
        <v>3000000</v>
      </c>
      <c r="T47" s="261"/>
      <c r="U47" s="261">
        <v>500000</v>
      </c>
      <c r="V47" s="261"/>
      <c r="W47" s="261"/>
      <c r="X47" s="261"/>
      <c r="Y47" s="261"/>
      <c r="Z47" s="261"/>
      <c r="AA47" s="261"/>
      <c r="AB47" s="261"/>
      <c r="AC47" s="261"/>
      <c r="AD47" s="261"/>
      <c r="AE47" s="259">
        <f t="shared" si="4"/>
        <v>500000</v>
      </c>
    </row>
    <row r="48" spans="1:46" s="191" customFormat="1">
      <c r="A48" s="189"/>
      <c r="B48" s="189"/>
      <c r="C48" s="189"/>
      <c r="D48" s="189"/>
      <c r="E48" s="189"/>
      <c r="F48" s="189"/>
      <c r="G48" s="189"/>
      <c r="H48" s="189"/>
      <c r="I48" s="189"/>
      <c r="J48" s="244"/>
      <c r="K48" s="254"/>
      <c r="L48" s="255"/>
      <c r="M48" s="189"/>
      <c r="N48" s="189"/>
      <c r="O48" s="189"/>
      <c r="Q48" s="836"/>
      <c r="S48" s="192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>
        <f t="shared" si="4"/>
        <v>0</v>
      </c>
    </row>
    <row r="49" spans="1:31" s="191" customFormat="1">
      <c r="A49" s="189"/>
      <c r="B49" s="189"/>
      <c r="C49" s="189"/>
      <c r="D49" s="189"/>
      <c r="E49" s="189"/>
      <c r="F49" s="189"/>
      <c r="G49" s="189"/>
      <c r="H49" s="189"/>
      <c r="I49" s="189"/>
      <c r="J49" s="244"/>
      <c r="K49" s="254"/>
      <c r="L49" s="255"/>
      <c r="M49" s="189"/>
      <c r="N49" s="189"/>
      <c r="O49" s="189"/>
      <c r="Q49" s="836"/>
      <c r="R49" s="372"/>
      <c r="S49" s="192"/>
      <c r="T49" s="263">
        <f>SUM(T43:T48)</f>
        <v>0</v>
      </c>
      <c r="U49" s="263">
        <f t="shared" ref="U49:AE49" si="5">SUM(U43:U48)</f>
        <v>1560000</v>
      </c>
      <c r="V49" s="263">
        <f t="shared" si="5"/>
        <v>0</v>
      </c>
      <c r="W49" s="263">
        <f t="shared" si="5"/>
        <v>0</v>
      </c>
      <c r="X49" s="263">
        <f t="shared" si="5"/>
        <v>0</v>
      </c>
      <c r="Y49" s="263">
        <f t="shared" si="5"/>
        <v>0</v>
      </c>
      <c r="Z49" s="263">
        <f t="shared" si="5"/>
        <v>0</v>
      </c>
      <c r="AA49" s="263">
        <f t="shared" si="5"/>
        <v>0</v>
      </c>
      <c r="AB49" s="263">
        <f t="shared" si="5"/>
        <v>0</v>
      </c>
      <c r="AC49" s="263">
        <f t="shared" si="5"/>
        <v>0</v>
      </c>
      <c r="AD49" s="263">
        <f t="shared" si="5"/>
        <v>0</v>
      </c>
      <c r="AE49" s="264">
        <f t="shared" si="5"/>
        <v>1560000</v>
      </c>
    </row>
    <row r="50" spans="1:31" s="191" customFormat="1" ht="51">
      <c r="A50" s="189"/>
      <c r="B50" s="189"/>
      <c r="C50" s="189"/>
      <c r="D50" s="189"/>
      <c r="E50" s="189"/>
      <c r="F50" s="189"/>
      <c r="G50" s="189"/>
      <c r="H50" s="189"/>
      <c r="I50" s="189"/>
      <c r="J50" s="244"/>
      <c r="K50" s="254"/>
      <c r="L50" s="255"/>
      <c r="M50" s="189"/>
      <c r="N50" s="189"/>
      <c r="O50" s="189"/>
      <c r="Q50" s="836" t="s">
        <v>273</v>
      </c>
      <c r="R50" s="372"/>
      <c r="S50" s="259"/>
      <c r="T50" s="259" t="s">
        <v>251</v>
      </c>
      <c r="U50" s="259" t="s">
        <v>252</v>
      </c>
      <c r="V50" s="259" t="s">
        <v>253</v>
      </c>
      <c r="W50" s="259" t="s">
        <v>254</v>
      </c>
      <c r="X50" s="259" t="s">
        <v>201</v>
      </c>
      <c r="Y50" s="259" t="s">
        <v>255</v>
      </c>
      <c r="Z50" s="259" t="s">
        <v>256</v>
      </c>
      <c r="AA50" s="259" t="s">
        <v>257</v>
      </c>
      <c r="AB50" s="259" t="s">
        <v>258</v>
      </c>
      <c r="AC50" s="259" t="s">
        <v>259</v>
      </c>
      <c r="AD50" s="259" t="s">
        <v>260</v>
      </c>
      <c r="AE50" s="259" t="s">
        <v>261</v>
      </c>
    </row>
    <row r="51" spans="1:31" s="191" customFormat="1">
      <c r="A51" s="189"/>
      <c r="B51" s="189"/>
      <c r="C51" s="189"/>
      <c r="D51" s="189"/>
      <c r="E51" s="189"/>
      <c r="F51" s="189"/>
      <c r="G51" s="189"/>
      <c r="H51" s="189"/>
      <c r="I51" s="189"/>
      <c r="J51" s="244"/>
      <c r="K51" s="254"/>
      <c r="L51" s="255"/>
      <c r="M51" s="189"/>
      <c r="N51" s="189"/>
      <c r="O51" s="189"/>
      <c r="Q51" s="836"/>
      <c r="R51" s="372" t="s">
        <v>267</v>
      </c>
      <c r="S51" s="259">
        <v>540000</v>
      </c>
      <c r="T51" s="259">
        <f>10*5500</f>
        <v>55000</v>
      </c>
      <c r="U51" s="259"/>
      <c r="V51" s="259">
        <f>10*5500</f>
        <v>55000</v>
      </c>
      <c r="W51" s="259"/>
      <c r="X51" s="259"/>
      <c r="Y51" s="259"/>
      <c r="Z51" s="259"/>
      <c r="AA51" s="259"/>
      <c r="AB51" s="259"/>
      <c r="AC51" s="259"/>
      <c r="AD51" s="259"/>
      <c r="AE51" s="259">
        <f t="shared" ref="AE51:AE56" si="6">SUM(T51:AD51)</f>
        <v>110000</v>
      </c>
    </row>
    <row r="52" spans="1:31" s="191" customFormat="1">
      <c r="A52" s="189"/>
      <c r="B52" s="189"/>
      <c r="C52" s="189"/>
      <c r="D52" s="189"/>
      <c r="E52" s="189"/>
      <c r="F52" s="189"/>
      <c r="G52" s="189"/>
      <c r="H52" s="189"/>
      <c r="I52" s="189"/>
      <c r="J52" s="244"/>
      <c r="K52" s="254"/>
      <c r="L52" s="255"/>
      <c r="M52" s="189"/>
      <c r="N52" s="189"/>
      <c r="O52" s="189"/>
      <c r="Q52" s="836"/>
      <c r="R52" s="372" t="s">
        <v>268</v>
      </c>
      <c r="S52" s="259">
        <v>90000</v>
      </c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>
        <f t="shared" si="6"/>
        <v>0</v>
      </c>
    </row>
    <row r="53" spans="1:31" s="191" customFormat="1">
      <c r="A53" s="189"/>
      <c r="B53" s="189"/>
      <c r="C53" s="189"/>
      <c r="D53" s="189"/>
      <c r="E53" s="189"/>
      <c r="F53" s="189"/>
      <c r="G53" s="189"/>
      <c r="H53" s="189"/>
      <c r="I53" s="189"/>
      <c r="J53" s="244"/>
      <c r="K53" s="254"/>
      <c r="L53" s="255"/>
      <c r="M53" s="189"/>
      <c r="N53" s="189"/>
      <c r="O53" s="189"/>
      <c r="Q53" s="836"/>
      <c r="R53" s="372" t="s">
        <v>269</v>
      </c>
      <c r="S53" s="259">
        <v>3168000</v>
      </c>
      <c r="T53" s="259">
        <v>450000</v>
      </c>
      <c r="U53" s="259"/>
      <c r="V53" s="259">
        <v>450000</v>
      </c>
      <c r="W53" s="259"/>
      <c r="X53" s="259"/>
      <c r="Y53" s="259"/>
      <c r="Z53" s="259"/>
      <c r="AA53" s="259"/>
      <c r="AB53" s="259"/>
      <c r="AC53" s="259"/>
      <c r="AD53" s="259"/>
      <c r="AE53" s="259">
        <f t="shared" si="6"/>
        <v>900000</v>
      </c>
    </row>
    <row r="54" spans="1:31" s="191" customFormat="1">
      <c r="A54" s="189"/>
      <c r="B54" s="189"/>
      <c r="C54" s="189"/>
      <c r="D54" s="189"/>
      <c r="E54" s="189"/>
      <c r="F54" s="189"/>
      <c r="G54" s="189"/>
      <c r="H54" s="189"/>
      <c r="I54" s="189"/>
      <c r="J54" s="244"/>
      <c r="K54" s="254"/>
      <c r="L54" s="255"/>
      <c r="M54" s="189"/>
      <c r="N54" s="189"/>
      <c r="O54" s="189"/>
      <c r="Q54" s="836"/>
      <c r="R54" s="372" t="s">
        <v>270</v>
      </c>
      <c r="S54" s="259">
        <v>3000000</v>
      </c>
      <c r="T54" s="259">
        <v>500000</v>
      </c>
      <c r="U54" s="259"/>
      <c r="V54" s="259">
        <v>500000</v>
      </c>
      <c r="W54" s="259"/>
      <c r="X54" s="259"/>
      <c r="Y54" s="259"/>
      <c r="Z54" s="259"/>
      <c r="AA54" s="259"/>
      <c r="AB54" s="259"/>
      <c r="AC54" s="259"/>
      <c r="AD54" s="259"/>
      <c r="AE54" s="259">
        <f t="shared" si="6"/>
        <v>1000000</v>
      </c>
    </row>
    <row r="55" spans="1:31" s="191" customFormat="1">
      <c r="A55" s="189"/>
      <c r="B55" s="189"/>
      <c r="C55" s="189"/>
      <c r="D55" s="189"/>
      <c r="E55" s="189"/>
      <c r="F55" s="189"/>
      <c r="G55" s="189"/>
      <c r="H55" s="189"/>
      <c r="I55" s="189"/>
      <c r="J55" s="244"/>
      <c r="K55" s="254"/>
      <c r="L55" s="255"/>
      <c r="M55" s="189"/>
      <c r="N55" s="189"/>
      <c r="O55" s="189"/>
      <c r="Q55" s="836"/>
      <c r="R55" s="191" t="s">
        <v>271</v>
      </c>
      <c r="S55" s="192">
        <v>3000000</v>
      </c>
      <c r="T55" s="261">
        <v>500000</v>
      </c>
      <c r="U55" s="261"/>
      <c r="V55" s="261">
        <v>500000</v>
      </c>
      <c r="W55" s="261"/>
      <c r="X55" s="261"/>
      <c r="Y55" s="261"/>
      <c r="Z55" s="261"/>
      <c r="AA55" s="261"/>
      <c r="AB55" s="261"/>
      <c r="AC55" s="261"/>
      <c r="AD55" s="261"/>
      <c r="AE55" s="259">
        <f t="shared" si="6"/>
        <v>1000000</v>
      </c>
    </row>
    <row r="56" spans="1:31" s="191" customFormat="1">
      <c r="A56" s="189"/>
      <c r="B56" s="189"/>
      <c r="C56" s="189"/>
      <c r="D56" s="189"/>
      <c r="E56" s="189"/>
      <c r="F56" s="189"/>
      <c r="G56" s="189"/>
      <c r="H56" s="189"/>
      <c r="I56" s="189"/>
      <c r="J56" s="244"/>
      <c r="K56" s="254"/>
      <c r="L56" s="255"/>
      <c r="M56" s="189"/>
      <c r="N56" s="189"/>
      <c r="O56" s="189"/>
      <c r="Q56" s="836"/>
      <c r="S56" s="192"/>
      <c r="T56" s="259"/>
      <c r="U56" s="259"/>
      <c r="V56" s="259"/>
      <c r="W56" s="259"/>
      <c r="X56" s="259"/>
      <c r="Y56" s="259"/>
      <c r="Z56" s="259"/>
      <c r="AA56" s="259"/>
      <c r="AB56" s="259"/>
      <c r="AC56" s="259"/>
      <c r="AD56" s="259"/>
      <c r="AE56" s="259">
        <f t="shared" si="6"/>
        <v>0</v>
      </c>
    </row>
    <row r="57" spans="1:31" s="191" customFormat="1">
      <c r="A57" s="189"/>
      <c r="B57" s="189"/>
      <c r="C57" s="189"/>
      <c r="D57" s="189"/>
      <c r="E57" s="189"/>
      <c r="F57" s="189"/>
      <c r="G57" s="189"/>
      <c r="H57" s="189"/>
      <c r="I57" s="189"/>
      <c r="J57" s="244"/>
      <c r="K57" s="254"/>
      <c r="L57" s="255"/>
      <c r="M57" s="189"/>
      <c r="N57" s="189"/>
      <c r="O57" s="189"/>
      <c r="Q57" s="836"/>
      <c r="R57" s="372"/>
      <c r="S57" s="263">
        <f>SUM(S51:S56)</f>
        <v>9798000</v>
      </c>
      <c r="T57" s="263">
        <f>SUM(T51:T56)</f>
        <v>1505000</v>
      </c>
      <c r="U57" s="263">
        <f t="shared" ref="U57:AE57" si="7">SUM(U51:U56)</f>
        <v>0</v>
      </c>
      <c r="V57" s="263">
        <f t="shared" si="7"/>
        <v>1505000</v>
      </c>
      <c r="W57" s="263">
        <f t="shared" si="7"/>
        <v>0</v>
      </c>
      <c r="X57" s="263">
        <f t="shared" si="7"/>
        <v>0</v>
      </c>
      <c r="Y57" s="263">
        <f t="shared" si="7"/>
        <v>0</v>
      </c>
      <c r="Z57" s="263">
        <f t="shared" si="7"/>
        <v>0</v>
      </c>
      <c r="AA57" s="263">
        <f t="shared" si="7"/>
        <v>0</v>
      </c>
      <c r="AB57" s="263">
        <f t="shared" si="7"/>
        <v>0</v>
      </c>
      <c r="AC57" s="263">
        <f t="shared" si="7"/>
        <v>0</v>
      </c>
      <c r="AD57" s="263">
        <f t="shared" si="7"/>
        <v>0</v>
      </c>
      <c r="AE57" s="264">
        <f t="shared" si="7"/>
        <v>3010000</v>
      </c>
    </row>
    <row r="58" spans="1:31" s="191" customFormat="1" ht="51">
      <c r="A58" s="189"/>
      <c r="B58" s="189"/>
      <c r="C58" s="189"/>
      <c r="D58" s="189"/>
      <c r="E58" s="189"/>
      <c r="F58" s="189"/>
      <c r="G58" s="189"/>
      <c r="H58" s="189"/>
      <c r="I58" s="189"/>
      <c r="J58" s="244"/>
      <c r="K58" s="254"/>
      <c r="L58" s="255"/>
      <c r="M58" s="189"/>
      <c r="N58" s="189"/>
      <c r="O58" s="189"/>
      <c r="Q58" s="836" t="s">
        <v>274</v>
      </c>
      <c r="R58" s="372"/>
      <c r="S58" s="259"/>
      <c r="T58" s="259" t="s">
        <v>251</v>
      </c>
      <c r="U58" s="259" t="s">
        <v>252</v>
      </c>
      <c r="V58" s="259" t="s">
        <v>253</v>
      </c>
      <c r="W58" s="259" t="s">
        <v>254</v>
      </c>
      <c r="X58" s="259" t="s">
        <v>201</v>
      </c>
      <c r="Y58" s="259" t="s">
        <v>255</v>
      </c>
      <c r="Z58" s="259" t="s">
        <v>256</v>
      </c>
      <c r="AA58" s="259" t="s">
        <v>257</v>
      </c>
      <c r="AB58" s="259" t="s">
        <v>258</v>
      </c>
      <c r="AC58" s="259" t="s">
        <v>259</v>
      </c>
      <c r="AD58" s="259" t="s">
        <v>260</v>
      </c>
      <c r="AE58" s="259" t="s">
        <v>261</v>
      </c>
    </row>
    <row r="59" spans="1:31" s="191" customFormat="1">
      <c r="A59" s="189"/>
      <c r="B59" s="189"/>
      <c r="C59" s="189"/>
      <c r="D59" s="189"/>
      <c r="E59" s="189"/>
      <c r="F59" s="189"/>
      <c r="G59" s="189"/>
      <c r="H59" s="189"/>
      <c r="I59" s="189"/>
      <c r="J59" s="244"/>
      <c r="K59" s="254"/>
      <c r="L59" s="255"/>
      <c r="M59" s="189"/>
      <c r="N59" s="189"/>
      <c r="O59" s="189"/>
      <c r="Q59" s="836"/>
      <c r="R59" s="372" t="s">
        <v>267</v>
      </c>
      <c r="S59" s="259">
        <v>540000</v>
      </c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>
        <f t="shared" ref="AE59:AE64" si="8">SUM(T59:AD59)</f>
        <v>0</v>
      </c>
    </row>
    <row r="60" spans="1:31" s="191" customFormat="1">
      <c r="A60" s="189"/>
      <c r="B60" s="189"/>
      <c r="C60" s="189"/>
      <c r="D60" s="189"/>
      <c r="E60" s="189"/>
      <c r="F60" s="189"/>
      <c r="G60" s="189"/>
      <c r="H60" s="189"/>
      <c r="I60" s="189"/>
      <c r="J60" s="244"/>
      <c r="K60" s="254"/>
      <c r="L60" s="255"/>
      <c r="M60" s="189"/>
      <c r="N60" s="189"/>
      <c r="O60" s="189"/>
      <c r="Q60" s="836"/>
      <c r="R60" s="372" t="s">
        <v>268</v>
      </c>
      <c r="S60" s="259">
        <v>90000</v>
      </c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>
        <f t="shared" si="8"/>
        <v>0</v>
      </c>
    </row>
    <row r="61" spans="1:31" s="191" customFormat="1">
      <c r="A61" s="189"/>
      <c r="B61" s="189"/>
      <c r="C61" s="189"/>
      <c r="D61" s="189"/>
      <c r="E61" s="189"/>
      <c r="F61" s="189"/>
      <c r="G61" s="189"/>
      <c r="H61" s="189"/>
      <c r="I61" s="189"/>
      <c r="J61" s="244"/>
      <c r="K61" s="254"/>
      <c r="L61" s="255"/>
      <c r="M61" s="189"/>
      <c r="N61" s="189"/>
      <c r="O61" s="189"/>
      <c r="Q61" s="836"/>
      <c r="R61" s="372" t="s">
        <v>269</v>
      </c>
      <c r="S61" s="259">
        <v>3168000</v>
      </c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>
        <f t="shared" si="8"/>
        <v>0</v>
      </c>
    </row>
    <row r="62" spans="1:31" s="191" customFormat="1">
      <c r="A62" s="189"/>
      <c r="B62" s="189"/>
      <c r="C62" s="189"/>
      <c r="D62" s="189"/>
      <c r="E62" s="189"/>
      <c r="F62" s="189"/>
      <c r="G62" s="189"/>
      <c r="H62" s="189"/>
      <c r="I62" s="189"/>
      <c r="J62" s="244"/>
      <c r="K62" s="254"/>
      <c r="L62" s="255"/>
      <c r="M62" s="189"/>
      <c r="N62" s="189"/>
      <c r="O62" s="189"/>
      <c r="Q62" s="836"/>
      <c r="R62" s="372" t="s">
        <v>270</v>
      </c>
      <c r="S62" s="259">
        <v>3000000</v>
      </c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>
        <f t="shared" si="8"/>
        <v>0</v>
      </c>
    </row>
    <row r="63" spans="1:31" s="191" customFormat="1">
      <c r="A63" s="189"/>
      <c r="B63" s="189"/>
      <c r="C63" s="189"/>
      <c r="D63" s="189"/>
      <c r="E63" s="189"/>
      <c r="F63" s="189"/>
      <c r="G63" s="189"/>
      <c r="H63" s="189"/>
      <c r="I63" s="189"/>
      <c r="J63" s="244"/>
      <c r="K63" s="254"/>
      <c r="L63" s="255"/>
      <c r="M63" s="189"/>
      <c r="N63" s="189"/>
      <c r="O63" s="189"/>
      <c r="Q63" s="836"/>
      <c r="R63" s="191" t="s">
        <v>271</v>
      </c>
      <c r="S63" s="192">
        <v>3000000</v>
      </c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59">
        <f t="shared" si="8"/>
        <v>0</v>
      </c>
    </row>
    <row r="64" spans="1:31" s="191" customFormat="1">
      <c r="A64" s="189"/>
      <c r="B64" s="189"/>
      <c r="C64" s="189"/>
      <c r="D64" s="189"/>
      <c r="E64" s="189"/>
      <c r="F64" s="189"/>
      <c r="G64" s="189"/>
      <c r="H64" s="189"/>
      <c r="I64" s="189"/>
      <c r="J64" s="244"/>
      <c r="K64" s="254"/>
      <c r="L64" s="255"/>
      <c r="M64" s="189"/>
      <c r="N64" s="189"/>
      <c r="O64" s="189"/>
      <c r="Q64" s="836"/>
      <c r="S64" s="192"/>
      <c r="T64" s="259"/>
      <c r="U64" s="259"/>
      <c r="V64" s="259"/>
      <c r="W64" s="259"/>
      <c r="X64" s="259"/>
      <c r="Y64" s="259"/>
      <c r="Z64" s="259"/>
      <c r="AA64" s="259"/>
      <c r="AB64" s="259"/>
      <c r="AC64" s="259"/>
      <c r="AD64" s="259"/>
      <c r="AE64" s="259">
        <f t="shared" si="8"/>
        <v>0</v>
      </c>
    </row>
    <row r="65" spans="1:33" s="191" customFormat="1">
      <c r="A65" s="189"/>
      <c r="B65" s="189"/>
      <c r="C65" s="189"/>
      <c r="D65" s="189"/>
      <c r="E65" s="189"/>
      <c r="F65" s="189"/>
      <c r="G65" s="189"/>
      <c r="H65" s="189"/>
      <c r="I65" s="189"/>
      <c r="J65" s="244"/>
      <c r="K65" s="254"/>
      <c r="L65" s="255"/>
      <c r="M65" s="189"/>
      <c r="N65" s="189"/>
      <c r="O65" s="189"/>
      <c r="Q65" s="836"/>
      <c r="R65" s="372"/>
      <c r="S65" s="263">
        <f>SUM(S59:S64)</f>
        <v>9798000</v>
      </c>
      <c r="T65" s="263">
        <f>SUM(T59:T64)</f>
        <v>0</v>
      </c>
      <c r="U65" s="263">
        <f t="shared" ref="U65:AE65" si="9">SUM(U59:U64)</f>
        <v>0</v>
      </c>
      <c r="V65" s="263">
        <f t="shared" si="9"/>
        <v>0</v>
      </c>
      <c r="W65" s="263">
        <f t="shared" si="9"/>
        <v>0</v>
      </c>
      <c r="X65" s="263">
        <f t="shared" si="9"/>
        <v>0</v>
      </c>
      <c r="Y65" s="263">
        <f t="shared" si="9"/>
        <v>0</v>
      </c>
      <c r="Z65" s="263">
        <f t="shared" si="9"/>
        <v>0</v>
      </c>
      <c r="AA65" s="263">
        <f t="shared" si="9"/>
        <v>0</v>
      </c>
      <c r="AB65" s="263">
        <f t="shared" si="9"/>
        <v>0</v>
      </c>
      <c r="AC65" s="263">
        <f t="shared" si="9"/>
        <v>0</v>
      </c>
      <c r="AD65" s="263">
        <f t="shared" si="9"/>
        <v>0</v>
      </c>
      <c r="AE65" s="264">
        <f t="shared" si="9"/>
        <v>0</v>
      </c>
    </row>
    <row r="66" spans="1:33" s="191" customFormat="1" ht="51">
      <c r="A66" s="189"/>
      <c r="B66" s="189"/>
      <c r="C66" s="189"/>
      <c r="D66" s="189"/>
      <c r="E66" s="189"/>
      <c r="F66" s="189"/>
      <c r="G66" s="189"/>
      <c r="H66" s="189"/>
      <c r="I66" s="189"/>
      <c r="J66" s="244"/>
      <c r="K66" s="254"/>
      <c r="L66" s="255"/>
      <c r="M66" s="189"/>
      <c r="N66" s="189"/>
      <c r="O66" s="189"/>
      <c r="Q66" s="836" t="s">
        <v>275</v>
      </c>
      <c r="R66" s="372"/>
      <c r="S66" s="259"/>
      <c r="T66" s="259" t="s">
        <v>251</v>
      </c>
      <c r="U66" s="259" t="s">
        <v>252</v>
      </c>
      <c r="V66" s="259" t="s">
        <v>253</v>
      </c>
      <c r="W66" s="259" t="s">
        <v>254</v>
      </c>
      <c r="X66" s="259" t="s">
        <v>201</v>
      </c>
      <c r="Y66" s="259" t="s">
        <v>255</v>
      </c>
      <c r="Z66" s="259" t="s">
        <v>256</v>
      </c>
      <c r="AA66" s="259" t="s">
        <v>257</v>
      </c>
      <c r="AB66" s="259" t="s">
        <v>258</v>
      </c>
      <c r="AC66" s="259" t="s">
        <v>259</v>
      </c>
      <c r="AD66" s="259" t="s">
        <v>260</v>
      </c>
      <c r="AE66" s="259" t="s">
        <v>261</v>
      </c>
    </row>
    <row r="67" spans="1:33" s="191" customFormat="1">
      <c r="A67" s="189"/>
      <c r="B67" s="189"/>
      <c r="C67" s="189"/>
      <c r="D67" s="189"/>
      <c r="E67" s="189"/>
      <c r="F67" s="189"/>
      <c r="G67" s="189"/>
      <c r="H67" s="189"/>
      <c r="I67" s="189"/>
      <c r="J67" s="244"/>
      <c r="K67" s="254"/>
      <c r="L67" s="255"/>
      <c r="M67" s="189"/>
      <c r="N67" s="189"/>
      <c r="O67" s="189"/>
      <c r="Q67" s="836"/>
      <c r="R67" s="372" t="s">
        <v>267</v>
      </c>
      <c r="S67" s="259">
        <v>540000</v>
      </c>
      <c r="T67" s="259">
        <f>10*5500</f>
        <v>55000</v>
      </c>
      <c r="U67" s="259"/>
      <c r="V67" s="259">
        <f>10*5500</f>
        <v>55000</v>
      </c>
      <c r="W67" s="259"/>
      <c r="X67" s="259"/>
      <c r="Y67" s="259"/>
      <c r="Z67" s="259"/>
      <c r="AA67" s="259"/>
      <c r="AB67" s="259"/>
      <c r="AC67" s="259"/>
      <c r="AD67" s="259"/>
      <c r="AE67" s="259">
        <f t="shared" ref="AE67:AE72" si="10">SUM(T67:AD67)</f>
        <v>110000</v>
      </c>
    </row>
    <row r="68" spans="1:33" s="191" customFormat="1">
      <c r="A68" s="189"/>
      <c r="B68" s="189"/>
      <c r="C68" s="189"/>
      <c r="D68" s="189"/>
      <c r="E68" s="189"/>
      <c r="F68" s="189"/>
      <c r="G68" s="189"/>
      <c r="H68" s="189"/>
      <c r="I68" s="189"/>
      <c r="J68" s="244"/>
      <c r="K68" s="254"/>
      <c r="L68" s="255"/>
      <c r="M68" s="189"/>
      <c r="N68" s="189"/>
      <c r="O68" s="189"/>
      <c r="Q68" s="836"/>
      <c r="R68" s="372" t="s">
        <v>268</v>
      </c>
      <c r="S68" s="259">
        <v>90000</v>
      </c>
      <c r="T68" s="259"/>
      <c r="U68" s="259"/>
      <c r="V68" s="259"/>
      <c r="W68" s="259"/>
      <c r="X68" s="259"/>
      <c r="Y68" s="259"/>
      <c r="Z68" s="259"/>
      <c r="AA68" s="259"/>
      <c r="AB68" s="259"/>
      <c r="AC68" s="259"/>
      <c r="AD68" s="259"/>
      <c r="AE68" s="259">
        <f t="shared" si="10"/>
        <v>0</v>
      </c>
    </row>
    <row r="69" spans="1:33" s="191" customFormat="1">
      <c r="A69" s="189"/>
      <c r="B69" s="189"/>
      <c r="C69" s="189"/>
      <c r="D69" s="189"/>
      <c r="E69" s="189"/>
      <c r="F69" s="189"/>
      <c r="G69" s="189"/>
      <c r="H69" s="189"/>
      <c r="I69" s="189"/>
      <c r="J69" s="244"/>
      <c r="K69" s="254"/>
      <c r="L69" s="255"/>
      <c r="M69" s="189"/>
      <c r="N69" s="189"/>
      <c r="O69" s="189"/>
      <c r="Q69" s="836"/>
      <c r="R69" s="372" t="s">
        <v>269</v>
      </c>
      <c r="S69" s="259">
        <v>3168000</v>
      </c>
      <c r="T69" s="259">
        <v>450000</v>
      </c>
      <c r="U69" s="259"/>
      <c r="V69" s="259">
        <v>450000</v>
      </c>
      <c r="W69" s="259"/>
      <c r="X69" s="259"/>
      <c r="Y69" s="259"/>
      <c r="Z69" s="259"/>
      <c r="AA69" s="259"/>
      <c r="AB69" s="259"/>
      <c r="AC69" s="259"/>
      <c r="AD69" s="259"/>
      <c r="AE69" s="259">
        <f t="shared" si="10"/>
        <v>900000</v>
      </c>
    </row>
    <row r="70" spans="1:33" s="191" customFormat="1">
      <c r="A70" s="189"/>
      <c r="B70" s="189"/>
      <c r="C70" s="189"/>
      <c r="D70" s="189"/>
      <c r="E70" s="189"/>
      <c r="F70" s="189"/>
      <c r="G70" s="189"/>
      <c r="H70" s="189"/>
      <c r="I70" s="189"/>
      <c r="J70" s="244"/>
      <c r="K70" s="254"/>
      <c r="L70" s="255"/>
      <c r="M70" s="189"/>
      <c r="N70" s="189"/>
      <c r="O70" s="189"/>
      <c r="Q70" s="836"/>
      <c r="R70" s="372" t="s">
        <v>270</v>
      </c>
      <c r="S70" s="259">
        <v>3000000</v>
      </c>
      <c r="T70" s="259">
        <v>500000</v>
      </c>
      <c r="U70" s="259"/>
      <c r="V70" s="259">
        <v>500000</v>
      </c>
      <c r="W70" s="259"/>
      <c r="X70" s="259"/>
      <c r="Y70" s="259"/>
      <c r="Z70" s="259"/>
      <c r="AA70" s="259"/>
      <c r="AB70" s="259"/>
      <c r="AC70" s="259"/>
      <c r="AD70" s="259"/>
      <c r="AE70" s="259">
        <f t="shared" si="10"/>
        <v>1000000</v>
      </c>
    </row>
    <row r="71" spans="1:33" s="191" customFormat="1">
      <c r="A71" s="189"/>
      <c r="B71" s="189"/>
      <c r="C71" s="189"/>
      <c r="D71" s="189"/>
      <c r="E71" s="189"/>
      <c r="F71" s="189"/>
      <c r="G71" s="189"/>
      <c r="H71" s="189"/>
      <c r="I71" s="189"/>
      <c r="J71" s="244"/>
      <c r="K71" s="254"/>
      <c r="L71" s="255"/>
      <c r="M71" s="189"/>
      <c r="N71" s="189"/>
      <c r="O71" s="189"/>
      <c r="Q71" s="836"/>
      <c r="R71" s="191" t="s">
        <v>271</v>
      </c>
      <c r="S71" s="192">
        <v>3000000</v>
      </c>
      <c r="T71" s="261">
        <v>500000</v>
      </c>
      <c r="U71" s="261"/>
      <c r="V71" s="261">
        <v>500000</v>
      </c>
      <c r="W71" s="261"/>
      <c r="X71" s="261"/>
      <c r="Y71" s="261"/>
      <c r="Z71" s="261"/>
      <c r="AA71" s="261"/>
      <c r="AB71" s="261"/>
      <c r="AC71" s="261"/>
      <c r="AD71" s="261"/>
      <c r="AE71" s="259">
        <f t="shared" si="10"/>
        <v>1000000</v>
      </c>
    </row>
    <row r="72" spans="1:33" s="191" customFormat="1">
      <c r="A72" s="189"/>
      <c r="B72" s="189"/>
      <c r="C72" s="189"/>
      <c r="D72" s="189"/>
      <c r="E72" s="189"/>
      <c r="F72" s="189"/>
      <c r="G72" s="189"/>
      <c r="H72" s="189"/>
      <c r="I72" s="189"/>
      <c r="J72" s="244"/>
      <c r="K72" s="254"/>
      <c r="L72" s="255"/>
      <c r="M72" s="189"/>
      <c r="N72" s="189"/>
      <c r="O72" s="189"/>
      <c r="Q72" s="836"/>
      <c r="S72" s="192"/>
      <c r="T72" s="259"/>
      <c r="U72" s="259"/>
      <c r="V72" s="259"/>
      <c r="W72" s="259"/>
      <c r="X72" s="259"/>
      <c r="Y72" s="259"/>
      <c r="Z72" s="259"/>
      <c r="AA72" s="259"/>
      <c r="AB72" s="259"/>
      <c r="AC72" s="259"/>
      <c r="AD72" s="259"/>
      <c r="AE72" s="259">
        <f t="shared" si="10"/>
        <v>0</v>
      </c>
    </row>
    <row r="73" spans="1:33" s="191" customFormat="1">
      <c r="A73" s="189"/>
      <c r="B73" s="189"/>
      <c r="C73" s="189"/>
      <c r="D73" s="189"/>
      <c r="E73" s="189"/>
      <c r="F73" s="189"/>
      <c r="G73" s="189"/>
      <c r="H73" s="189"/>
      <c r="I73" s="189"/>
      <c r="J73" s="244"/>
      <c r="K73" s="254"/>
      <c r="L73" s="255"/>
      <c r="M73" s="189"/>
      <c r="N73" s="189"/>
      <c r="O73" s="189"/>
      <c r="Q73" s="836"/>
      <c r="R73" s="372"/>
      <c r="S73" s="263">
        <f>SUM(S67:S72)</f>
        <v>9798000</v>
      </c>
      <c r="T73" s="263">
        <f>SUM(T67:T72)</f>
        <v>1505000</v>
      </c>
      <c r="U73" s="263">
        <f t="shared" ref="U73:AE73" si="11">SUM(U67:U72)</f>
        <v>0</v>
      </c>
      <c r="V73" s="263">
        <f t="shared" si="11"/>
        <v>1505000</v>
      </c>
      <c r="W73" s="263">
        <f t="shared" si="11"/>
        <v>0</v>
      </c>
      <c r="X73" s="263">
        <f t="shared" si="11"/>
        <v>0</v>
      </c>
      <c r="Y73" s="263">
        <f t="shared" si="11"/>
        <v>0</v>
      </c>
      <c r="Z73" s="263">
        <f t="shared" si="11"/>
        <v>0</v>
      </c>
      <c r="AA73" s="263">
        <f t="shared" si="11"/>
        <v>0</v>
      </c>
      <c r="AB73" s="263">
        <f t="shared" si="11"/>
        <v>0</v>
      </c>
      <c r="AC73" s="263">
        <f t="shared" si="11"/>
        <v>0</v>
      </c>
      <c r="AD73" s="263">
        <f t="shared" si="11"/>
        <v>0</v>
      </c>
      <c r="AE73" s="264">
        <f t="shared" si="11"/>
        <v>3010000</v>
      </c>
    </row>
    <row r="74" spans="1:33" s="191" customFormat="1" ht="51">
      <c r="A74" s="189"/>
      <c r="B74" s="189"/>
      <c r="C74" s="189"/>
      <c r="D74" s="189"/>
      <c r="E74" s="189"/>
      <c r="F74" s="189"/>
      <c r="G74" s="189"/>
      <c r="H74" s="189"/>
      <c r="I74" s="189"/>
      <c r="J74" s="244"/>
      <c r="K74" s="254"/>
      <c r="L74" s="255"/>
      <c r="M74" s="189"/>
      <c r="N74" s="189"/>
      <c r="O74" s="189"/>
      <c r="Q74" s="836" t="s">
        <v>276</v>
      </c>
      <c r="R74" s="372"/>
      <c r="S74" s="259"/>
      <c r="T74" s="259" t="s">
        <v>251</v>
      </c>
      <c r="U74" s="259" t="s">
        <v>252</v>
      </c>
      <c r="V74" s="259" t="s">
        <v>253</v>
      </c>
      <c r="W74" s="259" t="s">
        <v>254</v>
      </c>
      <c r="X74" s="259" t="s">
        <v>201</v>
      </c>
      <c r="Y74" s="259" t="s">
        <v>255</v>
      </c>
      <c r="Z74" s="259" t="s">
        <v>256</v>
      </c>
      <c r="AA74" s="259" t="s">
        <v>257</v>
      </c>
      <c r="AB74" s="259" t="s">
        <v>258</v>
      </c>
      <c r="AC74" s="259" t="s">
        <v>259</v>
      </c>
      <c r="AD74" s="259" t="s">
        <v>260</v>
      </c>
      <c r="AE74" s="259" t="s">
        <v>261</v>
      </c>
    </row>
    <row r="75" spans="1:33" s="191" customFormat="1">
      <c r="A75" s="189"/>
      <c r="B75" s="189"/>
      <c r="C75" s="189"/>
      <c r="D75" s="189"/>
      <c r="E75" s="189"/>
      <c r="F75" s="189"/>
      <c r="G75" s="189"/>
      <c r="H75" s="189"/>
      <c r="I75" s="189"/>
      <c r="J75" s="244"/>
      <c r="K75" s="254"/>
      <c r="L75" s="255"/>
      <c r="M75" s="189"/>
      <c r="N75" s="189"/>
      <c r="O75" s="189"/>
      <c r="Q75" s="836"/>
      <c r="R75" s="372" t="s">
        <v>267</v>
      </c>
      <c r="S75" s="259">
        <v>1368000</v>
      </c>
      <c r="T75" s="259">
        <f>38*5500</f>
        <v>209000</v>
      </c>
      <c r="U75" s="259"/>
      <c r="V75" s="259"/>
      <c r="W75" s="259"/>
      <c r="X75" s="259"/>
      <c r="Y75" s="259"/>
      <c r="Z75" s="259"/>
      <c r="AA75" s="259"/>
      <c r="AB75" s="259"/>
      <c r="AC75" s="259"/>
      <c r="AD75" s="259"/>
      <c r="AE75" s="259">
        <f t="shared" ref="AE75:AE80" si="12">SUM(T75:AD75)</f>
        <v>209000</v>
      </c>
      <c r="AG75" s="225">
        <f>T75+T67+T51+T35</f>
        <v>374000</v>
      </c>
    </row>
    <row r="76" spans="1:33" s="191" customFormat="1">
      <c r="A76" s="189"/>
      <c r="B76" s="189"/>
      <c r="C76" s="189"/>
      <c r="D76" s="189"/>
      <c r="E76" s="189"/>
      <c r="F76" s="189"/>
      <c r="G76" s="189"/>
      <c r="H76" s="189"/>
      <c r="I76" s="189"/>
      <c r="J76" s="244"/>
      <c r="K76" s="254"/>
      <c r="L76" s="255"/>
      <c r="M76" s="189"/>
      <c r="N76" s="189"/>
      <c r="O76" s="189"/>
      <c r="Q76" s="836"/>
      <c r="R76" s="372" t="s">
        <v>268</v>
      </c>
      <c r="S76" s="259">
        <v>300000</v>
      </c>
      <c r="T76" s="259"/>
      <c r="U76" s="259"/>
      <c r="V76" s="259"/>
      <c r="W76" s="259"/>
      <c r="X76" s="259"/>
      <c r="Y76" s="259"/>
      <c r="Z76" s="259"/>
      <c r="AA76" s="259"/>
      <c r="AB76" s="259"/>
      <c r="AC76" s="259"/>
      <c r="AD76" s="259"/>
      <c r="AE76" s="259">
        <f t="shared" si="12"/>
        <v>0</v>
      </c>
    </row>
    <row r="77" spans="1:33" s="191" customFormat="1">
      <c r="A77" s="189"/>
      <c r="B77" s="189"/>
      <c r="C77" s="189"/>
      <c r="D77" s="189"/>
      <c r="E77" s="189"/>
      <c r="F77" s="189"/>
      <c r="G77" s="189"/>
      <c r="H77" s="189"/>
      <c r="I77" s="189"/>
      <c r="J77" s="244"/>
      <c r="K77" s="254"/>
      <c r="L77" s="255"/>
      <c r="M77" s="189"/>
      <c r="N77" s="189"/>
      <c r="O77" s="189"/>
      <c r="Q77" s="836"/>
      <c r="R77" s="372" t="s">
        <v>269</v>
      </c>
      <c r="S77" s="259">
        <v>8640000</v>
      </c>
      <c r="T77" s="259">
        <f>1350000+607500</f>
        <v>1957500</v>
      </c>
      <c r="U77" s="259"/>
      <c r="V77" s="259"/>
      <c r="W77" s="259"/>
      <c r="X77" s="259"/>
      <c r="Y77" s="259"/>
      <c r="Z77" s="259"/>
      <c r="AA77" s="259"/>
      <c r="AB77" s="259"/>
      <c r="AC77" s="259"/>
      <c r="AD77" s="259"/>
      <c r="AE77" s="259">
        <f t="shared" si="12"/>
        <v>1957500</v>
      </c>
    </row>
    <row r="78" spans="1:33" s="191" customFormat="1">
      <c r="A78" s="189"/>
      <c r="B78" s="189"/>
      <c r="C78" s="189"/>
      <c r="D78" s="189"/>
      <c r="E78" s="189"/>
      <c r="F78" s="189"/>
      <c r="G78" s="189"/>
      <c r="H78" s="189"/>
      <c r="I78" s="189"/>
      <c r="J78" s="244"/>
      <c r="K78" s="254"/>
      <c r="L78" s="255"/>
      <c r="M78" s="189"/>
      <c r="N78" s="189"/>
      <c r="O78" s="189"/>
      <c r="Q78" s="836"/>
      <c r="R78" s="372" t="s">
        <v>270</v>
      </c>
      <c r="S78" s="259">
        <v>4000000</v>
      </c>
      <c r="T78" s="259">
        <v>1000000</v>
      </c>
      <c r="U78" s="259"/>
      <c r="V78" s="259"/>
      <c r="W78" s="259"/>
      <c r="X78" s="259"/>
      <c r="Y78" s="259"/>
      <c r="Z78" s="259"/>
      <c r="AA78" s="259"/>
      <c r="AB78" s="259"/>
      <c r="AC78" s="259"/>
      <c r="AD78" s="259"/>
      <c r="AE78" s="259">
        <f t="shared" si="12"/>
        <v>1000000</v>
      </c>
    </row>
    <row r="79" spans="1:33" s="191" customFormat="1">
      <c r="A79" s="189"/>
      <c r="B79" s="189"/>
      <c r="C79" s="189"/>
      <c r="D79" s="189"/>
      <c r="E79" s="189"/>
      <c r="F79" s="189"/>
      <c r="G79" s="189"/>
      <c r="H79" s="189"/>
      <c r="I79" s="189"/>
      <c r="J79" s="244"/>
      <c r="K79" s="254"/>
      <c r="L79" s="255"/>
      <c r="M79" s="189"/>
      <c r="N79" s="189"/>
      <c r="O79" s="189"/>
      <c r="Q79" s="836"/>
      <c r="R79" s="191" t="s">
        <v>271</v>
      </c>
      <c r="S79" s="192">
        <v>7600000</v>
      </c>
      <c r="T79" s="261">
        <v>1700000</v>
      </c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59">
        <f t="shared" si="12"/>
        <v>1700000</v>
      </c>
    </row>
    <row r="80" spans="1:33" s="191" customFormat="1">
      <c r="A80" s="189"/>
      <c r="B80" s="189"/>
      <c r="C80" s="189"/>
      <c r="D80" s="189"/>
      <c r="E80" s="189"/>
      <c r="F80" s="189"/>
      <c r="G80" s="189"/>
      <c r="H80" s="189"/>
      <c r="I80" s="189"/>
      <c r="J80" s="244"/>
      <c r="K80" s="254"/>
      <c r="L80" s="255"/>
      <c r="M80" s="189"/>
      <c r="N80" s="189"/>
      <c r="O80" s="189"/>
      <c r="Q80" s="836"/>
      <c r="S80" s="192"/>
      <c r="T80" s="259"/>
      <c r="U80" s="259"/>
      <c r="V80" s="259"/>
      <c r="W80" s="259"/>
      <c r="X80" s="259"/>
      <c r="Y80" s="259"/>
      <c r="Z80" s="259"/>
      <c r="AA80" s="259"/>
      <c r="AB80" s="259"/>
      <c r="AC80" s="259"/>
      <c r="AD80" s="259"/>
      <c r="AE80" s="259">
        <f t="shared" si="12"/>
        <v>0</v>
      </c>
    </row>
    <row r="81" spans="1:31" s="191" customFormat="1">
      <c r="A81" s="189"/>
      <c r="B81" s="189"/>
      <c r="C81" s="189"/>
      <c r="D81" s="189"/>
      <c r="E81" s="189"/>
      <c r="F81" s="189"/>
      <c r="G81" s="189"/>
      <c r="H81" s="189"/>
      <c r="I81" s="189"/>
      <c r="J81" s="244"/>
      <c r="K81" s="254"/>
      <c r="L81" s="255"/>
      <c r="M81" s="189"/>
      <c r="N81" s="189"/>
      <c r="O81" s="189"/>
      <c r="Q81" s="836"/>
      <c r="R81" s="372"/>
      <c r="S81" s="263">
        <f>SUM(S75:S80)</f>
        <v>21908000</v>
      </c>
      <c r="T81" s="263">
        <f>SUM(T75:T80)</f>
        <v>4866500</v>
      </c>
      <c r="U81" s="263">
        <f t="shared" ref="U81:AE81" si="13">SUM(U75:U80)</f>
        <v>0</v>
      </c>
      <c r="V81" s="263">
        <f t="shared" si="13"/>
        <v>0</v>
      </c>
      <c r="W81" s="263">
        <f t="shared" si="13"/>
        <v>0</v>
      </c>
      <c r="X81" s="263">
        <f t="shared" si="13"/>
        <v>0</v>
      </c>
      <c r="Y81" s="263">
        <f t="shared" si="13"/>
        <v>0</v>
      </c>
      <c r="Z81" s="263">
        <f t="shared" si="13"/>
        <v>0</v>
      </c>
      <c r="AA81" s="263">
        <f t="shared" si="13"/>
        <v>0</v>
      </c>
      <c r="AB81" s="263">
        <f t="shared" si="13"/>
        <v>0</v>
      </c>
      <c r="AC81" s="263">
        <f t="shared" si="13"/>
        <v>0</v>
      </c>
      <c r="AD81" s="263">
        <f t="shared" si="13"/>
        <v>0</v>
      </c>
      <c r="AE81" s="264">
        <f t="shared" si="13"/>
        <v>4866500</v>
      </c>
    </row>
    <row r="82" spans="1:31" s="191" customFormat="1">
      <c r="A82" s="189"/>
      <c r="B82" s="189"/>
      <c r="C82" s="189"/>
      <c r="D82" s="189"/>
      <c r="E82" s="189"/>
      <c r="F82" s="189"/>
      <c r="G82" s="189"/>
      <c r="H82" s="189"/>
      <c r="I82" s="189"/>
      <c r="J82" s="244"/>
      <c r="K82" s="254"/>
      <c r="L82" s="255"/>
      <c r="M82" s="189"/>
      <c r="N82" s="189"/>
      <c r="O82" s="189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</row>
    <row r="87" spans="1:31" s="191" customFormat="1">
      <c r="A87" s="189"/>
      <c r="B87" s="189"/>
      <c r="C87" s="189"/>
      <c r="D87" s="189"/>
      <c r="E87" s="189"/>
      <c r="F87" s="189"/>
      <c r="G87" s="189"/>
      <c r="H87" s="189"/>
      <c r="I87" s="189"/>
      <c r="J87" s="244"/>
      <c r="K87" s="254"/>
      <c r="L87" s="255"/>
      <c r="M87" s="189"/>
      <c r="N87" s="189"/>
      <c r="O87" s="189"/>
      <c r="P87" s="225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</row>
    <row r="90" spans="1:31" s="191" customFormat="1">
      <c r="A90" s="189"/>
      <c r="B90" s="189"/>
      <c r="C90" s="189"/>
      <c r="D90" s="189"/>
      <c r="E90" s="189"/>
      <c r="F90" s="189"/>
      <c r="G90" s="189"/>
      <c r="H90" s="189"/>
      <c r="I90" s="189"/>
      <c r="J90" s="244"/>
      <c r="K90" s="254"/>
      <c r="L90" s="255"/>
      <c r="M90" s="189"/>
      <c r="N90" s="189"/>
      <c r="O90" s="189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</row>
    <row r="106" spans="10:46" s="189" customFormat="1" ht="15" customHeight="1">
      <c r="J106" s="244"/>
      <c r="K106" s="254"/>
      <c r="L106" s="255"/>
      <c r="P106" s="191"/>
      <c r="Q106" s="191"/>
      <c r="R106" s="191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</row>
    <row r="122" spans="10:46" s="189" customFormat="1" ht="6" customHeight="1">
      <c r="J122" s="244"/>
      <c r="K122" s="254"/>
      <c r="L122" s="255"/>
      <c r="P122" s="191"/>
      <c r="Q122" s="191"/>
      <c r="R122" s="191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</row>
  </sheetData>
  <mergeCells count="26">
    <mergeCell ref="C1:N1"/>
    <mergeCell ref="C2:N2"/>
    <mergeCell ref="A3:D3"/>
    <mergeCell ref="A4:B5"/>
    <mergeCell ref="C4:D5"/>
    <mergeCell ref="E4:F4"/>
    <mergeCell ref="G4:M4"/>
    <mergeCell ref="N4:N5"/>
    <mergeCell ref="G5:I5"/>
    <mergeCell ref="A6:B6"/>
    <mergeCell ref="C6:D6"/>
    <mergeCell ref="G6:I6"/>
    <mergeCell ref="Q14:Q17"/>
    <mergeCell ref="K16:N16"/>
    <mergeCell ref="K17:N17"/>
    <mergeCell ref="O13:R13"/>
    <mergeCell ref="K21:N21"/>
    <mergeCell ref="K22:N22"/>
    <mergeCell ref="Q26:Q33"/>
    <mergeCell ref="Q34:Q41"/>
    <mergeCell ref="Q42:Q49"/>
    <mergeCell ref="Q50:Q57"/>
    <mergeCell ref="Q58:Q65"/>
    <mergeCell ref="Q66:Q73"/>
    <mergeCell ref="Q74:Q81"/>
    <mergeCell ref="Q18:Q25"/>
  </mergeCells>
  <pageMargins left="0.7" right="0.7" top="0.75" bottom="0.75" header="0.3" footer="0.3"/>
  <pageSetup paperSize="14"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2"/>
  <sheetViews>
    <sheetView view="pageBreakPreview" zoomScale="60" workbookViewId="0">
      <selection activeCell="R68" activeCellId="5" sqref="R19 R32 R35 R46 R50 R68"/>
    </sheetView>
  </sheetViews>
  <sheetFormatPr defaultRowHeight="16.5"/>
  <cols>
    <col min="1" max="1" width="2.140625" style="24" bestFit="1" customWidth="1"/>
    <col min="2" max="3" width="3.28515625" style="24" bestFit="1" customWidth="1"/>
    <col min="4" max="4" width="3.7109375" style="24" customWidth="1"/>
    <col min="5" max="5" width="3.28515625" style="24" bestFit="1" customWidth="1"/>
    <col min="6" max="8" width="2.140625" style="24" bestFit="1" customWidth="1"/>
    <col min="9" max="9" width="3.28515625" style="24" bestFit="1" customWidth="1"/>
    <col min="10" max="10" width="5" style="24" customWidth="1"/>
    <col min="11" max="11" width="68.28515625" style="24" customWidth="1"/>
    <col min="12" max="12" width="10.85546875" style="24" customWidth="1"/>
    <col min="13" max="13" width="17.42578125" style="24" customWidth="1"/>
    <col min="14" max="14" width="15.7109375" style="24" customWidth="1"/>
    <col min="15" max="15" width="8.5703125" style="24" customWidth="1"/>
    <col min="16" max="16" width="15.85546875" style="117" customWidth="1"/>
    <col min="17" max="17" width="10.140625" style="24" customWidth="1"/>
    <col min="18" max="18" width="16" style="24" customWidth="1"/>
    <col min="19" max="19" width="8.5703125" style="24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1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659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2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790" t="s">
        <v>15</v>
      </c>
      <c r="O9" s="790" t="s">
        <v>16</v>
      </c>
      <c r="P9" s="790" t="s">
        <v>15</v>
      </c>
      <c r="Q9" s="790" t="s">
        <v>16</v>
      </c>
      <c r="R9" s="794" t="s">
        <v>15</v>
      </c>
      <c r="S9" s="794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795" t="s">
        <v>685</v>
      </c>
      <c r="M10" s="796"/>
      <c r="N10" s="796"/>
      <c r="O10" s="796"/>
      <c r="P10" s="794"/>
      <c r="Q10" s="794"/>
      <c r="R10" s="794"/>
      <c r="S10" s="794"/>
      <c r="T10" s="799"/>
      <c r="U10" s="794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795" t="s">
        <v>19</v>
      </c>
      <c r="M11" s="796"/>
      <c r="N11" s="796"/>
      <c r="O11" s="796"/>
      <c r="P11" s="794"/>
      <c r="Q11" s="794"/>
      <c r="R11" s="794"/>
      <c r="S11" s="794"/>
      <c r="T11" s="799"/>
      <c r="U11" s="794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M13+M18+M76</f>
        <v>1836864000</v>
      </c>
      <c r="N12" s="5">
        <f>N13+N18+N76</f>
        <v>80551540</v>
      </c>
      <c r="O12" s="6">
        <f>N12/M12*100</f>
        <v>4.38527512107592</v>
      </c>
      <c r="P12" s="5">
        <f>P13+P18+P76</f>
        <v>16523380</v>
      </c>
      <c r="Q12" s="285">
        <f>P12/M12*100</f>
        <v>0.89954291662311414</v>
      </c>
      <c r="R12" s="5">
        <f>R13+R18+R76</f>
        <v>97074920</v>
      </c>
      <c r="S12" s="285">
        <f>R12/M12*100</f>
        <v>5.2848180376990346</v>
      </c>
      <c r="T12" s="800">
        <f>T13+T18+T76/3</f>
        <v>20.560111097851273</v>
      </c>
      <c r="U12" s="12"/>
      <c r="V12" s="11"/>
    </row>
    <row r="13" spans="1:26">
      <c r="A13" s="561">
        <v>1</v>
      </c>
      <c r="B13" s="291" t="s">
        <v>17</v>
      </c>
      <c r="C13" s="291" t="s">
        <v>18</v>
      </c>
      <c r="D13" s="292">
        <v>38</v>
      </c>
      <c r="E13" s="291" t="s">
        <v>25</v>
      </c>
      <c r="F13" s="292">
        <v>5</v>
      </c>
      <c r="G13" s="292">
        <v>2</v>
      </c>
      <c r="H13" s="292">
        <v>1</v>
      </c>
      <c r="I13" s="292"/>
      <c r="J13" s="293"/>
      <c r="K13" s="295" t="s">
        <v>22</v>
      </c>
      <c r="L13" s="7"/>
      <c r="M13" s="5">
        <f>M15</f>
        <v>1102118400</v>
      </c>
      <c r="N13" s="5">
        <f>N15</f>
        <v>78188040</v>
      </c>
      <c r="O13" s="6">
        <f>N13/M13*100</f>
        <v>7.0943412250444231</v>
      </c>
      <c r="P13" s="5">
        <f>P15</f>
        <v>64980</v>
      </c>
      <c r="Q13" s="285">
        <f>P13/M13*100</f>
        <v>5.8959182606877812E-3</v>
      </c>
      <c r="R13" s="5">
        <f>R15</f>
        <v>78253020</v>
      </c>
      <c r="S13" s="285">
        <f>R13/M13*100</f>
        <v>7.1002371433051117</v>
      </c>
      <c r="T13" s="800">
        <f>T15</f>
        <v>16.666666666666664</v>
      </c>
      <c r="U13" s="296"/>
      <c r="V13" s="11"/>
    </row>
    <row r="14" spans="1:26" ht="7.5" customHeight="1">
      <c r="A14" s="561"/>
      <c r="B14" s="291"/>
      <c r="C14" s="291"/>
      <c r="D14" s="291"/>
      <c r="E14" s="291"/>
      <c r="F14" s="291"/>
      <c r="G14" s="292"/>
      <c r="H14" s="292"/>
      <c r="I14" s="292"/>
      <c r="J14" s="293"/>
      <c r="K14" s="295"/>
      <c r="L14" s="4"/>
      <c r="M14" s="5"/>
      <c r="N14" s="5"/>
      <c r="O14" s="5"/>
      <c r="P14" s="5"/>
      <c r="Q14" s="286"/>
      <c r="R14" s="5"/>
      <c r="S14" s="285"/>
      <c r="T14" s="800"/>
      <c r="U14" s="11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78188040</v>
      </c>
      <c r="O15" s="6">
        <f t="shared" ref="O15:O85" si="0">N15/M15*100</f>
        <v>7.0943412250444231</v>
      </c>
      <c r="P15" s="5">
        <f>P16</f>
        <v>64980</v>
      </c>
      <c r="Q15" s="285">
        <f t="shared" ref="Q15:Q85" si="1">P15/M15*100</f>
        <v>5.8959182606877812E-3</v>
      </c>
      <c r="R15" s="17">
        <f t="shared" ref="R15:R85" si="2">N15+P15</f>
        <v>78253020</v>
      </c>
      <c r="S15" s="285">
        <f t="shared" ref="S15:S85" si="3">R15/M15*100</f>
        <v>7.1002371433051117</v>
      </c>
      <c r="T15" s="800">
        <f>T16</f>
        <v>16.666666666666664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f>jan!R16</f>
        <v>78188040</v>
      </c>
      <c r="O16" s="111">
        <f t="shared" si="0"/>
        <v>7.0943412250444231</v>
      </c>
      <c r="P16" s="9">
        <v>64980</v>
      </c>
      <c r="Q16" s="286">
        <f t="shared" si="1"/>
        <v>5.8959182606877812E-3</v>
      </c>
      <c r="R16" s="19">
        <f t="shared" si="2"/>
        <v>78253020</v>
      </c>
      <c r="S16" s="286">
        <f t="shared" si="3"/>
        <v>7.1002371433051117</v>
      </c>
      <c r="T16" s="801">
        <f>2/12*100</f>
        <v>16.666666666666664</v>
      </c>
      <c r="U16" s="11"/>
      <c r="V16" s="11"/>
    </row>
    <row r="17" spans="1:22" ht="7.5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6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N19+N32+N35+N46+N52+N54+N57+N59+N64+N68+N73</f>
        <v>2363500</v>
      </c>
      <c r="O18" s="6">
        <f t="shared" si="0"/>
        <v>0.38863556277668804</v>
      </c>
      <c r="P18" s="5">
        <f>P19+P32+P35+P46+P52+P54+P57+P59+P64+P68+P73+P42+P50+P71+P40</f>
        <v>16458400</v>
      </c>
      <c r="Q18" s="285">
        <f t="shared" si="1"/>
        <v>2.7062913249011391</v>
      </c>
      <c r="R18" s="17">
        <f t="shared" si="2"/>
        <v>18821900</v>
      </c>
      <c r="S18" s="285">
        <f t="shared" si="3"/>
        <v>3.0949268876778273</v>
      </c>
      <c r="T18" s="800">
        <f>SUM(T20:T74)/41</f>
        <v>3.8934444311846086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900000</v>
      </c>
      <c r="O19" s="6">
        <f t="shared" si="0"/>
        <v>0.36636776484725725</v>
      </c>
      <c r="P19" s="5">
        <f>SUM(P20:P31)</f>
        <v>14444900</v>
      </c>
      <c r="Q19" s="285">
        <f t="shared" si="1"/>
        <v>5.8801619182690512</v>
      </c>
      <c r="R19" s="17">
        <f>N19+P19</f>
        <v>15344900</v>
      </c>
      <c r="S19" s="285">
        <f t="shared" si="3"/>
        <v>6.2465296831163082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f>jan!R20</f>
        <v>0</v>
      </c>
      <c r="O20" s="111">
        <f t="shared" si="0"/>
        <v>0</v>
      </c>
      <c r="P20" s="115">
        <v>13994900</v>
      </c>
      <c r="Q20" s="286">
        <f t="shared" ref="Q20" si="4">P20/M20*100</f>
        <v>50.107412154759437</v>
      </c>
      <c r="R20" s="19">
        <f t="shared" ref="R20" si="5">N20+P20</f>
        <v>13994900</v>
      </c>
      <c r="S20" s="286">
        <f>R20/M20*100</f>
        <v>50.107412154759437</v>
      </c>
      <c r="T20" s="801">
        <f>S20</f>
        <v>50.107412154759437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f>jan!R21</f>
        <v>0</v>
      </c>
      <c r="O21" s="111">
        <f t="shared" si="0"/>
        <v>0</v>
      </c>
      <c r="P21" s="115"/>
      <c r="Q21" s="286">
        <f t="shared" si="1"/>
        <v>0</v>
      </c>
      <c r="R21" s="19">
        <f t="shared" si="2"/>
        <v>0</v>
      </c>
      <c r="S21" s="286">
        <f>R21/M21*100</f>
        <v>0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f>jan!R22</f>
        <v>900000</v>
      </c>
      <c r="O22" s="111">
        <f t="shared" si="0"/>
        <v>42.857142857142854</v>
      </c>
      <c r="P22" s="115"/>
      <c r="Q22" s="286">
        <f t="shared" si="1"/>
        <v>0</v>
      </c>
      <c r="R22" s="19">
        <f t="shared" si="2"/>
        <v>900000</v>
      </c>
      <c r="S22" s="286">
        <f t="shared" si="3"/>
        <v>42.857142857142854</v>
      </c>
      <c r="T22" s="801">
        <f>S22</f>
        <v>42.857142857142854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>
        <f>jan!R23</f>
        <v>0</v>
      </c>
      <c r="O23" s="111">
        <f t="shared" si="0"/>
        <v>0</v>
      </c>
      <c r="P23" s="115"/>
      <c r="Q23" s="286">
        <f t="shared" si="1"/>
        <v>0</v>
      </c>
      <c r="R23" s="19">
        <f t="shared" si="2"/>
        <v>0</v>
      </c>
      <c r="S23" s="286">
        <f t="shared" si="3"/>
        <v>0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>
        <f>jan!R24</f>
        <v>0</v>
      </c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>
        <f>jan!R25</f>
        <v>0</v>
      </c>
      <c r="O25" s="111">
        <f t="shared" si="0"/>
        <v>0</v>
      </c>
      <c r="P25" s="115"/>
      <c r="Q25" s="286">
        <f t="shared" si="1"/>
        <v>0</v>
      </c>
      <c r="R25" s="19">
        <f t="shared" si="2"/>
        <v>0</v>
      </c>
      <c r="S25" s="286">
        <f t="shared" si="3"/>
        <v>0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f>jan!R26</f>
        <v>0</v>
      </c>
      <c r="O26" s="111">
        <f t="shared" si="0"/>
        <v>0</v>
      </c>
      <c r="P26" s="115">
        <v>200000</v>
      </c>
      <c r="Q26" s="286">
        <f t="shared" si="1"/>
        <v>1.1173184357541899</v>
      </c>
      <c r="R26" s="19">
        <f t="shared" si="2"/>
        <v>200000</v>
      </c>
      <c r="S26" s="286">
        <f t="shared" si="3"/>
        <v>1.1173184357541899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>
        <f>jan!R27</f>
        <v>0</v>
      </c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>
        <f>jan!R28</f>
        <v>0</v>
      </c>
      <c r="O28" s="111">
        <f t="shared" si="0"/>
        <v>0</v>
      </c>
      <c r="P28" s="115">
        <v>250000</v>
      </c>
      <c r="Q28" s="286">
        <f t="shared" si="1"/>
        <v>3.90625</v>
      </c>
      <c r="R28" s="19">
        <f t="shared" si="2"/>
        <v>250000</v>
      </c>
      <c r="S28" s="286">
        <f t="shared" si="3"/>
        <v>3.90625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>
        <f>jan!R29</f>
        <v>0</v>
      </c>
      <c r="O29" s="111">
        <f t="shared" si="0"/>
        <v>0</v>
      </c>
      <c r="P29" s="564"/>
      <c r="Q29" s="286">
        <f t="shared" si="1"/>
        <v>0</v>
      </c>
      <c r="R29" s="19"/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>
        <f>jan!R30</f>
        <v>0</v>
      </c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>
        <f>jan!R31</f>
        <v>0</v>
      </c>
      <c r="O31" s="111">
        <f t="shared" si="0"/>
        <v>0</v>
      </c>
      <c r="P31" s="115"/>
      <c r="Q31" s="286">
        <f t="shared" si="1"/>
        <v>0</v>
      </c>
      <c r="R31" s="19">
        <f t="shared" si="2"/>
        <v>0</v>
      </c>
      <c r="S31" s="286">
        <f t="shared" si="3"/>
        <v>0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SUM(N33:N34)</f>
        <v>960000</v>
      </c>
      <c r="O32" s="6">
        <f t="shared" si="0"/>
        <v>1.5799868334430547</v>
      </c>
      <c r="P32" s="5">
        <f>SUM(P34:P34)</f>
        <v>1010000</v>
      </c>
      <c r="Q32" s="285">
        <f t="shared" si="1"/>
        <v>1.6622778143515471</v>
      </c>
      <c r="R32" s="17">
        <f t="shared" si="2"/>
        <v>1970000</v>
      </c>
      <c r="S32" s="285">
        <f t="shared" si="3"/>
        <v>3.2422646477946016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9">
        <f>jan!R33</f>
        <v>0</v>
      </c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f>jan!R34</f>
        <v>960000</v>
      </c>
      <c r="O34" s="111">
        <f t="shared" si="0"/>
        <v>6.5040650406504072</v>
      </c>
      <c r="P34" s="115">
        <v>1010000</v>
      </c>
      <c r="Q34" s="286">
        <f t="shared" si="1"/>
        <v>6.8428184281842812</v>
      </c>
      <c r="R34" s="19">
        <f t="shared" si="2"/>
        <v>1970000</v>
      </c>
      <c r="S34" s="286">
        <f t="shared" si="3"/>
        <v>13.346883468834688</v>
      </c>
      <c r="T34" s="801">
        <f>2/12*100</f>
        <v>16.666666666666664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3500</v>
      </c>
      <c r="O35" s="6">
        <f t="shared" si="0"/>
        <v>9.4187298170075352E-3</v>
      </c>
      <c r="P35" s="5">
        <f>SUM(P36:P39)</f>
        <v>3500</v>
      </c>
      <c r="Q35" s="285">
        <f t="shared" si="1"/>
        <v>9.4187298170075352E-3</v>
      </c>
      <c r="R35" s="17">
        <f t="shared" si="2"/>
        <v>7000</v>
      </c>
      <c r="S35" s="285">
        <f t="shared" si="3"/>
        <v>1.883745963401507E-2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f>jan!R36</f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f>jan!R37</f>
        <v>3500</v>
      </c>
      <c r="O37" s="111">
        <f t="shared" si="0"/>
        <v>0.625</v>
      </c>
      <c r="P37" s="115">
        <v>3500</v>
      </c>
      <c r="Q37" s="286">
        <f t="shared" si="1"/>
        <v>0.625</v>
      </c>
      <c r="R37" s="19">
        <f t="shared" si="2"/>
        <v>7000</v>
      </c>
      <c r="S37" s="286">
        <f t="shared" si="3"/>
        <v>1.25</v>
      </c>
      <c r="T37" s="801">
        <f>2/12*100</f>
        <v>16.666666666666664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f>jan!R38</f>
        <v>0</v>
      </c>
      <c r="O38" s="111">
        <f t="shared" si="0"/>
        <v>0</v>
      </c>
      <c r="P38" s="115"/>
      <c r="Q38" s="286">
        <f t="shared" si="1"/>
        <v>0</v>
      </c>
      <c r="R38" s="19">
        <f t="shared" si="2"/>
        <v>0</v>
      </c>
      <c r="S38" s="286">
        <f t="shared" si="3"/>
        <v>0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f>jan!R39</f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</f>
        <v>0</v>
      </c>
      <c r="O40" s="6">
        <f t="shared" si="0"/>
        <v>0</v>
      </c>
      <c r="P40" s="5">
        <f>P41+P42+P43</f>
        <v>0</v>
      </c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>
        <f>jan!R41</f>
        <v>0</v>
      </c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0</v>
      </c>
      <c r="O42" s="6">
        <f t="shared" si="0"/>
        <v>0</v>
      </c>
      <c r="P42" s="5">
        <f>P43+P44+P45</f>
        <v>0</v>
      </c>
      <c r="Q42" s="285">
        <f t="shared" si="1"/>
        <v>0</v>
      </c>
      <c r="R42" s="17">
        <f t="shared" si="2"/>
        <v>0</v>
      </c>
      <c r="S42" s="285">
        <f t="shared" si="3"/>
        <v>0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>
        <f>jan!R43</f>
        <v>0</v>
      </c>
      <c r="O43" s="111">
        <f t="shared" si="0"/>
        <v>0</v>
      </c>
      <c r="P43" s="115"/>
      <c r="Q43" s="286">
        <f t="shared" si="1"/>
        <v>0</v>
      </c>
      <c r="R43" s="19">
        <f t="shared" si="2"/>
        <v>0</v>
      </c>
      <c r="S43" s="286">
        <f t="shared" si="3"/>
        <v>0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f>jan!R44</f>
        <v>0</v>
      </c>
      <c r="O44" s="111">
        <f t="shared" si="0"/>
        <v>0</v>
      </c>
      <c r="P44" s="116"/>
      <c r="Q44" s="286">
        <f t="shared" si="1"/>
        <v>0</v>
      </c>
      <c r="R44" s="19">
        <f t="shared" si="2"/>
        <v>0</v>
      </c>
      <c r="S44" s="286">
        <f t="shared" si="3"/>
        <v>0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f>jan!R45</f>
        <v>0</v>
      </c>
      <c r="O45" s="111">
        <f t="shared" si="0"/>
        <v>0</v>
      </c>
      <c r="P45" s="116"/>
      <c r="Q45" s="286">
        <f t="shared" si="1"/>
        <v>0</v>
      </c>
      <c r="R45" s="19">
        <f t="shared" si="2"/>
        <v>0</v>
      </c>
      <c r="S45" s="286">
        <f t="shared" si="3"/>
        <v>0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500000</v>
      </c>
      <c r="O46" s="6">
        <f t="shared" si="0"/>
        <v>0.66110894414290522</v>
      </c>
      <c r="P46" s="5">
        <f>P47+P48+P49</f>
        <v>0</v>
      </c>
      <c r="Q46" s="285">
        <f t="shared" si="1"/>
        <v>0</v>
      </c>
      <c r="R46" s="17">
        <f t="shared" si="2"/>
        <v>500000</v>
      </c>
      <c r="S46" s="285">
        <f t="shared" si="3"/>
        <v>0.66110894414290522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>
        <f>jan!R47</f>
        <v>0</v>
      </c>
      <c r="O47" s="111">
        <f t="shared" si="0"/>
        <v>0</v>
      </c>
      <c r="P47" s="115"/>
      <c r="Q47" s="286">
        <f t="shared" si="1"/>
        <v>0</v>
      </c>
      <c r="R47" s="19">
        <f t="shared" si="2"/>
        <v>0</v>
      </c>
      <c r="S47" s="286">
        <f t="shared" si="3"/>
        <v>0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f>jan!R48</f>
        <v>500000</v>
      </c>
      <c r="O48" s="111">
        <f t="shared" si="0"/>
        <v>5.9523809523809517</v>
      </c>
      <c r="P48" s="116"/>
      <c r="Q48" s="286">
        <f t="shared" si="1"/>
        <v>0</v>
      </c>
      <c r="R48" s="19">
        <f t="shared" si="2"/>
        <v>500000</v>
      </c>
      <c r="S48" s="286">
        <f t="shared" si="3"/>
        <v>5.9523809523809517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f>jan!R49</f>
        <v>0</v>
      </c>
      <c r="O49" s="111">
        <f t="shared" si="0"/>
        <v>0</v>
      </c>
      <c r="P49" s="116"/>
      <c r="Q49" s="286">
        <f t="shared" si="1"/>
        <v>0</v>
      </c>
      <c r="R49" s="19">
        <f t="shared" si="2"/>
        <v>0</v>
      </c>
      <c r="S49" s="286">
        <f t="shared" si="3"/>
        <v>0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0</v>
      </c>
      <c r="O50" s="6">
        <f t="shared" si="0"/>
        <v>0</v>
      </c>
      <c r="P50" s="114">
        <f>P51</f>
        <v>750000</v>
      </c>
      <c r="Q50" s="285">
        <f t="shared" si="1"/>
        <v>2.8790786948176583</v>
      </c>
      <c r="R50" s="17">
        <f t="shared" si="2"/>
        <v>750000</v>
      </c>
      <c r="S50" s="285">
        <f t="shared" si="3"/>
        <v>2.8790786948176583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f>jan!R51</f>
        <v>0</v>
      </c>
      <c r="O51" s="111">
        <f t="shared" si="0"/>
        <v>0</v>
      </c>
      <c r="P51" s="113">
        <v>750000</v>
      </c>
      <c r="Q51" s="286">
        <f t="shared" si="1"/>
        <v>2.8790786948176583</v>
      </c>
      <c r="R51" s="19">
        <f t="shared" si="2"/>
        <v>750000</v>
      </c>
      <c r="S51" s="286">
        <f t="shared" si="3"/>
        <v>2.8790786948176583</v>
      </c>
      <c r="T51" s="801">
        <f>1/12*100</f>
        <v>8.3333333333333321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f>jan!R53</f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0</v>
      </c>
      <c r="O54" s="6">
        <f t="shared" si="0"/>
        <v>0</v>
      </c>
      <c r="P54" s="17">
        <f>P55+P56</f>
        <v>0</v>
      </c>
      <c r="Q54" s="285">
        <f t="shared" si="1"/>
        <v>0</v>
      </c>
      <c r="R54" s="17">
        <f t="shared" si="2"/>
        <v>0</v>
      </c>
      <c r="S54" s="285">
        <f t="shared" si="3"/>
        <v>0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f>jan!R55</f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f>jan!R56</f>
        <v>0</v>
      </c>
      <c r="O56" s="111">
        <f t="shared" si="0"/>
        <v>0</v>
      </c>
      <c r="P56" s="19"/>
      <c r="Q56" s="286">
        <f t="shared" si="1"/>
        <v>0</v>
      </c>
      <c r="R56" s="19">
        <f t="shared" si="2"/>
        <v>0</v>
      </c>
      <c r="S56" s="286">
        <f t="shared" si="3"/>
        <v>0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0</v>
      </c>
      <c r="O57" s="6">
        <f t="shared" si="0"/>
        <v>0</v>
      </c>
      <c r="P57" s="17">
        <f>P58</f>
        <v>0</v>
      </c>
      <c r="Q57" s="285">
        <f t="shared" si="1"/>
        <v>0</v>
      </c>
      <c r="R57" s="17">
        <f t="shared" si="2"/>
        <v>0</v>
      </c>
      <c r="S57" s="285">
        <f t="shared" si="3"/>
        <v>0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f>jan!R58</f>
        <v>0</v>
      </c>
      <c r="O58" s="111">
        <f t="shared" si="0"/>
        <v>0</v>
      </c>
      <c r="P58" s="19"/>
      <c r="Q58" s="286">
        <f t="shared" si="1"/>
        <v>0</v>
      </c>
      <c r="R58" s="19">
        <f t="shared" si="2"/>
        <v>0</v>
      </c>
      <c r="S58" s="286">
        <f t="shared" si="3"/>
        <v>0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367</v>
      </c>
      <c r="L59" s="12"/>
      <c r="M59" s="17">
        <f>SUM(M60:M63)</f>
        <v>33500000</v>
      </c>
      <c r="N59" s="17">
        <f>SUM(N60:N63)</f>
        <v>0</v>
      </c>
      <c r="O59" s="6">
        <f t="shared" si="0"/>
        <v>0</v>
      </c>
      <c r="P59" s="17">
        <f>SUM(P60:P63)</f>
        <v>0</v>
      </c>
      <c r="Q59" s="285">
        <f t="shared" si="1"/>
        <v>0</v>
      </c>
      <c r="R59" s="17">
        <f t="shared" si="2"/>
        <v>0</v>
      </c>
      <c r="S59" s="285">
        <f t="shared" si="3"/>
        <v>0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f>jan!R60</f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>
        <f>jan!R61</f>
        <v>0</v>
      </c>
      <c r="O61" s="111">
        <f t="shared" si="0"/>
        <v>0</v>
      </c>
      <c r="P61" s="19"/>
      <c r="Q61" s="286">
        <f t="shared" si="1"/>
        <v>0</v>
      </c>
      <c r="R61" s="19">
        <f t="shared" si="2"/>
        <v>0</v>
      </c>
      <c r="S61" s="286">
        <f t="shared" si="3"/>
        <v>0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>
        <f>jan!R62</f>
        <v>0</v>
      </c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f>jan!R63</f>
        <v>0</v>
      </c>
      <c r="O63" s="111">
        <f t="shared" si="0"/>
        <v>0</v>
      </c>
      <c r="P63" s="19"/>
      <c r="Q63" s="286">
        <f t="shared" si="1"/>
        <v>0</v>
      </c>
      <c r="R63" s="19">
        <f t="shared" si="2"/>
        <v>0</v>
      </c>
      <c r="S63" s="286">
        <f t="shared" si="3"/>
        <v>0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SUM(N65:N67)</f>
        <v>0</v>
      </c>
      <c r="O64" s="6">
        <f t="shared" si="0"/>
        <v>0</v>
      </c>
      <c r="P64" s="17">
        <f>P67</f>
        <v>0</v>
      </c>
      <c r="Q64" s="285">
        <f t="shared" si="1"/>
        <v>0</v>
      </c>
      <c r="R64" s="17">
        <f t="shared" si="2"/>
        <v>0</v>
      </c>
      <c r="S64" s="285">
        <f t="shared" si="3"/>
        <v>0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>
        <f>jan!R65</f>
        <v>0</v>
      </c>
      <c r="O65" s="111">
        <f t="shared" si="0"/>
        <v>0</v>
      </c>
      <c r="P65" s="19"/>
      <c r="Q65" s="286">
        <f t="shared" si="1"/>
        <v>0</v>
      </c>
      <c r="R65" s="19">
        <f t="shared" si="2"/>
        <v>0</v>
      </c>
      <c r="S65" s="286">
        <f t="shared" si="3"/>
        <v>0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>
        <f>jan!R66</f>
        <v>0</v>
      </c>
      <c r="O66" s="111">
        <f t="shared" si="0"/>
        <v>0</v>
      </c>
      <c r="P66" s="19"/>
      <c r="Q66" s="286">
        <f t="shared" si="1"/>
        <v>0</v>
      </c>
      <c r="R66" s="19">
        <f t="shared" si="2"/>
        <v>0</v>
      </c>
      <c r="S66" s="286">
        <f t="shared" si="3"/>
        <v>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>
        <f>jan!R67</f>
        <v>0</v>
      </c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 ht="33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0</v>
      </c>
      <c r="O68" s="6">
        <f t="shared" si="0"/>
        <v>0</v>
      </c>
      <c r="P68" s="17">
        <f>P69+P70</f>
        <v>250000</v>
      </c>
      <c r="Q68" s="285">
        <f t="shared" si="1"/>
        <v>0.73529411764705876</v>
      </c>
      <c r="R68" s="17">
        <f t="shared" si="2"/>
        <v>250000</v>
      </c>
      <c r="S68" s="285">
        <f t="shared" si="3"/>
        <v>0.73529411764705876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f>jan!R69</f>
        <v>0</v>
      </c>
      <c r="O69" s="111">
        <f t="shared" si="0"/>
        <v>0</v>
      </c>
      <c r="P69" s="19">
        <v>250000</v>
      </c>
      <c r="Q69" s="286">
        <f t="shared" si="1"/>
        <v>1.7361111111111112</v>
      </c>
      <c r="R69" s="19">
        <f t="shared" si="2"/>
        <v>250000</v>
      </c>
      <c r="S69" s="286">
        <f t="shared" si="3"/>
        <v>1.7361111111111112</v>
      </c>
      <c r="T69" s="801">
        <f>2/12*100</f>
        <v>16.666666666666664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f>jan!R70</f>
        <v>0</v>
      </c>
      <c r="O70" s="111">
        <f t="shared" si="0"/>
        <v>0</v>
      </c>
      <c r="P70" s="19"/>
      <c r="Q70" s="286">
        <f t="shared" si="1"/>
        <v>0</v>
      </c>
      <c r="R70" s="19">
        <f t="shared" si="2"/>
        <v>0</v>
      </c>
      <c r="S70" s="286">
        <f t="shared" si="3"/>
        <v>0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0</v>
      </c>
      <c r="O71" s="6">
        <f t="shared" si="0"/>
        <v>0</v>
      </c>
      <c r="P71" s="17">
        <f>P72</f>
        <v>0</v>
      </c>
      <c r="Q71" s="285">
        <f t="shared" si="1"/>
        <v>0</v>
      </c>
      <c r="R71" s="17">
        <f t="shared" si="2"/>
        <v>0</v>
      </c>
      <c r="S71" s="285">
        <f t="shared" si="3"/>
        <v>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f>jan!R72</f>
        <v>0</v>
      </c>
      <c r="O72" s="111">
        <f t="shared" si="0"/>
        <v>0</v>
      </c>
      <c r="P72" s="19"/>
      <c r="Q72" s="286">
        <f t="shared" si="1"/>
        <v>0</v>
      </c>
      <c r="R72" s="19">
        <f t="shared" si="2"/>
        <v>0</v>
      </c>
      <c r="S72" s="286">
        <f t="shared" si="3"/>
        <v>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0</v>
      </c>
      <c r="O73" s="6">
        <f t="shared" si="0"/>
        <v>0</v>
      </c>
      <c r="P73" s="17">
        <f>P74</f>
        <v>0</v>
      </c>
      <c r="Q73" s="285">
        <f t="shared" si="1"/>
        <v>0</v>
      </c>
      <c r="R73" s="17">
        <f t="shared" si="2"/>
        <v>0</v>
      </c>
      <c r="S73" s="285">
        <f t="shared" si="3"/>
        <v>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f>jan!R74</f>
        <v>0</v>
      </c>
      <c r="O74" s="111">
        <f t="shared" si="0"/>
        <v>0</v>
      </c>
      <c r="P74" s="19"/>
      <c r="Q74" s="286">
        <f t="shared" si="1"/>
        <v>0</v>
      </c>
      <c r="R74" s="19">
        <f t="shared" si="2"/>
        <v>0</v>
      </c>
      <c r="S74" s="286">
        <f t="shared" si="3"/>
        <v>0</v>
      </c>
      <c r="T74" s="801">
        <v>0</v>
      </c>
      <c r="U74" s="11"/>
      <c r="V74" s="11"/>
    </row>
    <row r="75" spans="1:22" ht="7.5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9">
        <f>jan!R75</f>
        <v>0</v>
      </c>
      <c r="O75" s="5"/>
      <c r="P75" s="5"/>
      <c r="Q75" s="286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0</v>
      </c>
      <c r="O76" s="6">
        <f t="shared" si="0"/>
        <v>0</v>
      </c>
      <c r="P76" s="17">
        <f>P77+P79+P82+P84+P86</f>
        <v>0</v>
      </c>
      <c r="Q76" s="285">
        <f t="shared" si="1"/>
        <v>0</v>
      </c>
      <c r="R76" s="17">
        <f t="shared" si="2"/>
        <v>0</v>
      </c>
      <c r="S76" s="285">
        <f t="shared" si="3"/>
        <v>0</v>
      </c>
      <c r="T76" s="800">
        <f>SUM(T78:T89)/8</f>
        <v>0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0</v>
      </c>
      <c r="O77" s="6">
        <f t="shared" si="0"/>
        <v>0</v>
      </c>
      <c r="P77" s="17">
        <f>P78</f>
        <v>0</v>
      </c>
      <c r="Q77" s="285">
        <f t="shared" si="1"/>
        <v>0</v>
      </c>
      <c r="R77" s="17">
        <f t="shared" si="2"/>
        <v>0</v>
      </c>
      <c r="S77" s="285">
        <f t="shared" si="3"/>
        <v>0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f>jan!R78</f>
        <v>0</v>
      </c>
      <c r="O78" s="111">
        <f t="shared" si="0"/>
        <v>0</v>
      </c>
      <c r="P78" s="19"/>
      <c r="Q78" s="286">
        <f t="shared" si="1"/>
        <v>0</v>
      </c>
      <c r="R78" s="19">
        <f t="shared" si="2"/>
        <v>0</v>
      </c>
      <c r="S78" s="286">
        <f t="shared" si="3"/>
        <v>0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0</v>
      </c>
      <c r="O79" s="6">
        <f t="shared" si="0"/>
        <v>0</v>
      </c>
      <c r="P79" s="17">
        <f>SUM(P80:P81)</f>
        <v>0</v>
      </c>
      <c r="Q79" s="285">
        <f t="shared" si="1"/>
        <v>0</v>
      </c>
      <c r="R79" s="17">
        <f t="shared" si="2"/>
        <v>0</v>
      </c>
      <c r="S79" s="285">
        <f t="shared" si="3"/>
        <v>0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f>jan!R80</f>
        <v>0</v>
      </c>
      <c r="O80" s="111">
        <f t="shared" si="0"/>
        <v>0</v>
      </c>
      <c r="P80" s="19"/>
      <c r="Q80" s="286">
        <f t="shared" si="1"/>
        <v>0</v>
      </c>
      <c r="R80" s="19">
        <f t="shared" si="2"/>
        <v>0</v>
      </c>
      <c r="S80" s="286">
        <f t="shared" si="3"/>
        <v>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>
        <f>jan!R81</f>
        <v>0</v>
      </c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>
        <f>jan!R83</f>
        <v>0</v>
      </c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>
        <f>jan!R85</f>
        <v>0</v>
      </c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SUM(N87:N89)</f>
        <v>0</v>
      </c>
      <c r="O86" s="6">
        <f>N86/M86*100</f>
        <v>0</v>
      </c>
      <c r="P86" s="17">
        <f>SUM(P89:P90)</f>
        <v>0</v>
      </c>
      <c r="Q86" s="285">
        <f>P86/M86*100</f>
        <v>0</v>
      </c>
      <c r="R86" s="17">
        <f>N86+P86</f>
        <v>0</v>
      </c>
      <c r="S86" s="285">
        <f>R86/M86*100</f>
        <v>0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>
        <f>jan!R87</f>
        <v>0</v>
      </c>
      <c r="O87" s="111">
        <f t="shared" ref="O87:O88" si="6">N87/M87*100</f>
        <v>0</v>
      </c>
      <c r="P87" s="19"/>
      <c r="Q87" s="286">
        <f t="shared" ref="Q87:Q88" si="7">P87/M87*100</f>
        <v>0</v>
      </c>
      <c r="R87" s="19">
        <f t="shared" ref="R87:R88" si="8">N87+P87</f>
        <v>0</v>
      </c>
      <c r="S87" s="286">
        <f t="shared" ref="S87:S88" si="9">R87/M87*100</f>
        <v>0</v>
      </c>
      <c r="T87" s="803">
        <v>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>
        <f>jan!R88</f>
        <v>0</v>
      </c>
      <c r="O88" s="111">
        <f t="shared" si="6"/>
        <v>0</v>
      </c>
      <c r="P88" s="19"/>
      <c r="Q88" s="286">
        <f t="shared" si="7"/>
        <v>0</v>
      </c>
      <c r="R88" s="19">
        <f t="shared" si="8"/>
        <v>0</v>
      </c>
      <c r="S88" s="286">
        <f t="shared" si="9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>
        <f>jan!R89</f>
        <v>0</v>
      </c>
      <c r="O89" s="111">
        <f>N89/M89*100</f>
        <v>0</v>
      </c>
      <c r="P89" s="19"/>
      <c r="Q89" s="286">
        <f>P89/M89*100</f>
        <v>0</v>
      </c>
      <c r="R89" s="19">
        <f>N89+P89</f>
        <v>0</v>
      </c>
      <c r="S89" s="286">
        <f>R89/M89*100</f>
        <v>0</v>
      </c>
      <c r="T89" s="803">
        <v>0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673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21.7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21.7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</mergeCells>
  <pageMargins left="0.45" right="0.25" top="0.75" bottom="0.25" header="0.3" footer="0.3"/>
  <pageSetup paperSize="5" scale="58"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AT123"/>
  <sheetViews>
    <sheetView workbookViewId="0">
      <selection activeCell="O13" sqref="O13:R13"/>
    </sheetView>
  </sheetViews>
  <sheetFormatPr defaultRowHeight="15.75"/>
  <cols>
    <col min="1" max="1" width="4.42578125" style="189" customWidth="1"/>
    <col min="2" max="2" width="3.5703125" style="189" customWidth="1"/>
    <col min="3" max="3" width="13.7109375" style="189" customWidth="1"/>
    <col min="4" max="4" width="25.5703125" style="189" customWidth="1"/>
    <col min="5" max="5" width="6.7109375" style="189" bestFit="1" customWidth="1"/>
    <col min="6" max="6" width="5.5703125" style="189" bestFit="1" customWidth="1"/>
    <col min="7" max="7" width="8.85546875" style="189" bestFit="1" customWidth="1"/>
    <col min="8" max="8" width="3.85546875" style="189" bestFit="1" customWidth="1"/>
    <col min="9" max="9" width="33.140625" style="189" customWidth="1"/>
    <col min="10" max="10" width="9.140625" style="244" bestFit="1" customWidth="1"/>
    <col min="11" max="11" width="14" style="254" bestFit="1" customWidth="1"/>
    <col min="12" max="12" width="14.140625" style="255" customWidth="1"/>
    <col min="13" max="13" width="8.28515625" style="189" customWidth="1"/>
    <col min="14" max="14" width="5.28515625" style="189" bestFit="1" customWidth="1"/>
    <col min="15" max="15" width="6.5703125" style="189" customWidth="1"/>
    <col min="16" max="16" width="9.140625" style="191"/>
    <col min="17" max="17" width="10.85546875" style="191" bestFit="1" customWidth="1"/>
    <col min="18" max="18" width="30" style="191" customWidth="1"/>
    <col min="19" max="19" width="14.7109375" style="192" customWidth="1"/>
    <col min="20" max="22" width="10.42578125" style="192" bestFit="1" customWidth="1"/>
    <col min="23" max="30" width="3.140625" style="192" customWidth="1"/>
    <col min="31" max="31" width="10.42578125" style="192" bestFit="1" customWidth="1"/>
    <col min="32" max="33" width="10.7109375" style="191" bestFit="1" customWidth="1"/>
    <col min="34" max="34" width="9.28515625" style="191" bestFit="1" customWidth="1"/>
    <col min="35" max="46" width="9.140625" style="191"/>
    <col min="47" max="16384" width="9.140625" style="193"/>
  </cols>
  <sheetData>
    <row r="1" spans="1:46" ht="20.25">
      <c r="C1" s="843" t="s">
        <v>221</v>
      </c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3"/>
      <c r="O1" s="533"/>
    </row>
    <row r="2" spans="1:46" ht="20.25">
      <c r="C2" s="843" t="s">
        <v>372</v>
      </c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533"/>
    </row>
    <row r="3" spans="1:46">
      <c r="A3" s="844" t="s">
        <v>279</v>
      </c>
      <c r="B3" s="844"/>
      <c r="C3" s="844"/>
      <c r="D3" s="844"/>
      <c r="E3" s="194"/>
      <c r="F3" s="194"/>
      <c r="G3" s="194"/>
      <c r="H3" s="194"/>
      <c r="I3" s="194"/>
      <c r="J3" s="195"/>
      <c r="K3" s="196"/>
      <c r="L3" s="197"/>
      <c r="M3" s="194"/>
      <c r="N3" s="194"/>
      <c r="O3" s="194"/>
    </row>
    <row r="4" spans="1:46">
      <c r="A4" s="845" t="s">
        <v>85</v>
      </c>
      <c r="B4" s="846"/>
      <c r="C4" s="849" t="s">
        <v>222</v>
      </c>
      <c r="D4" s="850"/>
      <c r="E4" s="853" t="s">
        <v>7</v>
      </c>
      <c r="F4" s="853"/>
      <c r="G4" s="854" t="s">
        <v>221</v>
      </c>
      <c r="H4" s="855"/>
      <c r="I4" s="855"/>
      <c r="J4" s="855"/>
      <c r="K4" s="855"/>
      <c r="L4" s="855"/>
      <c r="M4" s="856"/>
      <c r="N4" s="853" t="s">
        <v>223</v>
      </c>
      <c r="O4" s="191"/>
    </row>
    <row r="5" spans="1:46" ht="63">
      <c r="A5" s="847"/>
      <c r="B5" s="848"/>
      <c r="C5" s="851"/>
      <c r="D5" s="852"/>
      <c r="E5" s="198" t="s">
        <v>224</v>
      </c>
      <c r="F5" s="198" t="s">
        <v>225</v>
      </c>
      <c r="G5" s="857" t="s">
        <v>226</v>
      </c>
      <c r="H5" s="858"/>
      <c r="I5" s="859"/>
      <c r="J5" s="198" t="s">
        <v>227</v>
      </c>
      <c r="K5" s="199" t="s">
        <v>228</v>
      </c>
      <c r="L5" s="200" t="s">
        <v>229</v>
      </c>
      <c r="M5" s="198" t="s">
        <v>230</v>
      </c>
      <c r="N5" s="853"/>
      <c r="O5" s="191"/>
    </row>
    <row r="6" spans="1:46" s="207" customFormat="1">
      <c r="A6" s="838">
        <v>1</v>
      </c>
      <c r="B6" s="838"/>
      <c r="C6" s="838">
        <v>2</v>
      </c>
      <c r="D6" s="838"/>
      <c r="E6" s="201">
        <v>3</v>
      </c>
      <c r="F6" s="201">
        <v>4</v>
      </c>
      <c r="G6" s="839">
        <v>5</v>
      </c>
      <c r="H6" s="840"/>
      <c r="I6" s="841"/>
      <c r="J6" s="201">
        <v>6</v>
      </c>
      <c r="K6" s="201">
        <v>7</v>
      </c>
      <c r="L6" s="202">
        <v>8</v>
      </c>
      <c r="M6" s="201">
        <v>9</v>
      </c>
      <c r="N6" s="203">
        <v>10</v>
      </c>
      <c r="O6" s="204"/>
      <c r="P6" s="205"/>
      <c r="Q6" s="205"/>
      <c r="R6" s="205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</row>
    <row r="7" spans="1:46" ht="66.75" customHeight="1">
      <c r="A7" s="208" t="s">
        <v>231</v>
      </c>
      <c r="B7" s="208" t="s">
        <v>232</v>
      </c>
      <c r="C7" s="209" t="s">
        <v>684</v>
      </c>
      <c r="D7" s="210" t="s">
        <v>280</v>
      </c>
      <c r="E7" s="211" t="e">
        <f>#REF!</f>
        <v>#REF!</v>
      </c>
      <c r="F7" s="212" t="e">
        <f>M8</f>
        <v>#REF!</v>
      </c>
      <c r="G7" s="213"/>
      <c r="H7" s="213"/>
      <c r="I7" s="214"/>
      <c r="J7" s="215"/>
      <c r="K7" s="216"/>
      <c r="L7" s="216"/>
      <c r="M7" s="217"/>
      <c r="N7" s="214"/>
      <c r="O7" s="218"/>
    </row>
    <row r="8" spans="1:46" ht="16.5" customHeight="1">
      <c r="A8" s="219"/>
      <c r="B8" s="219"/>
      <c r="C8" s="220"/>
      <c r="D8" s="213"/>
      <c r="E8" s="213"/>
      <c r="F8" s="213"/>
      <c r="G8" s="213" t="s">
        <v>233</v>
      </c>
      <c r="H8" s="221" t="s">
        <v>234</v>
      </c>
      <c r="I8" s="222" t="s">
        <v>235</v>
      </c>
      <c r="J8" s="215" t="s">
        <v>236</v>
      </c>
      <c r="K8" s="216" t="e">
        <f>#REF!</f>
        <v>#REF!</v>
      </c>
      <c r="L8" s="216" t="e">
        <f>#REF!</f>
        <v>#REF!</v>
      </c>
      <c r="M8" s="223" t="e">
        <f>L8/K8*100</f>
        <v>#REF!</v>
      </c>
      <c r="N8" s="222"/>
      <c r="O8" s="224"/>
      <c r="R8" s="225" t="e">
        <f>L8-'[1]PKK tri B (1)'!L8</f>
        <v>#REF!</v>
      </c>
    </row>
    <row r="9" spans="1:46" ht="21" customHeight="1">
      <c r="A9" s="219"/>
      <c r="B9" s="219"/>
      <c r="C9" s="220"/>
      <c r="D9" s="213"/>
      <c r="E9" s="213"/>
      <c r="F9" s="213"/>
      <c r="G9" s="213"/>
      <c r="H9" s="221" t="s">
        <v>237</v>
      </c>
      <c r="I9" s="226" t="s">
        <v>238</v>
      </c>
      <c r="J9" s="227" t="s">
        <v>239</v>
      </c>
      <c r="K9" s="228">
        <v>28</v>
      </c>
      <c r="L9" s="228">
        <v>28</v>
      </c>
      <c r="M9" s="223">
        <f>L9/K9*100</f>
        <v>100</v>
      </c>
      <c r="N9" s="222"/>
      <c r="O9" s="224"/>
      <c r="Q9" s="225" t="e">
        <f>#REF!-'[1]PKK tri new'!#REF!</f>
        <v>#REF!</v>
      </c>
    </row>
    <row r="10" spans="1:46" ht="16.5" customHeight="1">
      <c r="A10" s="219"/>
      <c r="B10" s="219"/>
      <c r="C10" s="220"/>
      <c r="D10" s="213"/>
      <c r="E10" s="213"/>
      <c r="F10" s="213"/>
      <c r="G10" s="213"/>
      <c r="H10" s="221" t="s">
        <v>240</v>
      </c>
      <c r="I10" s="226" t="s">
        <v>241</v>
      </c>
      <c r="J10" s="229" t="s">
        <v>242</v>
      </c>
      <c r="K10" s="228">
        <v>12</v>
      </c>
      <c r="L10" s="228">
        <v>12</v>
      </c>
      <c r="M10" s="223">
        <f>L10/K10*100</f>
        <v>100</v>
      </c>
      <c r="N10" s="222"/>
      <c r="O10" s="224"/>
    </row>
    <row r="11" spans="1:46" ht="16.5" customHeight="1">
      <c r="A11" s="219"/>
      <c r="B11" s="219"/>
      <c r="C11" s="220"/>
      <c r="D11" s="213"/>
      <c r="E11" s="213"/>
      <c r="F11" s="213"/>
      <c r="G11" s="213"/>
      <c r="H11" s="221" t="s">
        <v>243</v>
      </c>
      <c r="I11" s="226" t="s">
        <v>244</v>
      </c>
      <c r="J11" s="229" t="s">
        <v>245</v>
      </c>
      <c r="K11" s="228">
        <v>5</v>
      </c>
      <c r="L11" s="228">
        <v>5</v>
      </c>
      <c r="M11" s="223">
        <f>L11/K11*100</f>
        <v>100</v>
      </c>
      <c r="N11" s="222"/>
      <c r="O11" s="224"/>
    </row>
    <row r="12" spans="1:46" ht="16.5" customHeight="1">
      <c r="A12" s="219"/>
      <c r="B12" s="219"/>
      <c r="C12" s="220"/>
      <c r="D12" s="213"/>
      <c r="E12" s="213"/>
      <c r="F12" s="213"/>
      <c r="G12" s="213"/>
      <c r="H12" s="221"/>
      <c r="I12" s="226"/>
      <c r="J12" s="229"/>
      <c r="K12" s="228"/>
      <c r="L12" s="543"/>
      <c r="M12" s="223"/>
      <c r="N12" s="222"/>
      <c r="O12" s="224"/>
      <c r="Q12" s="230"/>
      <c r="R12" s="230"/>
    </row>
    <row r="13" spans="1:46" s="267" customFormat="1" ht="39" customHeight="1">
      <c r="A13" s="269"/>
      <c r="B13" s="269"/>
      <c r="C13" s="270"/>
      <c r="D13" s="271"/>
      <c r="E13" s="271"/>
      <c r="F13" s="271"/>
      <c r="G13" s="271" t="s">
        <v>246</v>
      </c>
      <c r="H13" s="272">
        <v>1</v>
      </c>
      <c r="I13" s="231" t="s">
        <v>277</v>
      </c>
      <c r="J13" s="273" t="s">
        <v>239</v>
      </c>
      <c r="K13" s="542">
        <v>1</v>
      </c>
      <c r="L13" s="544">
        <v>1</v>
      </c>
      <c r="M13" s="275">
        <f>L13/K13*100</f>
        <v>100</v>
      </c>
      <c r="N13" s="276"/>
      <c r="O13" s="885"/>
      <c r="P13" s="886"/>
      <c r="Q13" s="886"/>
      <c r="R13" s="88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</row>
    <row r="14" spans="1:46" ht="25.5" customHeight="1">
      <c r="A14" s="219"/>
      <c r="B14" s="219"/>
      <c r="C14" s="220"/>
      <c r="D14" s="213"/>
      <c r="E14" s="213"/>
      <c r="F14" s="213"/>
      <c r="G14" s="213" t="s">
        <v>247</v>
      </c>
      <c r="H14" s="229"/>
      <c r="I14" s="268" t="s">
        <v>278</v>
      </c>
      <c r="J14" s="233" t="s">
        <v>248</v>
      </c>
      <c r="K14" s="553">
        <v>0.57350000000000001</v>
      </c>
      <c r="L14" s="554">
        <v>0.73040000000000005</v>
      </c>
      <c r="M14" s="223">
        <f>L14/K14*100</f>
        <v>127.35832606800351</v>
      </c>
      <c r="N14" s="222"/>
      <c r="O14" s="224"/>
      <c r="Q14" s="842"/>
      <c r="R14" s="234"/>
      <c r="S14" s="235"/>
      <c r="U14" s="192">
        <f>87474000/6000</f>
        <v>14579</v>
      </c>
    </row>
    <row r="15" spans="1:46" ht="15" customHeight="1">
      <c r="A15" s="236"/>
      <c r="B15" s="236"/>
      <c r="C15" s="237"/>
      <c r="D15" s="238"/>
      <c r="E15" s="238"/>
      <c r="F15" s="238"/>
      <c r="G15" s="238"/>
      <c r="H15" s="239"/>
      <c r="I15" s="240"/>
      <c r="J15" s="241"/>
      <c r="K15" s="242"/>
      <c r="L15" s="242"/>
      <c r="M15" s="243"/>
      <c r="N15" s="224"/>
      <c r="O15" s="224"/>
      <c r="Q15" s="842"/>
      <c r="R15" s="234"/>
      <c r="S15" s="235"/>
    </row>
    <row r="16" spans="1:46">
      <c r="D16" s="284" t="s">
        <v>182</v>
      </c>
      <c r="K16" s="863" t="s">
        <v>371</v>
      </c>
      <c r="L16" s="863"/>
      <c r="M16" s="863"/>
      <c r="N16" s="863"/>
      <c r="Q16" s="842"/>
      <c r="R16" s="230"/>
    </row>
    <row r="17" spans="3:46">
      <c r="D17" s="368" t="s">
        <v>183</v>
      </c>
      <c r="K17" s="863" t="s">
        <v>79</v>
      </c>
      <c r="L17" s="863"/>
      <c r="M17" s="863"/>
      <c r="N17" s="863"/>
      <c r="O17" s="534"/>
      <c r="Q17" s="842"/>
      <c r="R17" s="230"/>
    </row>
    <row r="18" spans="3:46">
      <c r="C18" s="367"/>
      <c r="E18" s="367"/>
      <c r="F18" s="367"/>
      <c r="G18" s="367"/>
      <c r="K18" s="247"/>
      <c r="L18" s="247"/>
      <c r="M18" s="247"/>
      <c r="N18" s="247"/>
      <c r="O18" s="534"/>
      <c r="Q18" s="836" t="s">
        <v>249</v>
      </c>
    </row>
    <row r="19" spans="3:46">
      <c r="C19" s="367"/>
      <c r="D19" s="368"/>
      <c r="E19" s="367"/>
      <c r="F19" s="367"/>
      <c r="G19" s="367"/>
      <c r="K19" s="247"/>
      <c r="L19" s="247"/>
      <c r="M19" s="247"/>
      <c r="N19" s="247"/>
      <c r="O19" s="247"/>
      <c r="Q19" s="836"/>
    </row>
    <row r="20" spans="3:46">
      <c r="C20" s="367"/>
      <c r="D20" s="369"/>
      <c r="E20" s="367"/>
      <c r="F20" s="367"/>
      <c r="G20" s="367"/>
      <c r="I20" s="248"/>
      <c r="J20" s="536"/>
      <c r="K20" s="250"/>
      <c r="L20" s="250"/>
      <c r="M20" s="250"/>
      <c r="N20" s="250"/>
      <c r="O20" s="247"/>
      <c r="Q20" s="836"/>
    </row>
    <row r="21" spans="3:46" s="248" customFormat="1">
      <c r="C21" s="369"/>
      <c r="D21" s="370" t="s">
        <v>180</v>
      </c>
      <c r="E21" s="369"/>
      <c r="F21" s="369"/>
      <c r="G21" s="369"/>
      <c r="J21" s="536"/>
      <c r="K21" s="864" t="s">
        <v>177</v>
      </c>
      <c r="L21" s="864"/>
      <c r="M21" s="864"/>
      <c r="N21" s="864"/>
      <c r="O21" s="250"/>
      <c r="P21" s="251"/>
      <c r="Q21" s="836"/>
      <c r="R21" s="251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</row>
    <row r="22" spans="3:46" s="248" customFormat="1">
      <c r="C22" s="369"/>
      <c r="D22" s="371" t="s">
        <v>181</v>
      </c>
      <c r="E22" s="369"/>
      <c r="F22" s="369"/>
      <c r="G22" s="369"/>
      <c r="I22" s="189"/>
      <c r="J22" s="244"/>
      <c r="K22" s="865" t="s">
        <v>250</v>
      </c>
      <c r="L22" s="865"/>
      <c r="M22" s="865"/>
      <c r="N22" s="865"/>
      <c r="O22" s="253"/>
      <c r="P22" s="251"/>
      <c r="Q22" s="836"/>
      <c r="R22" s="251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</row>
    <row r="23" spans="3:46" s="189" customFormat="1">
      <c r="C23" s="367"/>
      <c r="D23" s="367"/>
      <c r="E23" s="367"/>
      <c r="F23" s="367"/>
      <c r="G23" s="367"/>
      <c r="J23" s="244"/>
      <c r="K23" s="254"/>
      <c r="L23" s="255"/>
      <c r="O23" s="537"/>
      <c r="P23" s="256"/>
      <c r="Q23" s="836"/>
      <c r="R23" s="256"/>
      <c r="S23" s="257"/>
      <c r="T23" s="257"/>
      <c r="U23" s="257"/>
      <c r="V23" s="257"/>
      <c r="W23" s="257"/>
      <c r="X23" s="257"/>
      <c r="Y23" s="257"/>
      <c r="Z23" s="257"/>
      <c r="AA23" s="257"/>
      <c r="AB23" s="257"/>
      <c r="AC23" s="257"/>
      <c r="AD23" s="257"/>
      <c r="AE23" s="257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</row>
    <row r="24" spans="3:46" s="189" customFormat="1">
      <c r="C24" s="367"/>
      <c r="D24" s="367"/>
      <c r="E24" s="367"/>
      <c r="F24" s="367"/>
      <c r="G24" s="367"/>
      <c r="J24" s="244"/>
      <c r="K24" s="254"/>
      <c r="L24" s="255"/>
      <c r="P24" s="256"/>
      <c r="Q24" s="836"/>
      <c r="R24" s="256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</row>
    <row r="25" spans="3:46" ht="51">
      <c r="C25" s="367"/>
      <c r="D25" s="367"/>
      <c r="E25" s="367"/>
      <c r="F25" s="367"/>
      <c r="G25" s="367"/>
      <c r="I25" s="219"/>
      <c r="J25" s="545" t="s">
        <v>426</v>
      </c>
      <c r="K25" s="545" t="s">
        <v>427</v>
      </c>
      <c r="L25" s="545" t="s">
        <v>428</v>
      </c>
      <c r="M25" s="546" t="s">
        <v>425</v>
      </c>
      <c r="N25" s="219"/>
      <c r="Q25" s="836"/>
      <c r="R25" s="535"/>
      <c r="S25" s="259"/>
      <c r="T25" s="259" t="s">
        <v>251</v>
      </c>
      <c r="U25" s="259" t="s">
        <v>252</v>
      </c>
      <c r="V25" s="259" t="s">
        <v>253</v>
      </c>
      <c r="W25" s="259" t="s">
        <v>254</v>
      </c>
      <c r="X25" s="259" t="s">
        <v>201</v>
      </c>
      <c r="Y25" s="259" t="s">
        <v>255</v>
      </c>
      <c r="Z25" s="259" t="s">
        <v>256</v>
      </c>
      <c r="AA25" s="259" t="s">
        <v>257</v>
      </c>
      <c r="AB25" s="259" t="s">
        <v>258</v>
      </c>
      <c r="AC25" s="259" t="s">
        <v>259</v>
      </c>
      <c r="AD25" s="259" t="s">
        <v>260</v>
      </c>
      <c r="AE25" s="259" t="s">
        <v>261</v>
      </c>
    </row>
    <row r="26" spans="3:46">
      <c r="C26" s="367"/>
      <c r="E26" s="367"/>
      <c r="F26" s="367"/>
      <c r="G26" s="367"/>
      <c r="I26" s="545"/>
      <c r="J26" s="547"/>
      <c r="K26" s="547"/>
      <c r="L26" s="547"/>
      <c r="M26" s="550"/>
      <c r="N26" s="219"/>
      <c r="Q26" s="535"/>
      <c r="R26" s="535"/>
      <c r="S26" s="259"/>
      <c r="T26" s="259"/>
      <c r="U26" s="259"/>
      <c r="V26" s="259"/>
      <c r="W26" s="259"/>
      <c r="X26" s="259"/>
      <c r="Y26" s="259"/>
      <c r="Z26" s="259"/>
      <c r="AA26" s="259"/>
      <c r="AB26" s="259"/>
      <c r="AC26" s="259"/>
      <c r="AD26" s="259"/>
      <c r="AE26" s="259"/>
    </row>
    <row r="27" spans="3:46" ht="15" customHeight="1">
      <c r="I27" s="547" t="s">
        <v>422</v>
      </c>
      <c r="J27" s="548">
        <v>99</v>
      </c>
      <c r="K27" s="549">
        <v>151</v>
      </c>
      <c r="L27" s="548">
        <v>158</v>
      </c>
      <c r="M27" s="552">
        <f>SUM(J27:L27)</f>
        <v>408</v>
      </c>
      <c r="N27" s="219"/>
      <c r="Q27" s="836" t="s">
        <v>262</v>
      </c>
      <c r="T27" s="259"/>
      <c r="U27" s="259">
        <v>150000</v>
      </c>
      <c r="V27" s="259"/>
      <c r="W27" s="259"/>
      <c r="X27" s="259"/>
      <c r="Y27" s="259"/>
      <c r="Z27" s="259"/>
      <c r="AA27" s="259"/>
      <c r="AB27" s="259"/>
      <c r="AC27" s="259"/>
      <c r="AD27" s="259"/>
      <c r="AE27" s="259">
        <f t="shared" ref="AE27:AE32" si="0">SUM(T27:AD27)</f>
        <v>150000</v>
      </c>
      <c r="AG27" s="192">
        <v>374000</v>
      </c>
      <c r="AH27" s="191">
        <f>AG27/5500</f>
        <v>68</v>
      </c>
    </row>
    <row r="28" spans="3:46">
      <c r="I28" s="547" t="s">
        <v>423</v>
      </c>
      <c r="J28" s="548">
        <v>78</v>
      </c>
      <c r="K28" s="549">
        <v>197</v>
      </c>
      <c r="L28" s="548">
        <v>168</v>
      </c>
      <c r="M28" s="552">
        <f>SUM(J28:L28)</f>
        <v>443</v>
      </c>
      <c r="N28" s="219"/>
      <c r="Q28" s="836"/>
      <c r="T28" s="259"/>
      <c r="U28" s="259"/>
      <c r="V28" s="259">
        <v>600000</v>
      </c>
      <c r="W28" s="259"/>
      <c r="X28" s="259"/>
      <c r="Y28" s="259"/>
      <c r="Z28" s="259"/>
      <c r="AA28" s="259"/>
      <c r="AB28" s="259"/>
      <c r="AC28" s="259"/>
      <c r="AD28" s="259"/>
      <c r="AE28" s="259">
        <f t="shared" si="0"/>
        <v>600000</v>
      </c>
      <c r="AG28" s="192">
        <v>260000</v>
      </c>
    </row>
    <row r="29" spans="3:46">
      <c r="I29" s="547" t="s">
        <v>424</v>
      </c>
      <c r="J29" s="548">
        <v>66</v>
      </c>
      <c r="K29" s="549">
        <v>158</v>
      </c>
      <c r="L29" s="548">
        <v>184</v>
      </c>
      <c r="M29" s="552">
        <f>SUM(J29:L29)</f>
        <v>408</v>
      </c>
      <c r="N29" s="219"/>
      <c r="Q29" s="836"/>
      <c r="R29" s="260" t="s">
        <v>263</v>
      </c>
      <c r="S29" s="235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>
        <f t="shared" si="0"/>
        <v>0</v>
      </c>
      <c r="AG29" s="192">
        <v>165000</v>
      </c>
      <c r="AH29" s="191">
        <f>AG29/5500</f>
        <v>30</v>
      </c>
    </row>
    <row r="30" spans="3:46">
      <c r="I30" s="550" t="s">
        <v>425</v>
      </c>
      <c r="J30" s="551">
        <f>SUM(J27:J29)</f>
        <v>243</v>
      </c>
      <c r="K30" s="551">
        <f>SUM(K27:K29)</f>
        <v>506</v>
      </c>
      <c r="L30" s="551">
        <f>SUM(L27:L29)</f>
        <v>510</v>
      </c>
      <c r="M30" s="552">
        <f>SUM(M27:M29)</f>
        <v>1259</v>
      </c>
      <c r="N30" s="219"/>
      <c r="Q30" s="836"/>
      <c r="R30" s="260" t="s">
        <v>264</v>
      </c>
      <c r="S30" s="235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>
        <f t="shared" si="0"/>
        <v>0</v>
      </c>
    </row>
    <row r="31" spans="3:46">
      <c r="M31" s="248"/>
      <c r="Q31" s="836"/>
      <c r="R31" s="260" t="s">
        <v>265</v>
      </c>
      <c r="S31" s="235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  <c r="AD31" s="261"/>
      <c r="AE31" s="259">
        <f t="shared" si="0"/>
        <v>0</v>
      </c>
    </row>
    <row r="32" spans="3:46">
      <c r="Q32" s="836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>
        <f t="shared" si="0"/>
        <v>0</v>
      </c>
    </row>
    <row r="33" spans="1:46">
      <c r="Q33" s="836"/>
      <c r="R33" s="262"/>
      <c r="S33" s="263"/>
      <c r="T33" s="263">
        <f>SUM(T27:T32)</f>
        <v>0</v>
      </c>
      <c r="U33" s="263">
        <f t="shared" ref="U33:AE33" si="1">SUM(U27:U32)</f>
        <v>150000</v>
      </c>
      <c r="V33" s="263">
        <f t="shared" si="1"/>
        <v>600000</v>
      </c>
      <c r="W33" s="263">
        <f t="shared" si="1"/>
        <v>0</v>
      </c>
      <c r="X33" s="263">
        <f t="shared" si="1"/>
        <v>0</v>
      </c>
      <c r="Y33" s="263">
        <f t="shared" si="1"/>
        <v>0</v>
      </c>
      <c r="Z33" s="263">
        <f t="shared" si="1"/>
        <v>0</v>
      </c>
      <c r="AA33" s="263">
        <f t="shared" si="1"/>
        <v>0</v>
      </c>
      <c r="AB33" s="263">
        <f t="shared" si="1"/>
        <v>0</v>
      </c>
      <c r="AC33" s="263">
        <f t="shared" si="1"/>
        <v>0</v>
      </c>
      <c r="AD33" s="263">
        <f t="shared" si="1"/>
        <v>0</v>
      </c>
      <c r="AE33" s="264">
        <f t="shared" si="1"/>
        <v>750000</v>
      </c>
    </row>
    <row r="34" spans="1:46" s="267" customFormat="1">
      <c r="A34" s="189"/>
      <c r="B34" s="189"/>
      <c r="C34" s="189"/>
      <c r="D34" s="189"/>
      <c r="E34" s="189"/>
      <c r="F34" s="189"/>
      <c r="G34" s="189"/>
      <c r="H34" s="189"/>
      <c r="I34" s="189"/>
      <c r="J34" s="244"/>
      <c r="K34" s="254"/>
      <c r="L34" s="255"/>
      <c r="M34" s="189"/>
      <c r="N34" s="189"/>
      <c r="O34" s="189"/>
      <c r="P34" s="265"/>
      <c r="Q34" s="836"/>
      <c r="R34" s="265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5"/>
      <c r="AG34" s="265"/>
      <c r="AH34" s="265"/>
      <c r="AI34" s="265"/>
      <c r="AJ34" s="265"/>
      <c r="AK34" s="265"/>
      <c r="AL34" s="265"/>
      <c r="AM34" s="265"/>
      <c r="AN34" s="265"/>
      <c r="AO34" s="265"/>
      <c r="AP34" s="265"/>
      <c r="AQ34" s="265"/>
      <c r="AR34" s="265"/>
      <c r="AS34" s="265"/>
      <c r="AT34" s="265"/>
    </row>
    <row r="35" spans="1:46" ht="12.75" customHeight="1">
      <c r="Q35" s="836" t="s">
        <v>266</v>
      </c>
      <c r="R35" s="535"/>
      <c r="S35" s="259"/>
      <c r="T35" s="259" t="s">
        <v>251</v>
      </c>
      <c r="U35" s="259" t="s">
        <v>252</v>
      </c>
      <c r="V35" s="259" t="s">
        <v>253</v>
      </c>
      <c r="W35" s="259" t="s">
        <v>254</v>
      </c>
      <c r="X35" s="259" t="s">
        <v>201</v>
      </c>
      <c r="Y35" s="259" t="s">
        <v>255</v>
      </c>
      <c r="Z35" s="259" t="s">
        <v>256</v>
      </c>
      <c r="AA35" s="259" t="s">
        <v>257</v>
      </c>
      <c r="AB35" s="259" t="s">
        <v>258</v>
      </c>
      <c r="AC35" s="259" t="s">
        <v>259</v>
      </c>
      <c r="AD35" s="259" t="s">
        <v>260</v>
      </c>
      <c r="AE35" s="259" t="s">
        <v>261</v>
      </c>
    </row>
    <row r="36" spans="1:46">
      <c r="Q36" s="836"/>
      <c r="R36" s="535" t="s">
        <v>267</v>
      </c>
      <c r="S36" s="259">
        <v>540000</v>
      </c>
      <c r="T36" s="259">
        <f>10*5500</f>
        <v>55000</v>
      </c>
      <c r="U36" s="259"/>
      <c r="V36" s="259">
        <f>10*5500</f>
        <v>55000</v>
      </c>
      <c r="W36" s="259"/>
      <c r="X36" s="259"/>
      <c r="Y36" s="259"/>
      <c r="Z36" s="259"/>
      <c r="AA36" s="259"/>
      <c r="AB36" s="259"/>
      <c r="AC36" s="259"/>
      <c r="AD36" s="259"/>
      <c r="AE36" s="259">
        <f t="shared" ref="AE36:AE41" si="2">SUM(T36:AD36)</f>
        <v>110000</v>
      </c>
      <c r="AF36" s="225">
        <f>AE36+AE44+AE52+AE60+AE68+AE76+AE27</f>
        <v>799000</v>
      </c>
      <c r="AG36" s="225" t="e">
        <f>#REF!</f>
        <v>#REF!</v>
      </c>
      <c r="AH36" s="225" t="e">
        <f>AF36-AG36</f>
        <v>#REF!</v>
      </c>
    </row>
    <row r="37" spans="1:46">
      <c r="Q37" s="836"/>
      <c r="R37" s="535" t="s">
        <v>268</v>
      </c>
      <c r="S37" s="259">
        <v>90000</v>
      </c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>
        <f t="shared" si="2"/>
        <v>0</v>
      </c>
      <c r="AF37" s="225">
        <f>AE37+AE45+AE53+AE61+AE69+AE77+AE28</f>
        <v>600000</v>
      </c>
      <c r="AG37" s="225" t="e">
        <f>#REF!</f>
        <v>#REF!</v>
      </c>
      <c r="AH37" s="225" t="e">
        <f>AF37-AG37</f>
        <v>#REF!</v>
      </c>
    </row>
    <row r="38" spans="1:46">
      <c r="Q38" s="836"/>
      <c r="R38" s="535" t="s">
        <v>269</v>
      </c>
      <c r="S38" s="259">
        <v>3168000</v>
      </c>
      <c r="T38" s="259">
        <v>450000</v>
      </c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>
        <f t="shared" si="2"/>
        <v>450000</v>
      </c>
      <c r="AF38" s="225">
        <f>AE38+AE46+AE54+AE62+AE70+AE78</f>
        <v>4657500</v>
      </c>
      <c r="AG38" s="225" t="e">
        <f>#REF!</f>
        <v>#REF!</v>
      </c>
      <c r="AH38" s="225" t="e">
        <f>AF38-AG38</f>
        <v>#REF!</v>
      </c>
    </row>
    <row r="39" spans="1:46">
      <c r="Q39" s="836"/>
      <c r="R39" s="535" t="s">
        <v>270</v>
      </c>
      <c r="S39" s="259">
        <v>3000000</v>
      </c>
      <c r="T39" s="259">
        <v>500000</v>
      </c>
      <c r="U39" s="259"/>
      <c r="V39" s="259"/>
      <c r="W39" s="259"/>
      <c r="X39" s="259"/>
      <c r="Y39" s="259"/>
      <c r="Z39" s="259"/>
      <c r="AA39" s="259"/>
      <c r="AB39" s="259"/>
      <c r="AC39" s="259"/>
      <c r="AD39" s="259"/>
      <c r="AE39" s="259">
        <f t="shared" si="2"/>
        <v>500000</v>
      </c>
      <c r="AF39" s="225">
        <f>AE39+AE47+AE55+AE63+AE71+AE79</f>
        <v>4000000</v>
      </c>
      <c r="AG39" s="225" t="e">
        <f>#REF!</f>
        <v>#REF!</v>
      </c>
      <c r="AH39" s="225" t="e">
        <f>AF39-AG39</f>
        <v>#REF!</v>
      </c>
    </row>
    <row r="40" spans="1:46" s="191" customFormat="1">
      <c r="A40" s="189"/>
      <c r="B40" s="189"/>
      <c r="C40" s="189"/>
      <c r="D40" s="189"/>
      <c r="E40" s="189"/>
      <c r="F40" s="189"/>
      <c r="G40" s="189"/>
      <c r="H40" s="189"/>
      <c r="I40" s="189"/>
      <c r="J40" s="244"/>
      <c r="K40" s="254"/>
      <c r="L40" s="255"/>
      <c r="M40" s="189"/>
      <c r="N40" s="189"/>
      <c r="O40" s="189"/>
      <c r="Q40" s="836"/>
      <c r="R40" s="191" t="s">
        <v>271</v>
      </c>
      <c r="S40" s="192">
        <v>3000000</v>
      </c>
      <c r="T40" s="261">
        <v>500000</v>
      </c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59">
        <f t="shared" si="2"/>
        <v>500000</v>
      </c>
      <c r="AF40" s="225">
        <f>AE40+AE48+AE56+AE64+AE72+AE80</f>
        <v>4700000</v>
      </c>
      <c r="AG40" s="225" t="e">
        <f>#REF!</f>
        <v>#REF!</v>
      </c>
      <c r="AH40" s="225" t="e">
        <f>AF40-AG40</f>
        <v>#REF!</v>
      </c>
    </row>
    <row r="41" spans="1:46" s="191" customFormat="1">
      <c r="A41" s="189"/>
      <c r="B41" s="189"/>
      <c r="C41" s="189"/>
      <c r="D41" s="189"/>
      <c r="E41" s="189"/>
      <c r="F41" s="189"/>
      <c r="G41" s="189"/>
      <c r="H41" s="189"/>
      <c r="I41" s="189"/>
      <c r="J41" s="244"/>
      <c r="K41" s="254"/>
      <c r="L41" s="255"/>
      <c r="M41" s="189"/>
      <c r="N41" s="189"/>
      <c r="O41" s="189"/>
      <c r="Q41" s="836"/>
      <c r="S41" s="192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>
        <f t="shared" si="2"/>
        <v>0</v>
      </c>
    </row>
    <row r="42" spans="1:46" s="191" customFormat="1">
      <c r="A42" s="189"/>
      <c r="B42" s="189"/>
      <c r="C42" s="189"/>
      <c r="D42" s="189"/>
      <c r="E42" s="189"/>
      <c r="F42" s="189"/>
      <c r="G42" s="189"/>
      <c r="H42" s="189"/>
      <c r="I42" s="189"/>
      <c r="J42" s="244"/>
      <c r="K42" s="254"/>
      <c r="L42" s="255"/>
      <c r="M42" s="189"/>
      <c r="N42" s="189"/>
      <c r="O42" s="189"/>
      <c r="Q42" s="836"/>
      <c r="R42" s="262"/>
      <c r="S42" s="263"/>
      <c r="T42" s="263">
        <f>SUM(T36:T41)</f>
        <v>1505000</v>
      </c>
      <c r="U42" s="263">
        <f t="shared" ref="U42:AE42" si="3">SUM(U36:U41)</f>
        <v>0</v>
      </c>
      <c r="V42" s="263">
        <f t="shared" si="3"/>
        <v>55000</v>
      </c>
      <c r="W42" s="263">
        <f t="shared" si="3"/>
        <v>0</v>
      </c>
      <c r="X42" s="263">
        <f t="shared" si="3"/>
        <v>0</v>
      </c>
      <c r="Y42" s="263">
        <f t="shared" si="3"/>
        <v>0</v>
      </c>
      <c r="Z42" s="263">
        <f t="shared" si="3"/>
        <v>0</v>
      </c>
      <c r="AA42" s="263">
        <f t="shared" si="3"/>
        <v>0</v>
      </c>
      <c r="AB42" s="263">
        <f t="shared" si="3"/>
        <v>0</v>
      </c>
      <c r="AC42" s="263">
        <f t="shared" si="3"/>
        <v>0</v>
      </c>
      <c r="AD42" s="263">
        <f t="shared" si="3"/>
        <v>0</v>
      </c>
      <c r="AE42" s="264">
        <f t="shared" si="3"/>
        <v>1560000</v>
      </c>
    </row>
    <row r="43" spans="1:46" s="191" customFormat="1" ht="12.75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244"/>
      <c r="K43" s="254"/>
      <c r="L43" s="255"/>
      <c r="M43" s="189"/>
      <c r="N43" s="189"/>
      <c r="O43" s="189"/>
      <c r="Q43" s="836" t="s">
        <v>272</v>
      </c>
      <c r="R43" s="535"/>
      <c r="S43" s="259"/>
      <c r="T43" s="259" t="s">
        <v>251</v>
      </c>
      <c r="U43" s="259" t="s">
        <v>252</v>
      </c>
      <c r="V43" s="259" t="s">
        <v>253</v>
      </c>
      <c r="W43" s="259" t="s">
        <v>254</v>
      </c>
      <c r="X43" s="259" t="s">
        <v>201</v>
      </c>
      <c r="Y43" s="259" t="s">
        <v>255</v>
      </c>
      <c r="Z43" s="259" t="s">
        <v>256</v>
      </c>
      <c r="AA43" s="259" t="s">
        <v>257</v>
      </c>
      <c r="AB43" s="259" t="s">
        <v>258</v>
      </c>
      <c r="AC43" s="259" t="s">
        <v>259</v>
      </c>
      <c r="AD43" s="259" t="s">
        <v>260</v>
      </c>
      <c r="AE43" s="259" t="s">
        <v>261</v>
      </c>
    </row>
    <row r="44" spans="1:46" s="191" customFormat="1">
      <c r="A44" s="189"/>
      <c r="B44" s="189"/>
      <c r="C44" s="189"/>
      <c r="D44" s="189"/>
      <c r="E44" s="189"/>
      <c r="F44" s="189"/>
      <c r="G44" s="189"/>
      <c r="H44" s="189"/>
      <c r="I44" s="189"/>
      <c r="J44" s="244"/>
      <c r="K44" s="254"/>
      <c r="L44" s="255"/>
      <c r="M44" s="189"/>
      <c r="N44" s="189"/>
      <c r="O44" s="189"/>
      <c r="Q44" s="836"/>
      <c r="R44" s="535" t="s">
        <v>267</v>
      </c>
      <c r="S44" s="259">
        <v>540000</v>
      </c>
      <c r="T44" s="259"/>
      <c r="U44" s="259">
        <f>20*5500</f>
        <v>110000</v>
      </c>
      <c r="V44" s="259"/>
      <c r="W44" s="259"/>
      <c r="X44" s="259"/>
      <c r="Y44" s="259"/>
      <c r="Z44" s="259"/>
      <c r="AA44" s="259"/>
      <c r="AB44" s="259"/>
      <c r="AC44" s="259"/>
      <c r="AD44" s="259"/>
      <c r="AE44" s="259">
        <f t="shared" ref="AE44:AE49" si="4">SUM(T44:AD44)</f>
        <v>110000</v>
      </c>
    </row>
    <row r="45" spans="1:46" s="191" customFormat="1">
      <c r="A45" s="189"/>
      <c r="B45" s="189"/>
      <c r="C45" s="189"/>
      <c r="D45" s="189"/>
      <c r="E45" s="189"/>
      <c r="F45" s="189"/>
      <c r="G45" s="189"/>
      <c r="H45" s="189"/>
      <c r="I45" s="189"/>
      <c r="J45" s="244"/>
      <c r="K45" s="254"/>
      <c r="L45" s="255"/>
      <c r="M45" s="189"/>
      <c r="N45" s="189"/>
      <c r="O45" s="189"/>
      <c r="Q45" s="836"/>
      <c r="R45" s="535" t="s">
        <v>268</v>
      </c>
      <c r="S45" s="259">
        <v>90000</v>
      </c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>
        <f t="shared" si="4"/>
        <v>0</v>
      </c>
    </row>
    <row r="46" spans="1:46" s="191" customFormat="1">
      <c r="A46" s="189"/>
      <c r="B46" s="189"/>
      <c r="C46" s="189"/>
      <c r="D46" s="189"/>
      <c r="E46" s="189"/>
      <c r="F46" s="189"/>
      <c r="G46" s="189"/>
      <c r="H46" s="189"/>
      <c r="I46" s="189"/>
      <c r="J46" s="244"/>
      <c r="K46" s="254"/>
      <c r="L46" s="255"/>
      <c r="M46" s="189"/>
      <c r="N46" s="189"/>
      <c r="O46" s="189"/>
      <c r="Q46" s="836"/>
      <c r="R46" s="535" t="s">
        <v>269</v>
      </c>
      <c r="S46" s="259">
        <v>3168000</v>
      </c>
      <c r="T46" s="259"/>
      <c r="U46" s="259">
        <v>450000</v>
      </c>
      <c r="V46" s="259"/>
      <c r="W46" s="259"/>
      <c r="X46" s="259"/>
      <c r="Y46" s="259"/>
      <c r="Z46" s="259"/>
      <c r="AA46" s="259"/>
      <c r="AB46" s="259"/>
      <c r="AC46" s="259"/>
      <c r="AD46" s="259"/>
      <c r="AE46" s="259">
        <f t="shared" si="4"/>
        <v>450000</v>
      </c>
    </row>
    <row r="47" spans="1:46" s="191" customFormat="1">
      <c r="A47" s="189"/>
      <c r="B47" s="189"/>
      <c r="C47" s="189"/>
      <c r="D47" s="189"/>
      <c r="E47" s="189"/>
      <c r="F47" s="189"/>
      <c r="G47" s="189"/>
      <c r="H47" s="189"/>
      <c r="I47" s="189"/>
      <c r="J47" s="244"/>
      <c r="K47" s="254"/>
      <c r="L47" s="255"/>
      <c r="M47" s="189"/>
      <c r="N47" s="189"/>
      <c r="O47" s="189"/>
      <c r="Q47" s="836"/>
      <c r="R47" s="535" t="s">
        <v>270</v>
      </c>
      <c r="S47" s="259">
        <v>3000000</v>
      </c>
      <c r="T47" s="259"/>
      <c r="U47" s="259">
        <v>500000</v>
      </c>
      <c r="V47" s="259"/>
      <c r="W47" s="259"/>
      <c r="X47" s="259"/>
      <c r="Y47" s="259"/>
      <c r="Z47" s="259"/>
      <c r="AA47" s="259"/>
      <c r="AB47" s="259"/>
      <c r="AC47" s="259"/>
      <c r="AD47" s="259"/>
      <c r="AE47" s="259">
        <f t="shared" si="4"/>
        <v>500000</v>
      </c>
    </row>
    <row r="48" spans="1:46" s="191" customFormat="1">
      <c r="A48" s="189"/>
      <c r="B48" s="189"/>
      <c r="C48" s="189"/>
      <c r="D48" s="189"/>
      <c r="E48" s="189"/>
      <c r="F48" s="189"/>
      <c r="G48" s="189"/>
      <c r="H48" s="189"/>
      <c r="I48" s="189"/>
      <c r="J48" s="244"/>
      <c r="K48" s="254"/>
      <c r="L48" s="255"/>
      <c r="M48" s="189"/>
      <c r="N48" s="189"/>
      <c r="O48" s="189"/>
      <c r="Q48" s="836"/>
      <c r="R48" s="191" t="s">
        <v>271</v>
      </c>
      <c r="S48" s="192">
        <v>3000000</v>
      </c>
      <c r="T48" s="261"/>
      <c r="U48" s="261">
        <v>500000</v>
      </c>
      <c r="V48" s="261"/>
      <c r="W48" s="261"/>
      <c r="X48" s="261"/>
      <c r="Y48" s="261"/>
      <c r="Z48" s="261"/>
      <c r="AA48" s="261"/>
      <c r="AB48" s="261"/>
      <c r="AC48" s="261"/>
      <c r="AD48" s="261"/>
      <c r="AE48" s="259">
        <f t="shared" si="4"/>
        <v>500000</v>
      </c>
    </row>
    <row r="49" spans="1:31" s="191" customFormat="1">
      <c r="A49" s="189"/>
      <c r="B49" s="189"/>
      <c r="C49" s="189"/>
      <c r="D49" s="189"/>
      <c r="E49" s="189"/>
      <c r="F49" s="189"/>
      <c r="G49" s="189"/>
      <c r="H49" s="189"/>
      <c r="I49" s="189"/>
      <c r="J49" s="244"/>
      <c r="K49" s="254"/>
      <c r="L49" s="255"/>
      <c r="M49" s="189"/>
      <c r="N49" s="189"/>
      <c r="O49" s="189"/>
      <c r="Q49" s="836"/>
      <c r="S49" s="192"/>
      <c r="T49" s="259"/>
      <c r="U49" s="259"/>
      <c r="V49" s="259"/>
      <c r="W49" s="259"/>
      <c r="X49" s="259"/>
      <c r="Y49" s="259"/>
      <c r="Z49" s="259"/>
      <c r="AA49" s="259"/>
      <c r="AB49" s="259"/>
      <c r="AC49" s="259"/>
      <c r="AD49" s="259"/>
      <c r="AE49" s="259">
        <f t="shared" si="4"/>
        <v>0</v>
      </c>
    </row>
    <row r="50" spans="1:31" s="191" customFormat="1">
      <c r="A50" s="189"/>
      <c r="B50" s="189"/>
      <c r="C50" s="189"/>
      <c r="D50" s="189"/>
      <c r="E50" s="189"/>
      <c r="F50" s="189"/>
      <c r="G50" s="189"/>
      <c r="H50" s="189"/>
      <c r="I50" s="189"/>
      <c r="J50" s="244"/>
      <c r="K50" s="254"/>
      <c r="L50" s="255"/>
      <c r="M50" s="189"/>
      <c r="N50" s="189"/>
      <c r="O50" s="189"/>
      <c r="Q50" s="836"/>
      <c r="R50" s="535"/>
      <c r="S50" s="192"/>
      <c r="T50" s="263">
        <f>SUM(T44:T49)</f>
        <v>0</v>
      </c>
      <c r="U50" s="263">
        <f t="shared" ref="U50:AE50" si="5">SUM(U44:U49)</f>
        <v>1560000</v>
      </c>
      <c r="V50" s="263">
        <f t="shared" si="5"/>
        <v>0</v>
      </c>
      <c r="W50" s="263">
        <f t="shared" si="5"/>
        <v>0</v>
      </c>
      <c r="X50" s="263">
        <f t="shared" si="5"/>
        <v>0</v>
      </c>
      <c r="Y50" s="263">
        <f t="shared" si="5"/>
        <v>0</v>
      </c>
      <c r="Z50" s="263">
        <f t="shared" si="5"/>
        <v>0</v>
      </c>
      <c r="AA50" s="263">
        <f t="shared" si="5"/>
        <v>0</v>
      </c>
      <c r="AB50" s="263">
        <f t="shared" si="5"/>
        <v>0</v>
      </c>
      <c r="AC50" s="263">
        <f t="shared" si="5"/>
        <v>0</v>
      </c>
      <c r="AD50" s="263">
        <f t="shared" si="5"/>
        <v>0</v>
      </c>
      <c r="AE50" s="264">
        <f t="shared" si="5"/>
        <v>1560000</v>
      </c>
    </row>
    <row r="51" spans="1:31" s="191" customFormat="1" ht="51">
      <c r="A51" s="189"/>
      <c r="B51" s="189"/>
      <c r="C51" s="189"/>
      <c r="D51" s="189"/>
      <c r="E51" s="189"/>
      <c r="F51" s="189"/>
      <c r="G51" s="189"/>
      <c r="H51" s="189"/>
      <c r="I51" s="189"/>
      <c r="J51" s="244"/>
      <c r="K51" s="254"/>
      <c r="L51" s="255"/>
      <c r="M51" s="189"/>
      <c r="N51" s="189"/>
      <c r="O51" s="189"/>
      <c r="Q51" s="836" t="s">
        <v>273</v>
      </c>
      <c r="R51" s="535"/>
      <c r="S51" s="259"/>
      <c r="T51" s="259" t="s">
        <v>251</v>
      </c>
      <c r="U51" s="259" t="s">
        <v>252</v>
      </c>
      <c r="V51" s="259" t="s">
        <v>253</v>
      </c>
      <c r="W51" s="259" t="s">
        <v>254</v>
      </c>
      <c r="X51" s="259" t="s">
        <v>201</v>
      </c>
      <c r="Y51" s="259" t="s">
        <v>255</v>
      </c>
      <c r="Z51" s="259" t="s">
        <v>256</v>
      </c>
      <c r="AA51" s="259" t="s">
        <v>257</v>
      </c>
      <c r="AB51" s="259" t="s">
        <v>258</v>
      </c>
      <c r="AC51" s="259" t="s">
        <v>259</v>
      </c>
      <c r="AD51" s="259" t="s">
        <v>260</v>
      </c>
      <c r="AE51" s="259" t="s">
        <v>261</v>
      </c>
    </row>
    <row r="52" spans="1:31" s="191" customFormat="1">
      <c r="A52" s="189"/>
      <c r="B52" s="189"/>
      <c r="C52" s="189"/>
      <c r="D52" s="189"/>
      <c r="E52" s="189"/>
      <c r="F52" s="189"/>
      <c r="G52" s="189"/>
      <c r="H52" s="189"/>
      <c r="I52" s="189"/>
      <c r="J52" s="244"/>
      <c r="K52" s="254"/>
      <c r="L52" s="255"/>
      <c r="M52" s="189"/>
      <c r="N52" s="189"/>
      <c r="O52" s="189"/>
      <c r="Q52" s="836"/>
      <c r="R52" s="535" t="s">
        <v>267</v>
      </c>
      <c r="S52" s="259">
        <v>540000</v>
      </c>
      <c r="T52" s="259">
        <f>10*5500</f>
        <v>55000</v>
      </c>
      <c r="U52" s="259"/>
      <c r="V52" s="259">
        <f>10*5500</f>
        <v>55000</v>
      </c>
      <c r="W52" s="259"/>
      <c r="X52" s="259"/>
      <c r="Y52" s="259"/>
      <c r="Z52" s="259"/>
      <c r="AA52" s="259"/>
      <c r="AB52" s="259"/>
      <c r="AC52" s="259"/>
      <c r="AD52" s="259"/>
      <c r="AE52" s="259">
        <f t="shared" ref="AE52:AE57" si="6">SUM(T52:AD52)</f>
        <v>110000</v>
      </c>
    </row>
    <row r="53" spans="1:31" s="191" customFormat="1">
      <c r="A53" s="189"/>
      <c r="B53" s="189"/>
      <c r="C53" s="189"/>
      <c r="D53" s="189"/>
      <c r="E53" s="189"/>
      <c r="F53" s="189"/>
      <c r="G53" s="189"/>
      <c r="H53" s="189"/>
      <c r="I53" s="189"/>
      <c r="J53" s="244"/>
      <c r="K53" s="254"/>
      <c r="L53" s="255"/>
      <c r="M53" s="189"/>
      <c r="N53" s="189"/>
      <c r="O53" s="189"/>
      <c r="Q53" s="836"/>
      <c r="R53" s="535" t="s">
        <v>268</v>
      </c>
      <c r="S53" s="259">
        <v>90000</v>
      </c>
      <c r="T53" s="259"/>
      <c r="U53" s="259"/>
      <c r="V53" s="259"/>
      <c r="W53" s="259"/>
      <c r="X53" s="259"/>
      <c r="Y53" s="259"/>
      <c r="Z53" s="259"/>
      <c r="AA53" s="259"/>
      <c r="AB53" s="259"/>
      <c r="AC53" s="259"/>
      <c r="AD53" s="259"/>
      <c r="AE53" s="259">
        <f t="shared" si="6"/>
        <v>0</v>
      </c>
    </row>
    <row r="54" spans="1:31" s="191" customFormat="1">
      <c r="A54" s="189"/>
      <c r="B54" s="189"/>
      <c r="C54" s="189"/>
      <c r="D54" s="189"/>
      <c r="E54" s="189"/>
      <c r="F54" s="189"/>
      <c r="G54" s="189"/>
      <c r="H54" s="189"/>
      <c r="I54" s="189"/>
      <c r="J54" s="244"/>
      <c r="K54" s="254"/>
      <c r="L54" s="255"/>
      <c r="M54" s="189"/>
      <c r="N54" s="189"/>
      <c r="O54" s="189"/>
      <c r="Q54" s="836"/>
      <c r="R54" s="535" t="s">
        <v>269</v>
      </c>
      <c r="S54" s="259">
        <v>3168000</v>
      </c>
      <c r="T54" s="259">
        <v>450000</v>
      </c>
      <c r="U54" s="259"/>
      <c r="V54" s="259">
        <v>450000</v>
      </c>
      <c r="W54" s="259"/>
      <c r="X54" s="259"/>
      <c r="Y54" s="259"/>
      <c r="Z54" s="259"/>
      <c r="AA54" s="259"/>
      <c r="AB54" s="259"/>
      <c r="AC54" s="259"/>
      <c r="AD54" s="259"/>
      <c r="AE54" s="259">
        <f t="shared" si="6"/>
        <v>900000</v>
      </c>
    </row>
    <row r="55" spans="1:31" s="191" customFormat="1">
      <c r="A55" s="189"/>
      <c r="B55" s="189"/>
      <c r="C55" s="189"/>
      <c r="D55" s="189"/>
      <c r="E55" s="189"/>
      <c r="F55" s="189"/>
      <c r="G55" s="189"/>
      <c r="H55" s="189"/>
      <c r="I55" s="189"/>
      <c r="J55" s="244"/>
      <c r="K55" s="254"/>
      <c r="L55" s="255"/>
      <c r="M55" s="189"/>
      <c r="N55" s="189"/>
      <c r="O55" s="189"/>
      <c r="Q55" s="836"/>
      <c r="R55" s="535" t="s">
        <v>270</v>
      </c>
      <c r="S55" s="259">
        <v>3000000</v>
      </c>
      <c r="T55" s="259">
        <v>500000</v>
      </c>
      <c r="U55" s="259"/>
      <c r="V55" s="259">
        <v>500000</v>
      </c>
      <c r="W55" s="259"/>
      <c r="X55" s="259"/>
      <c r="Y55" s="259"/>
      <c r="Z55" s="259"/>
      <c r="AA55" s="259"/>
      <c r="AB55" s="259"/>
      <c r="AC55" s="259"/>
      <c r="AD55" s="259"/>
      <c r="AE55" s="259">
        <f t="shared" si="6"/>
        <v>1000000</v>
      </c>
    </row>
    <row r="56" spans="1:31" s="191" customFormat="1">
      <c r="A56" s="189"/>
      <c r="B56" s="189"/>
      <c r="C56" s="189"/>
      <c r="D56" s="189"/>
      <c r="E56" s="189"/>
      <c r="F56" s="189"/>
      <c r="G56" s="189"/>
      <c r="H56" s="189"/>
      <c r="I56" s="189"/>
      <c r="J56" s="244"/>
      <c r="K56" s="254"/>
      <c r="L56" s="255"/>
      <c r="M56" s="189"/>
      <c r="N56" s="189"/>
      <c r="O56" s="189"/>
      <c r="Q56" s="836"/>
      <c r="R56" s="191" t="s">
        <v>271</v>
      </c>
      <c r="S56" s="192">
        <v>3000000</v>
      </c>
      <c r="T56" s="261">
        <v>500000</v>
      </c>
      <c r="U56" s="261"/>
      <c r="V56" s="261">
        <v>500000</v>
      </c>
      <c r="W56" s="261"/>
      <c r="X56" s="261"/>
      <c r="Y56" s="261"/>
      <c r="Z56" s="261"/>
      <c r="AA56" s="261"/>
      <c r="AB56" s="261"/>
      <c r="AC56" s="261"/>
      <c r="AD56" s="261"/>
      <c r="AE56" s="259">
        <f t="shared" si="6"/>
        <v>1000000</v>
      </c>
    </row>
    <row r="57" spans="1:31" s="191" customFormat="1">
      <c r="A57" s="189"/>
      <c r="B57" s="189"/>
      <c r="C57" s="189"/>
      <c r="D57" s="189"/>
      <c r="E57" s="189"/>
      <c r="F57" s="189"/>
      <c r="G57" s="189"/>
      <c r="H57" s="189"/>
      <c r="I57" s="189"/>
      <c r="J57" s="244"/>
      <c r="K57" s="254"/>
      <c r="L57" s="255"/>
      <c r="M57" s="189"/>
      <c r="N57" s="189"/>
      <c r="O57" s="189"/>
      <c r="Q57" s="836"/>
      <c r="S57" s="192"/>
      <c r="T57" s="259"/>
      <c r="U57" s="259"/>
      <c r="V57" s="259"/>
      <c r="W57" s="259"/>
      <c r="X57" s="259"/>
      <c r="Y57" s="259"/>
      <c r="Z57" s="259"/>
      <c r="AA57" s="259"/>
      <c r="AB57" s="259"/>
      <c r="AC57" s="259"/>
      <c r="AD57" s="259"/>
      <c r="AE57" s="259">
        <f t="shared" si="6"/>
        <v>0</v>
      </c>
    </row>
    <row r="58" spans="1:31" s="191" customFormat="1">
      <c r="A58" s="189"/>
      <c r="B58" s="189"/>
      <c r="C58" s="189"/>
      <c r="D58" s="189"/>
      <c r="E58" s="189"/>
      <c r="F58" s="189"/>
      <c r="G58" s="189"/>
      <c r="H58" s="189"/>
      <c r="I58" s="189"/>
      <c r="J58" s="244"/>
      <c r="K58" s="254"/>
      <c r="L58" s="255"/>
      <c r="M58" s="189"/>
      <c r="N58" s="189"/>
      <c r="O58" s="189"/>
      <c r="Q58" s="836"/>
      <c r="R58" s="535"/>
      <c r="S58" s="263">
        <f>SUM(S52:S57)</f>
        <v>9798000</v>
      </c>
      <c r="T58" s="263">
        <f>SUM(T52:T57)</f>
        <v>1505000</v>
      </c>
      <c r="U58" s="263">
        <f t="shared" ref="U58:AE58" si="7">SUM(U52:U57)</f>
        <v>0</v>
      </c>
      <c r="V58" s="263">
        <f t="shared" si="7"/>
        <v>1505000</v>
      </c>
      <c r="W58" s="263">
        <f t="shared" si="7"/>
        <v>0</v>
      </c>
      <c r="X58" s="263">
        <f t="shared" si="7"/>
        <v>0</v>
      </c>
      <c r="Y58" s="263">
        <f t="shared" si="7"/>
        <v>0</v>
      </c>
      <c r="Z58" s="263">
        <f t="shared" si="7"/>
        <v>0</v>
      </c>
      <c r="AA58" s="263">
        <f t="shared" si="7"/>
        <v>0</v>
      </c>
      <c r="AB58" s="263">
        <f t="shared" si="7"/>
        <v>0</v>
      </c>
      <c r="AC58" s="263">
        <f t="shared" si="7"/>
        <v>0</v>
      </c>
      <c r="AD58" s="263">
        <f t="shared" si="7"/>
        <v>0</v>
      </c>
      <c r="AE58" s="264">
        <f t="shared" si="7"/>
        <v>3010000</v>
      </c>
    </row>
    <row r="59" spans="1:31" s="191" customFormat="1" ht="51">
      <c r="A59" s="189"/>
      <c r="B59" s="189"/>
      <c r="C59" s="189"/>
      <c r="D59" s="189"/>
      <c r="E59" s="189"/>
      <c r="F59" s="189"/>
      <c r="G59" s="189"/>
      <c r="H59" s="189"/>
      <c r="I59" s="189"/>
      <c r="J59" s="244"/>
      <c r="K59" s="254"/>
      <c r="L59" s="255"/>
      <c r="M59" s="189"/>
      <c r="N59" s="189"/>
      <c r="O59" s="189"/>
      <c r="Q59" s="836" t="s">
        <v>274</v>
      </c>
      <c r="R59" s="535"/>
      <c r="S59" s="259"/>
      <c r="T59" s="259" t="s">
        <v>251</v>
      </c>
      <c r="U59" s="259" t="s">
        <v>252</v>
      </c>
      <c r="V59" s="259" t="s">
        <v>253</v>
      </c>
      <c r="W59" s="259" t="s">
        <v>254</v>
      </c>
      <c r="X59" s="259" t="s">
        <v>201</v>
      </c>
      <c r="Y59" s="259" t="s">
        <v>255</v>
      </c>
      <c r="Z59" s="259" t="s">
        <v>256</v>
      </c>
      <c r="AA59" s="259" t="s">
        <v>257</v>
      </c>
      <c r="AB59" s="259" t="s">
        <v>258</v>
      </c>
      <c r="AC59" s="259" t="s">
        <v>259</v>
      </c>
      <c r="AD59" s="259" t="s">
        <v>260</v>
      </c>
      <c r="AE59" s="259" t="s">
        <v>261</v>
      </c>
    </row>
    <row r="60" spans="1:31" s="191" customFormat="1">
      <c r="A60" s="189"/>
      <c r="B60" s="189"/>
      <c r="C60" s="189"/>
      <c r="D60" s="189"/>
      <c r="E60" s="189"/>
      <c r="F60" s="189"/>
      <c r="G60" s="189"/>
      <c r="H60" s="189"/>
      <c r="I60" s="189"/>
      <c r="J60" s="244"/>
      <c r="K60" s="254"/>
      <c r="L60" s="255"/>
      <c r="M60" s="189"/>
      <c r="N60" s="189"/>
      <c r="O60" s="189"/>
      <c r="Q60" s="836"/>
      <c r="R60" s="535" t="s">
        <v>267</v>
      </c>
      <c r="S60" s="259">
        <v>540000</v>
      </c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>
        <f t="shared" ref="AE60:AE65" si="8">SUM(T60:AD60)</f>
        <v>0</v>
      </c>
    </row>
    <row r="61" spans="1:31" s="191" customFormat="1">
      <c r="A61" s="189"/>
      <c r="B61" s="189"/>
      <c r="C61" s="189"/>
      <c r="D61" s="189"/>
      <c r="E61" s="189"/>
      <c r="F61" s="189"/>
      <c r="G61" s="189"/>
      <c r="H61" s="189"/>
      <c r="I61" s="189"/>
      <c r="J61" s="244"/>
      <c r="K61" s="254"/>
      <c r="L61" s="255"/>
      <c r="M61" s="189"/>
      <c r="N61" s="189"/>
      <c r="O61" s="189"/>
      <c r="Q61" s="836"/>
      <c r="R61" s="535" t="s">
        <v>268</v>
      </c>
      <c r="S61" s="259">
        <v>90000</v>
      </c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>
        <f t="shared" si="8"/>
        <v>0</v>
      </c>
    </row>
    <row r="62" spans="1:31" s="191" customFormat="1">
      <c r="A62" s="189"/>
      <c r="B62" s="189"/>
      <c r="C62" s="189"/>
      <c r="D62" s="189"/>
      <c r="E62" s="189"/>
      <c r="F62" s="189"/>
      <c r="G62" s="189"/>
      <c r="H62" s="189"/>
      <c r="I62" s="189"/>
      <c r="J62" s="244"/>
      <c r="K62" s="254"/>
      <c r="L62" s="255"/>
      <c r="M62" s="189"/>
      <c r="N62" s="189"/>
      <c r="O62" s="189"/>
      <c r="Q62" s="836"/>
      <c r="R62" s="535" t="s">
        <v>269</v>
      </c>
      <c r="S62" s="259">
        <v>3168000</v>
      </c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>
        <f t="shared" si="8"/>
        <v>0</v>
      </c>
    </row>
    <row r="63" spans="1:31" s="191" customFormat="1">
      <c r="A63" s="189"/>
      <c r="B63" s="189"/>
      <c r="C63" s="189"/>
      <c r="D63" s="189"/>
      <c r="E63" s="189"/>
      <c r="F63" s="189"/>
      <c r="G63" s="189"/>
      <c r="H63" s="189"/>
      <c r="I63" s="189"/>
      <c r="J63" s="244"/>
      <c r="K63" s="254"/>
      <c r="L63" s="255"/>
      <c r="M63" s="189"/>
      <c r="N63" s="189"/>
      <c r="O63" s="189"/>
      <c r="Q63" s="836"/>
      <c r="R63" s="535" t="s">
        <v>270</v>
      </c>
      <c r="S63" s="259">
        <v>3000000</v>
      </c>
      <c r="T63" s="259"/>
      <c r="U63" s="259"/>
      <c r="V63" s="259"/>
      <c r="W63" s="259"/>
      <c r="X63" s="259"/>
      <c r="Y63" s="259"/>
      <c r="Z63" s="259"/>
      <c r="AA63" s="259"/>
      <c r="AB63" s="259"/>
      <c r="AC63" s="259"/>
      <c r="AD63" s="259"/>
      <c r="AE63" s="259">
        <f t="shared" si="8"/>
        <v>0</v>
      </c>
    </row>
    <row r="64" spans="1:31" s="191" customFormat="1">
      <c r="A64" s="189"/>
      <c r="B64" s="189"/>
      <c r="C64" s="189"/>
      <c r="D64" s="189"/>
      <c r="E64" s="189"/>
      <c r="F64" s="189"/>
      <c r="G64" s="189"/>
      <c r="H64" s="189"/>
      <c r="I64" s="189"/>
      <c r="J64" s="244"/>
      <c r="K64" s="254"/>
      <c r="L64" s="255"/>
      <c r="M64" s="189"/>
      <c r="N64" s="189"/>
      <c r="O64" s="189"/>
      <c r="Q64" s="836"/>
      <c r="R64" s="191" t="s">
        <v>271</v>
      </c>
      <c r="S64" s="192">
        <v>3000000</v>
      </c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59">
        <f t="shared" si="8"/>
        <v>0</v>
      </c>
    </row>
    <row r="65" spans="1:33" s="191" customFormat="1">
      <c r="A65" s="189"/>
      <c r="B65" s="189"/>
      <c r="C65" s="189"/>
      <c r="D65" s="189"/>
      <c r="E65" s="189"/>
      <c r="F65" s="189"/>
      <c r="G65" s="189"/>
      <c r="H65" s="189"/>
      <c r="I65" s="189"/>
      <c r="J65" s="244"/>
      <c r="K65" s="254"/>
      <c r="L65" s="255"/>
      <c r="M65" s="189"/>
      <c r="N65" s="189"/>
      <c r="O65" s="189"/>
      <c r="Q65" s="836"/>
      <c r="S65" s="192"/>
      <c r="T65" s="259"/>
      <c r="U65" s="259"/>
      <c r="V65" s="259"/>
      <c r="W65" s="259"/>
      <c r="X65" s="259"/>
      <c r="Y65" s="259"/>
      <c r="Z65" s="259"/>
      <c r="AA65" s="259"/>
      <c r="AB65" s="259"/>
      <c r="AC65" s="259"/>
      <c r="AD65" s="259"/>
      <c r="AE65" s="259">
        <f t="shared" si="8"/>
        <v>0</v>
      </c>
    </row>
    <row r="66" spans="1:33" s="191" customFormat="1">
      <c r="A66" s="189"/>
      <c r="B66" s="189"/>
      <c r="C66" s="189"/>
      <c r="D66" s="189"/>
      <c r="E66" s="189"/>
      <c r="F66" s="189"/>
      <c r="G66" s="189"/>
      <c r="H66" s="189"/>
      <c r="I66" s="189"/>
      <c r="J66" s="244"/>
      <c r="K66" s="254"/>
      <c r="L66" s="255"/>
      <c r="M66" s="189"/>
      <c r="N66" s="189"/>
      <c r="O66" s="189"/>
      <c r="Q66" s="836"/>
      <c r="R66" s="535"/>
      <c r="S66" s="263">
        <f>SUM(S60:S65)</f>
        <v>9798000</v>
      </c>
      <c r="T66" s="263">
        <f>SUM(T60:T65)</f>
        <v>0</v>
      </c>
      <c r="U66" s="263">
        <f t="shared" ref="U66:AE66" si="9">SUM(U60:U65)</f>
        <v>0</v>
      </c>
      <c r="V66" s="263">
        <f t="shared" si="9"/>
        <v>0</v>
      </c>
      <c r="W66" s="263">
        <f t="shared" si="9"/>
        <v>0</v>
      </c>
      <c r="X66" s="263">
        <f t="shared" si="9"/>
        <v>0</v>
      </c>
      <c r="Y66" s="263">
        <f t="shared" si="9"/>
        <v>0</v>
      </c>
      <c r="Z66" s="263">
        <f t="shared" si="9"/>
        <v>0</v>
      </c>
      <c r="AA66" s="263">
        <f t="shared" si="9"/>
        <v>0</v>
      </c>
      <c r="AB66" s="263">
        <f t="shared" si="9"/>
        <v>0</v>
      </c>
      <c r="AC66" s="263">
        <f t="shared" si="9"/>
        <v>0</v>
      </c>
      <c r="AD66" s="263">
        <f t="shared" si="9"/>
        <v>0</v>
      </c>
      <c r="AE66" s="264">
        <f t="shared" si="9"/>
        <v>0</v>
      </c>
    </row>
    <row r="67" spans="1:33" s="191" customFormat="1" ht="51">
      <c r="A67" s="189"/>
      <c r="B67" s="189"/>
      <c r="C67" s="189"/>
      <c r="D67" s="189"/>
      <c r="E67" s="189"/>
      <c r="F67" s="189"/>
      <c r="G67" s="189"/>
      <c r="H67" s="189"/>
      <c r="I67" s="189"/>
      <c r="J67" s="244"/>
      <c r="K67" s="254"/>
      <c r="L67" s="255"/>
      <c r="M67" s="189"/>
      <c r="N67" s="189"/>
      <c r="O67" s="189"/>
      <c r="Q67" s="836" t="s">
        <v>275</v>
      </c>
      <c r="R67" s="535"/>
      <c r="S67" s="259"/>
      <c r="T67" s="259" t="s">
        <v>251</v>
      </c>
      <c r="U67" s="259" t="s">
        <v>252</v>
      </c>
      <c r="V67" s="259" t="s">
        <v>253</v>
      </c>
      <c r="W67" s="259" t="s">
        <v>254</v>
      </c>
      <c r="X67" s="259" t="s">
        <v>201</v>
      </c>
      <c r="Y67" s="259" t="s">
        <v>255</v>
      </c>
      <c r="Z67" s="259" t="s">
        <v>256</v>
      </c>
      <c r="AA67" s="259" t="s">
        <v>257</v>
      </c>
      <c r="AB67" s="259" t="s">
        <v>258</v>
      </c>
      <c r="AC67" s="259" t="s">
        <v>259</v>
      </c>
      <c r="AD67" s="259" t="s">
        <v>260</v>
      </c>
      <c r="AE67" s="259" t="s">
        <v>261</v>
      </c>
    </row>
    <row r="68" spans="1:33" s="191" customFormat="1">
      <c r="A68" s="189"/>
      <c r="B68" s="189"/>
      <c r="C68" s="189"/>
      <c r="D68" s="189"/>
      <c r="E68" s="189"/>
      <c r="F68" s="189"/>
      <c r="G68" s="189"/>
      <c r="H68" s="189"/>
      <c r="I68" s="189"/>
      <c r="J68" s="244"/>
      <c r="K68" s="254"/>
      <c r="L68" s="255"/>
      <c r="M68" s="189"/>
      <c r="N68" s="189"/>
      <c r="O68" s="189"/>
      <c r="Q68" s="836"/>
      <c r="R68" s="535" t="s">
        <v>267</v>
      </c>
      <c r="S68" s="259">
        <v>540000</v>
      </c>
      <c r="T68" s="259">
        <f>10*5500</f>
        <v>55000</v>
      </c>
      <c r="U68" s="259"/>
      <c r="V68" s="259">
        <f>10*5500</f>
        <v>55000</v>
      </c>
      <c r="W68" s="259"/>
      <c r="X68" s="259"/>
      <c r="Y68" s="259"/>
      <c r="Z68" s="259"/>
      <c r="AA68" s="259"/>
      <c r="AB68" s="259"/>
      <c r="AC68" s="259"/>
      <c r="AD68" s="259"/>
      <c r="AE68" s="259">
        <f t="shared" ref="AE68:AE73" si="10">SUM(T68:AD68)</f>
        <v>110000</v>
      </c>
    </row>
    <row r="69" spans="1:33" s="191" customFormat="1">
      <c r="A69" s="189"/>
      <c r="B69" s="189"/>
      <c r="C69" s="189"/>
      <c r="D69" s="189"/>
      <c r="E69" s="189"/>
      <c r="F69" s="189"/>
      <c r="G69" s="189"/>
      <c r="H69" s="189"/>
      <c r="I69" s="189"/>
      <c r="J69" s="244"/>
      <c r="K69" s="254"/>
      <c r="L69" s="255"/>
      <c r="M69" s="189"/>
      <c r="N69" s="189"/>
      <c r="O69" s="189"/>
      <c r="Q69" s="836"/>
      <c r="R69" s="535" t="s">
        <v>268</v>
      </c>
      <c r="S69" s="259">
        <v>90000</v>
      </c>
      <c r="T69" s="259"/>
      <c r="U69" s="259"/>
      <c r="V69" s="259"/>
      <c r="W69" s="259"/>
      <c r="X69" s="259"/>
      <c r="Y69" s="259"/>
      <c r="Z69" s="259"/>
      <c r="AA69" s="259"/>
      <c r="AB69" s="259"/>
      <c r="AC69" s="259"/>
      <c r="AD69" s="259"/>
      <c r="AE69" s="259">
        <f t="shared" si="10"/>
        <v>0</v>
      </c>
    </row>
    <row r="70" spans="1:33" s="191" customFormat="1">
      <c r="A70" s="189"/>
      <c r="B70" s="189"/>
      <c r="C70" s="189"/>
      <c r="D70" s="189"/>
      <c r="E70" s="189"/>
      <c r="F70" s="189"/>
      <c r="G70" s="189"/>
      <c r="H70" s="189"/>
      <c r="I70" s="189"/>
      <c r="J70" s="244"/>
      <c r="K70" s="254"/>
      <c r="L70" s="255"/>
      <c r="M70" s="189"/>
      <c r="N70" s="189"/>
      <c r="O70" s="189"/>
      <c r="Q70" s="836"/>
      <c r="R70" s="535" t="s">
        <v>269</v>
      </c>
      <c r="S70" s="259">
        <v>3168000</v>
      </c>
      <c r="T70" s="259">
        <v>450000</v>
      </c>
      <c r="U70" s="259"/>
      <c r="V70" s="259">
        <v>450000</v>
      </c>
      <c r="W70" s="259"/>
      <c r="X70" s="259"/>
      <c r="Y70" s="259"/>
      <c r="Z70" s="259"/>
      <c r="AA70" s="259"/>
      <c r="AB70" s="259"/>
      <c r="AC70" s="259"/>
      <c r="AD70" s="259"/>
      <c r="AE70" s="259">
        <f t="shared" si="10"/>
        <v>900000</v>
      </c>
    </row>
    <row r="71" spans="1:33" s="191" customFormat="1">
      <c r="A71" s="189"/>
      <c r="B71" s="189"/>
      <c r="C71" s="189"/>
      <c r="D71" s="189"/>
      <c r="E71" s="189"/>
      <c r="F71" s="189"/>
      <c r="G71" s="189"/>
      <c r="H71" s="189"/>
      <c r="I71" s="189"/>
      <c r="J71" s="244"/>
      <c r="K71" s="254"/>
      <c r="L71" s="255"/>
      <c r="M71" s="189"/>
      <c r="N71" s="189"/>
      <c r="O71" s="189"/>
      <c r="Q71" s="836"/>
      <c r="R71" s="535" t="s">
        <v>270</v>
      </c>
      <c r="S71" s="259">
        <v>3000000</v>
      </c>
      <c r="T71" s="259">
        <v>500000</v>
      </c>
      <c r="U71" s="259"/>
      <c r="V71" s="259">
        <v>500000</v>
      </c>
      <c r="W71" s="259"/>
      <c r="X71" s="259"/>
      <c r="Y71" s="259"/>
      <c r="Z71" s="259"/>
      <c r="AA71" s="259"/>
      <c r="AB71" s="259"/>
      <c r="AC71" s="259"/>
      <c r="AD71" s="259"/>
      <c r="AE71" s="259">
        <f t="shared" si="10"/>
        <v>1000000</v>
      </c>
    </row>
    <row r="72" spans="1:33" s="191" customFormat="1">
      <c r="A72" s="189"/>
      <c r="B72" s="189"/>
      <c r="C72" s="189"/>
      <c r="D72" s="189"/>
      <c r="E72" s="189"/>
      <c r="F72" s="189"/>
      <c r="G72" s="189"/>
      <c r="H72" s="189"/>
      <c r="I72" s="189"/>
      <c r="J72" s="244"/>
      <c r="K72" s="254"/>
      <c r="L72" s="255"/>
      <c r="M72" s="189"/>
      <c r="N72" s="189"/>
      <c r="O72" s="189"/>
      <c r="Q72" s="836"/>
      <c r="R72" s="191" t="s">
        <v>271</v>
      </c>
      <c r="S72" s="192">
        <v>3000000</v>
      </c>
      <c r="T72" s="261">
        <v>500000</v>
      </c>
      <c r="U72" s="261"/>
      <c r="V72" s="261">
        <v>500000</v>
      </c>
      <c r="W72" s="261"/>
      <c r="X72" s="261"/>
      <c r="Y72" s="261"/>
      <c r="Z72" s="261"/>
      <c r="AA72" s="261"/>
      <c r="AB72" s="261"/>
      <c r="AC72" s="261"/>
      <c r="AD72" s="261"/>
      <c r="AE72" s="259">
        <f t="shared" si="10"/>
        <v>1000000</v>
      </c>
    </row>
    <row r="73" spans="1:33" s="191" customFormat="1">
      <c r="A73" s="189"/>
      <c r="B73" s="189"/>
      <c r="C73" s="189"/>
      <c r="D73" s="189"/>
      <c r="E73" s="189"/>
      <c r="F73" s="189"/>
      <c r="G73" s="189"/>
      <c r="H73" s="189"/>
      <c r="I73" s="189"/>
      <c r="J73" s="244"/>
      <c r="K73" s="254"/>
      <c r="L73" s="255"/>
      <c r="M73" s="189"/>
      <c r="N73" s="189"/>
      <c r="O73" s="189"/>
      <c r="Q73" s="836"/>
      <c r="S73" s="192"/>
      <c r="T73" s="259"/>
      <c r="U73" s="259"/>
      <c r="V73" s="259"/>
      <c r="W73" s="259"/>
      <c r="X73" s="259"/>
      <c r="Y73" s="259"/>
      <c r="Z73" s="259"/>
      <c r="AA73" s="259"/>
      <c r="AB73" s="259"/>
      <c r="AC73" s="259"/>
      <c r="AD73" s="259"/>
      <c r="AE73" s="259">
        <f t="shared" si="10"/>
        <v>0</v>
      </c>
    </row>
    <row r="74" spans="1:33" s="191" customFormat="1">
      <c r="A74" s="189"/>
      <c r="B74" s="189"/>
      <c r="C74" s="189"/>
      <c r="D74" s="189"/>
      <c r="E74" s="189"/>
      <c r="F74" s="189"/>
      <c r="G74" s="189"/>
      <c r="H74" s="189"/>
      <c r="I74" s="189"/>
      <c r="J74" s="244"/>
      <c r="K74" s="254"/>
      <c r="L74" s="255"/>
      <c r="M74" s="189"/>
      <c r="N74" s="189"/>
      <c r="O74" s="189"/>
      <c r="Q74" s="836"/>
      <c r="R74" s="535"/>
      <c r="S74" s="263">
        <f>SUM(S68:S73)</f>
        <v>9798000</v>
      </c>
      <c r="T74" s="263">
        <f>SUM(T68:T73)</f>
        <v>1505000</v>
      </c>
      <c r="U74" s="263">
        <f t="shared" ref="U74:AE74" si="11">SUM(U68:U73)</f>
        <v>0</v>
      </c>
      <c r="V74" s="263">
        <f t="shared" si="11"/>
        <v>1505000</v>
      </c>
      <c r="W74" s="263">
        <f t="shared" si="11"/>
        <v>0</v>
      </c>
      <c r="X74" s="263">
        <f t="shared" si="11"/>
        <v>0</v>
      </c>
      <c r="Y74" s="263">
        <f t="shared" si="11"/>
        <v>0</v>
      </c>
      <c r="Z74" s="263">
        <f t="shared" si="11"/>
        <v>0</v>
      </c>
      <c r="AA74" s="263">
        <f t="shared" si="11"/>
        <v>0</v>
      </c>
      <c r="AB74" s="263">
        <f t="shared" si="11"/>
        <v>0</v>
      </c>
      <c r="AC74" s="263">
        <f t="shared" si="11"/>
        <v>0</v>
      </c>
      <c r="AD74" s="263">
        <f t="shared" si="11"/>
        <v>0</v>
      </c>
      <c r="AE74" s="264">
        <f t="shared" si="11"/>
        <v>3010000</v>
      </c>
    </row>
    <row r="75" spans="1:33" s="191" customFormat="1" ht="51">
      <c r="A75" s="189"/>
      <c r="B75" s="189"/>
      <c r="C75" s="189"/>
      <c r="D75" s="189"/>
      <c r="E75" s="189"/>
      <c r="F75" s="189"/>
      <c r="G75" s="189"/>
      <c r="H75" s="189"/>
      <c r="I75" s="189"/>
      <c r="J75" s="244"/>
      <c r="K75" s="254"/>
      <c r="L75" s="255"/>
      <c r="M75" s="189"/>
      <c r="N75" s="189"/>
      <c r="O75" s="189"/>
      <c r="Q75" s="836" t="s">
        <v>276</v>
      </c>
      <c r="R75" s="535"/>
      <c r="S75" s="259"/>
      <c r="T75" s="259" t="s">
        <v>251</v>
      </c>
      <c r="U75" s="259" t="s">
        <v>252</v>
      </c>
      <c r="V75" s="259" t="s">
        <v>253</v>
      </c>
      <c r="W75" s="259" t="s">
        <v>254</v>
      </c>
      <c r="X75" s="259" t="s">
        <v>201</v>
      </c>
      <c r="Y75" s="259" t="s">
        <v>255</v>
      </c>
      <c r="Z75" s="259" t="s">
        <v>256</v>
      </c>
      <c r="AA75" s="259" t="s">
        <v>257</v>
      </c>
      <c r="AB75" s="259" t="s">
        <v>258</v>
      </c>
      <c r="AC75" s="259" t="s">
        <v>259</v>
      </c>
      <c r="AD75" s="259" t="s">
        <v>260</v>
      </c>
      <c r="AE75" s="259" t="s">
        <v>261</v>
      </c>
    </row>
    <row r="76" spans="1:33" s="191" customFormat="1">
      <c r="A76" s="189"/>
      <c r="B76" s="189"/>
      <c r="C76" s="189"/>
      <c r="D76" s="189"/>
      <c r="E76" s="189"/>
      <c r="F76" s="189"/>
      <c r="G76" s="189"/>
      <c r="H76" s="189"/>
      <c r="I76" s="189"/>
      <c r="J76" s="244"/>
      <c r="K76" s="254"/>
      <c r="L76" s="255"/>
      <c r="M76" s="189"/>
      <c r="N76" s="189"/>
      <c r="O76" s="189"/>
      <c r="Q76" s="836"/>
      <c r="R76" s="535" t="s">
        <v>267</v>
      </c>
      <c r="S76" s="259">
        <v>1368000</v>
      </c>
      <c r="T76" s="259">
        <f>38*5500</f>
        <v>209000</v>
      </c>
      <c r="U76" s="259"/>
      <c r="V76" s="259"/>
      <c r="W76" s="259"/>
      <c r="X76" s="259"/>
      <c r="Y76" s="259"/>
      <c r="Z76" s="259"/>
      <c r="AA76" s="259"/>
      <c r="AB76" s="259"/>
      <c r="AC76" s="259"/>
      <c r="AD76" s="259"/>
      <c r="AE76" s="259">
        <f t="shared" ref="AE76:AE81" si="12">SUM(T76:AD76)</f>
        <v>209000</v>
      </c>
      <c r="AG76" s="225">
        <f>T76+T68+T52+T36</f>
        <v>374000</v>
      </c>
    </row>
    <row r="77" spans="1:33" s="191" customFormat="1">
      <c r="A77" s="189"/>
      <c r="B77" s="189"/>
      <c r="C77" s="189"/>
      <c r="D77" s="189"/>
      <c r="E77" s="189"/>
      <c r="F77" s="189"/>
      <c r="G77" s="189"/>
      <c r="H77" s="189"/>
      <c r="I77" s="189"/>
      <c r="J77" s="244"/>
      <c r="K77" s="254"/>
      <c r="L77" s="255"/>
      <c r="M77" s="189"/>
      <c r="N77" s="189"/>
      <c r="O77" s="189"/>
      <c r="Q77" s="836"/>
      <c r="R77" s="535" t="s">
        <v>268</v>
      </c>
      <c r="S77" s="259">
        <v>300000</v>
      </c>
      <c r="T77" s="259"/>
      <c r="U77" s="259"/>
      <c r="V77" s="259"/>
      <c r="W77" s="259"/>
      <c r="X77" s="259"/>
      <c r="Y77" s="259"/>
      <c r="Z77" s="259"/>
      <c r="AA77" s="259"/>
      <c r="AB77" s="259"/>
      <c r="AC77" s="259"/>
      <c r="AD77" s="259"/>
      <c r="AE77" s="259">
        <f t="shared" si="12"/>
        <v>0</v>
      </c>
    </row>
    <row r="78" spans="1:33" s="191" customFormat="1">
      <c r="A78" s="189"/>
      <c r="B78" s="189"/>
      <c r="C78" s="189"/>
      <c r="D78" s="189"/>
      <c r="E78" s="189"/>
      <c r="F78" s="189"/>
      <c r="G78" s="189"/>
      <c r="H78" s="189"/>
      <c r="I78" s="189"/>
      <c r="J78" s="244"/>
      <c r="K78" s="254"/>
      <c r="L78" s="255"/>
      <c r="M78" s="189"/>
      <c r="N78" s="189"/>
      <c r="O78" s="189"/>
      <c r="Q78" s="836"/>
      <c r="R78" s="535" t="s">
        <v>269</v>
      </c>
      <c r="S78" s="259">
        <v>8640000</v>
      </c>
      <c r="T78" s="259">
        <f>1350000+607500</f>
        <v>1957500</v>
      </c>
      <c r="U78" s="259"/>
      <c r="V78" s="259"/>
      <c r="W78" s="259"/>
      <c r="X78" s="259"/>
      <c r="Y78" s="259"/>
      <c r="Z78" s="259"/>
      <c r="AA78" s="259"/>
      <c r="AB78" s="259"/>
      <c r="AC78" s="259"/>
      <c r="AD78" s="259"/>
      <c r="AE78" s="259">
        <f t="shared" si="12"/>
        <v>1957500</v>
      </c>
    </row>
    <row r="79" spans="1:33" s="191" customFormat="1">
      <c r="A79" s="189"/>
      <c r="B79" s="189"/>
      <c r="C79" s="189"/>
      <c r="D79" s="189"/>
      <c r="E79" s="189"/>
      <c r="F79" s="189"/>
      <c r="G79" s="189"/>
      <c r="H79" s="189"/>
      <c r="I79" s="189"/>
      <c r="J79" s="244"/>
      <c r="K79" s="254"/>
      <c r="L79" s="255"/>
      <c r="M79" s="189"/>
      <c r="N79" s="189"/>
      <c r="O79" s="189"/>
      <c r="Q79" s="836"/>
      <c r="R79" s="535" t="s">
        <v>270</v>
      </c>
      <c r="S79" s="259">
        <v>4000000</v>
      </c>
      <c r="T79" s="259">
        <v>1000000</v>
      </c>
      <c r="U79" s="259"/>
      <c r="V79" s="259"/>
      <c r="W79" s="259"/>
      <c r="X79" s="259"/>
      <c r="Y79" s="259"/>
      <c r="Z79" s="259"/>
      <c r="AA79" s="259"/>
      <c r="AB79" s="259"/>
      <c r="AC79" s="259"/>
      <c r="AD79" s="259"/>
      <c r="AE79" s="259">
        <f t="shared" si="12"/>
        <v>1000000</v>
      </c>
    </row>
    <row r="80" spans="1:33" s="191" customFormat="1">
      <c r="A80" s="189"/>
      <c r="B80" s="189"/>
      <c r="C80" s="189"/>
      <c r="D80" s="189"/>
      <c r="E80" s="189"/>
      <c r="F80" s="189"/>
      <c r="G80" s="189"/>
      <c r="H80" s="189"/>
      <c r="I80" s="189"/>
      <c r="J80" s="244"/>
      <c r="K80" s="254"/>
      <c r="L80" s="255"/>
      <c r="M80" s="189"/>
      <c r="N80" s="189"/>
      <c r="O80" s="189"/>
      <c r="Q80" s="836"/>
      <c r="R80" s="191" t="s">
        <v>271</v>
      </c>
      <c r="S80" s="192">
        <v>7600000</v>
      </c>
      <c r="T80" s="261">
        <v>1700000</v>
      </c>
      <c r="U80" s="261"/>
      <c r="V80" s="261"/>
      <c r="W80" s="261"/>
      <c r="X80" s="261"/>
      <c r="Y80" s="261"/>
      <c r="Z80" s="261"/>
      <c r="AA80" s="261"/>
      <c r="AB80" s="261"/>
      <c r="AC80" s="261"/>
      <c r="AD80" s="261"/>
      <c r="AE80" s="259">
        <f t="shared" si="12"/>
        <v>1700000</v>
      </c>
    </row>
    <row r="81" spans="1:31" s="191" customFormat="1">
      <c r="A81" s="189"/>
      <c r="B81" s="189"/>
      <c r="C81" s="189"/>
      <c r="D81" s="189"/>
      <c r="E81" s="189"/>
      <c r="F81" s="189"/>
      <c r="G81" s="189"/>
      <c r="H81" s="189"/>
      <c r="I81" s="189"/>
      <c r="J81" s="244"/>
      <c r="K81" s="254"/>
      <c r="L81" s="255"/>
      <c r="M81" s="189"/>
      <c r="N81" s="189"/>
      <c r="O81" s="189"/>
      <c r="Q81" s="836"/>
      <c r="S81" s="192"/>
      <c r="T81" s="259"/>
      <c r="U81" s="259"/>
      <c r="V81" s="259"/>
      <c r="W81" s="259"/>
      <c r="X81" s="259"/>
      <c r="Y81" s="259"/>
      <c r="Z81" s="259"/>
      <c r="AA81" s="259"/>
      <c r="AB81" s="259"/>
      <c r="AC81" s="259"/>
      <c r="AD81" s="259"/>
      <c r="AE81" s="259">
        <f t="shared" si="12"/>
        <v>0</v>
      </c>
    </row>
    <row r="82" spans="1:31" s="191" customFormat="1">
      <c r="A82" s="189"/>
      <c r="B82" s="189"/>
      <c r="C82" s="189"/>
      <c r="D82" s="189"/>
      <c r="E82" s="189"/>
      <c r="F82" s="189"/>
      <c r="G82" s="189"/>
      <c r="H82" s="189"/>
      <c r="I82" s="189"/>
      <c r="J82" s="244"/>
      <c r="K82" s="254"/>
      <c r="L82" s="255"/>
      <c r="M82" s="189"/>
      <c r="N82" s="189"/>
      <c r="O82" s="189"/>
      <c r="Q82" s="836"/>
      <c r="R82" s="535"/>
      <c r="S82" s="263">
        <f>SUM(S76:S81)</f>
        <v>21908000</v>
      </c>
      <c r="T82" s="263">
        <f>SUM(T76:T81)</f>
        <v>4866500</v>
      </c>
      <c r="U82" s="263">
        <f t="shared" ref="U82:AE82" si="13">SUM(U76:U81)</f>
        <v>0</v>
      </c>
      <c r="V82" s="263">
        <f t="shared" si="13"/>
        <v>0</v>
      </c>
      <c r="W82" s="263">
        <f t="shared" si="13"/>
        <v>0</v>
      </c>
      <c r="X82" s="263">
        <f t="shared" si="13"/>
        <v>0</v>
      </c>
      <c r="Y82" s="263">
        <f t="shared" si="13"/>
        <v>0</v>
      </c>
      <c r="Z82" s="263">
        <f t="shared" si="13"/>
        <v>0</v>
      </c>
      <c r="AA82" s="263">
        <f t="shared" si="13"/>
        <v>0</v>
      </c>
      <c r="AB82" s="263">
        <f t="shared" si="13"/>
        <v>0</v>
      </c>
      <c r="AC82" s="263">
        <f t="shared" si="13"/>
        <v>0</v>
      </c>
      <c r="AD82" s="263">
        <f t="shared" si="13"/>
        <v>0</v>
      </c>
      <c r="AE82" s="264">
        <f t="shared" si="13"/>
        <v>4866500</v>
      </c>
    </row>
    <row r="83" spans="1:31" s="191" customFormat="1">
      <c r="A83" s="189"/>
      <c r="B83" s="189"/>
      <c r="C83" s="189"/>
      <c r="D83" s="189"/>
      <c r="E83" s="189"/>
      <c r="F83" s="189"/>
      <c r="G83" s="189"/>
      <c r="H83" s="189"/>
      <c r="I83" s="189"/>
      <c r="J83" s="244"/>
      <c r="K83" s="254"/>
      <c r="L83" s="255"/>
      <c r="M83" s="189"/>
      <c r="N83" s="189"/>
      <c r="O83" s="189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</row>
    <row r="88" spans="1:31" s="191" customFormat="1">
      <c r="A88" s="189"/>
      <c r="B88" s="189"/>
      <c r="C88" s="189"/>
      <c r="D88" s="189"/>
      <c r="E88" s="189"/>
      <c r="F88" s="189"/>
      <c r="G88" s="189"/>
      <c r="H88" s="189"/>
      <c r="I88" s="189"/>
      <c r="J88" s="244"/>
      <c r="K88" s="254"/>
      <c r="L88" s="255"/>
      <c r="M88" s="189"/>
      <c r="N88" s="189"/>
      <c r="O88" s="189"/>
      <c r="P88" s="225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</row>
    <row r="91" spans="1:31" s="191" customFormat="1">
      <c r="A91" s="189"/>
      <c r="B91" s="189"/>
      <c r="C91" s="189"/>
      <c r="D91" s="189"/>
      <c r="E91" s="189"/>
      <c r="F91" s="189"/>
      <c r="G91" s="189"/>
      <c r="H91" s="189"/>
      <c r="I91" s="189"/>
      <c r="J91" s="244"/>
      <c r="K91" s="254"/>
      <c r="L91" s="255"/>
      <c r="M91" s="189"/>
      <c r="N91" s="189"/>
      <c r="O91" s="189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</row>
    <row r="107" spans="10:46" s="189" customFormat="1" ht="15" customHeight="1">
      <c r="J107" s="244"/>
      <c r="K107" s="254"/>
      <c r="L107" s="255"/>
      <c r="P107" s="191"/>
      <c r="Q107" s="191"/>
      <c r="R107" s="191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</row>
    <row r="123" spans="10:46" s="189" customFormat="1" ht="6" customHeight="1">
      <c r="J123" s="244"/>
      <c r="K123" s="254"/>
      <c r="L123" s="255"/>
      <c r="P123" s="191"/>
      <c r="Q123" s="191"/>
      <c r="R123" s="191"/>
      <c r="S123" s="192"/>
      <c r="T123" s="192"/>
      <c r="U123" s="192"/>
      <c r="V123" s="192"/>
      <c r="W123" s="192"/>
      <c r="X123" s="192"/>
      <c r="Y123" s="192"/>
      <c r="Z123" s="192"/>
      <c r="AA123" s="192"/>
      <c r="AB123" s="192"/>
      <c r="AC123" s="192"/>
      <c r="AD123" s="192"/>
      <c r="AE123" s="192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</row>
  </sheetData>
  <mergeCells count="26">
    <mergeCell ref="Q51:Q58"/>
    <mergeCell ref="Q59:Q66"/>
    <mergeCell ref="Q67:Q74"/>
    <mergeCell ref="Q75:Q82"/>
    <mergeCell ref="Q18:Q25"/>
    <mergeCell ref="K21:N21"/>
    <mergeCell ref="K22:N22"/>
    <mergeCell ref="Q27:Q34"/>
    <mergeCell ref="Q35:Q42"/>
    <mergeCell ref="Q43:Q50"/>
    <mergeCell ref="A6:B6"/>
    <mergeCell ref="C6:D6"/>
    <mergeCell ref="G6:I6"/>
    <mergeCell ref="O13:R13"/>
    <mergeCell ref="Q14:Q17"/>
    <mergeCell ref="K16:N16"/>
    <mergeCell ref="K17:N17"/>
    <mergeCell ref="C1:N1"/>
    <mergeCell ref="C2:N2"/>
    <mergeCell ref="A3:D3"/>
    <mergeCell ref="A4:B5"/>
    <mergeCell ref="C4:D5"/>
    <mergeCell ref="E4:F4"/>
    <mergeCell ref="G4:M4"/>
    <mergeCell ref="N4:N5"/>
    <mergeCell ref="G5:I5"/>
  </mergeCells>
  <pageMargins left="0.7" right="0.7" top="0.75" bottom="0.75" header="0.3" footer="0.3"/>
  <pageSetup paperSize="14" scale="95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AF150"/>
  <sheetViews>
    <sheetView topLeftCell="B31" zoomScale="71" zoomScaleNormal="71" workbookViewId="0">
      <selection activeCell="R84" sqref="R84"/>
    </sheetView>
  </sheetViews>
  <sheetFormatPr defaultRowHeight="14.25"/>
  <cols>
    <col min="1" max="1" width="2.5703125" style="440" bestFit="1" customWidth="1"/>
    <col min="2" max="2" width="3.28515625" style="440" bestFit="1" customWidth="1"/>
    <col min="3" max="3" width="3" style="441" bestFit="1" customWidth="1"/>
    <col min="4" max="5" width="3.140625" style="441" bestFit="1" customWidth="1"/>
    <col min="6" max="8" width="2.140625" style="441" bestFit="1" customWidth="1"/>
    <col min="9" max="10" width="3.140625" style="441" bestFit="1" customWidth="1"/>
    <col min="11" max="11" width="37.28515625" style="511" customWidth="1"/>
    <col min="12" max="12" width="17.5703125" style="440" bestFit="1" customWidth="1"/>
    <col min="13" max="13" width="14.28515625" style="440" bestFit="1" customWidth="1"/>
    <col min="14" max="14" width="15.5703125" style="440" bestFit="1" customWidth="1"/>
    <col min="15" max="15" width="14.28515625" style="440" bestFit="1" customWidth="1"/>
    <col min="16" max="17" width="15.5703125" style="440" bestFit="1" customWidth="1"/>
    <col min="18" max="18" width="15" style="440" bestFit="1" customWidth="1"/>
    <col min="19" max="19" width="15.5703125" style="440" bestFit="1" customWidth="1"/>
    <col min="20" max="21" width="14.28515625" style="440" bestFit="1" customWidth="1"/>
    <col min="22" max="22" width="16.5703125" style="440" bestFit="1" customWidth="1"/>
    <col min="23" max="24" width="15.5703125" style="440" bestFit="1" customWidth="1"/>
    <col min="25" max="25" width="17.5703125" style="440" bestFit="1" customWidth="1"/>
    <col min="26" max="26" width="9.7109375" style="512" customWidth="1"/>
    <col min="27" max="27" width="15.5703125" style="440" bestFit="1" customWidth="1"/>
    <col min="28" max="28" width="15.85546875" style="440" bestFit="1" customWidth="1"/>
    <col min="29" max="29" width="14.85546875" style="440" bestFit="1" customWidth="1"/>
    <col min="30" max="16384" width="9.140625" style="440"/>
  </cols>
  <sheetData>
    <row r="1" spans="1:31" ht="20.25">
      <c r="A1" s="887" t="s">
        <v>0</v>
      </c>
      <c r="B1" s="887"/>
      <c r="C1" s="887"/>
      <c r="D1" s="887"/>
      <c r="E1" s="887"/>
      <c r="F1" s="887"/>
      <c r="G1" s="887"/>
      <c r="H1" s="887"/>
      <c r="I1" s="887"/>
      <c r="J1" s="887"/>
      <c r="K1" s="887"/>
      <c r="L1" s="887"/>
      <c r="M1" s="887"/>
      <c r="N1" s="887"/>
      <c r="O1" s="887"/>
      <c r="P1" s="887"/>
      <c r="Q1" s="887"/>
      <c r="R1" s="887"/>
      <c r="S1" s="887"/>
      <c r="T1" s="887"/>
      <c r="U1" s="887"/>
      <c r="V1" s="887"/>
      <c r="W1" s="887"/>
      <c r="X1" s="887"/>
      <c r="Y1" s="887"/>
      <c r="Z1" s="887"/>
      <c r="AA1" s="887"/>
      <c r="AB1" s="439"/>
      <c r="AC1" s="439"/>
      <c r="AD1" s="439"/>
      <c r="AE1" s="439"/>
    </row>
    <row r="2" spans="1:31" ht="20.25">
      <c r="A2" s="887" t="s">
        <v>684</v>
      </c>
      <c r="B2" s="887"/>
      <c r="C2" s="887"/>
      <c r="D2" s="887"/>
      <c r="E2" s="887"/>
      <c r="F2" s="887"/>
      <c r="G2" s="887"/>
      <c r="H2" s="887"/>
      <c r="I2" s="887"/>
      <c r="J2" s="887"/>
      <c r="K2" s="887"/>
      <c r="L2" s="887"/>
      <c r="M2" s="887"/>
      <c r="N2" s="887"/>
      <c r="O2" s="887"/>
      <c r="P2" s="887"/>
      <c r="Q2" s="887"/>
      <c r="R2" s="887"/>
      <c r="S2" s="887"/>
      <c r="T2" s="887"/>
      <c r="U2" s="887"/>
      <c r="V2" s="887"/>
      <c r="W2" s="887"/>
      <c r="X2" s="887"/>
      <c r="Y2" s="887"/>
      <c r="Z2" s="887"/>
      <c r="AA2" s="887"/>
      <c r="AB2" s="439"/>
      <c r="AC2" s="439"/>
      <c r="AD2" s="439"/>
      <c r="AE2" s="439"/>
    </row>
    <row r="3" spans="1:31" ht="20.25">
      <c r="A3" s="887" t="s">
        <v>2</v>
      </c>
      <c r="B3" s="887"/>
      <c r="C3" s="887"/>
      <c r="D3" s="887"/>
      <c r="E3" s="887"/>
      <c r="F3" s="887"/>
      <c r="G3" s="887"/>
      <c r="H3" s="887"/>
      <c r="I3" s="887"/>
      <c r="J3" s="887"/>
      <c r="K3" s="887"/>
      <c r="L3" s="887"/>
      <c r="M3" s="887"/>
      <c r="N3" s="887"/>
      <c r="O3" s="887"/>
      <c r="P3" s="887"/>
      <c r="Q3" s="887"/>
      <c r="R3" s="887"/>
      <c r="S3" s="887"/>
      <c r="T3" s="887"/>
      <c r="U3" s="887"/>
      <c r="V3" s="887"/>
      <c r="W3" s="887"/>
      <c r="X3" s="887"/>
      <c r="Y3" s="887"/>
      <c r="Z3" s="887"/>
      <c r="AA3" s="887"/>
      <c r="AB3" s="439"/>
      <c r="AC3" s="439"/>
      <c r="AD3" s="439"/>
      <c r="AE3" s="439"/>
    </row>
    <row r="4" spans="1:31" ht="20.25">
      <c r="A4" s="887" t="s">
        <v>368</v>
      </c>
      <c r="B4" s="887"/>
      <c r="C4" s="887"/>
      <c r="D4" s="887"/>
      <c r="E4" s="887"/>
      <c r="F4" s="887"/>
      <c r="G4" s="887"/>
      <c r="H4" s="887"/>
      <c r="I4" s="887"/>
      <c r="J4" s="887"/>
      <c r="K4" s="887"/>
      <c r="L4" s="887"/>
      <c r="M4" s="887"/>
      <c r="N4" s="887"/>
      <c r="O4" s="887"/>
      <c r="P4" s="887"/>
      <c r="Q4" s="887"/>
      <c r="R4" s="887"/>
      <c r="S4" s="887"/>
      <c r="T4" s="887"/>
      <c r="U4" s="887"/>
      <c r="V4" s="887"/>
      <c r="W4" s="887"/>
      <c r="X4" s="887"/>
      <c r="Y4" s="887"/>
      <c r="Z4" s="887"/>
      <c r="AA4" s="887"/>
      <c r="AB4" s="439"/>
      <c r="AC4" s="439"/>
      <c r="AD4" s="439"/>
      <c r="AE4" s="439"/>
    </row>
    <row r="5" spans="1:31" ht="20.25">
      <c r="K5" s="442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4"/>
      <c r="AA5" s="443"/>
    </row>
    <row r="6" spans="1:31" ht="13.5" customHeight="1">
      <c r="A6" s="888" t="s">
        <v>3</v>
      </c>
      <c r="B6" s="889"/>
      <c r="C6" s="889"/>
      <c r="D6" s="889"/>
      <c r="E6" s="889"/>
      <c r="F6" s="889"/>
      <c r="G6" s="889"/>
      <c r="H6" s="889"/>
      <c r="I6" s="889"/>
      <c r="J6" s="890"/>
      <c r="K6" s="897" t="s">
        <v>4</v>
      </c>
      <c r="L6" s="894" t="s">
        <v>6</v>
      </c>
      <c r="M6" s="445"/>
      <c r="N6" s="445"/>
      <c r="O6" s="445"/>
      <c r="P6" s="445"/>
      <c r="Q6" s="445"/>
      <c r="R6" s="445"/>
      <c r="S6" s="445"/>
      <c r="T6" s="445"/>
      <c r="U6" s="445"/>
      <c r="V6" s="445"/>
      <c r="W6" s="445"/>
      <c r="X6" s="445"/>
      <c r="Y6" s="899" t="s">
        <v>135</v>
      </c>
      <c r="Z6" s="446"/>
      <c r="AA6" s="902" t="s">
        <v>213</v>
      </c>
    </row>
    <row r="7" spans="1:31" ht="13.5" customHeight="1">
      <c r="A7" s="891"/>
      <c r="B7" s="892"/>
      <c r="C7" s="892"/>
      <c r="D7" s="892"/>
      <c r="E7" s="892"/>
      <c r="F7" s="892"/>
      <c r="G7" s="892"/>
      <c r="H7" s="892"/>
      <c r="I7" s="892"/>
      <c r="J7" s="893"/>
      <c r="K7" s="897"/>
      <c r="L7" s="895"/>
      <c r="M7" s="447" t="s">
        <v>90</v>
      </c>
      <c r="N7" s="447" t="s">
        <v>94</v>
      </c>
      <c r="O7" s="448" t="s">
        <v>98</v>
      </c>
      <c r="P7" s="448" t="s">
        <v>102</v>
      </c>
      <c r="Q7" s="448" t="s">
        <v>106</v>
      </c>
      <c r="R7" s="448" t="s">
        <v>110</v>
      </c>
      <c r="S7" s="448" t="s">
        <v>113</v>
      </c>
      <c r="T7" s="448" t="s">
        <v>117</v>
      </c>
      <c r="U7" s="448" t="s">
        <v>120</v>
      </c>
      <c r="V7" s="448" t="s">
        <v>124</v>
      </c>
      <c r="W7" s="448" t="s">
        <v>127</v>
      </c>
      <c r="X7" s="448" t="s">
        <v>131</v>
      </c>
      <c r="Y7" s="900"/>
      <c r="Z7" s="449" t="s">
        <v>16</v>
      </c>
      <c r="AA7" s="902"/>
    </row>
    <row r="8" spans="1:31" ht="13.5" customHeight="1" thickBot="1">
      <c r="A8" s="891"/>
      <c r="B8" s="892"/>
      <c r="C8" s="892"/>
      <c r="D8" s="892"/>
      <c r="E8" s="892"/>
      <c r="F8" s="892"/>
      <c r="G8" s="892"/>
      <c r="H8" s="892"/>
      <c r="I8" s="892"/>
      <c r="J8" s="893"/>
      <c r="K8" s="898"/>
      <c r="L8" s="896"/>
      <c r="M8" s="450"/>
      <c r="N8" s="450"/>
      <c r="O8" s="450"/>
      <c r="P8" s="450"/>
      <c r="Q8" s="450"/>
      <c r="R8" s="450"/>
      <c r="S8" s="450"/>
      <c r="T8" s="450"/>
      <c r="U8" s="450"/>
      <c r="V8" s="450"/>
      <c r="W8" s="450"/>
      <c r="X8" s="450"/>
      <c r="Y8" s="901"/>
      <c r="Z8" s="451"/>
      <c r="AA8" s="902"/>
    </row>
    <row r="9" spans="1:31" s="465" customFormat="1" ht="12.75">
      <c r="A9" s="452"/>
      <c r="B9" s="453"/>
      <c r="C9" s="454"/>
      <c r="D9" s="454"/>
      <c r="E9" s="455"/>
      <c r="F9" s="456"/>
      <c r="G9" s="456"/>
      <c r="H9" s="456"/>
      <c r="I9" s="456"/>
      <c r="J9" s="457"/>
      <c r="K9" s="458" t="s">
        <v>336</v>
      </c>
      <c r="L9" s="459">
        <f>kontrol!D10</f>
        <v>55886204</v>
      </c>
      <c r="M9" s="459"/>
      <c r="N9" s="460"/>
      <c r="O9" s="461"/>
      <c r="P9" s="461"/>
      <c r="Q9" s="461"/>
      <c r="R9" s="461"/>
      <c r="S9" s="461"/>
      <c r="T9" s="461"/>
      <c r="U9" s="461"/>
      <c r="V9" s="461"/>
      <c r="W9" s="461"/>
      <c r="X9" s="461"/>
      <c r="Y9" s="461"/>
      <c r="Z9" s="461"/>
      <c r="AA9" s="462"/>
      <c r="AB9" s="463"/>
      <c r="AC9" s="463"/>
      <c r="AD9" s="463"/>
      <c r="AE9" s="464"/>
    </row>
    <row r="10" spans="1:31" s="465" customFormat="1" ht="12.75">
      <c r="A10" s="452"/>
      <c r="B10" s="453"/>
      <c r="C10" s="466"/>
      <c r="D10" s="467"/>
      <c r="E10" s="454"/>
      <c r="F10" s="468"/>
      <c r="G10" s="454"/>
      <c r="H10" s="454"/>
      <c r="I10" s="454"/>
      <c r="J10" s="469"/>
      <c r="K10" s="458" t="s">
        <v>337</v>
      </c>
      <c r="L10" s="470"/>
      <c r="M10" s="471">
        <f>kontrol!D12</f>
        <v>142476000</v>
      </c>
      <c r="N10" s="472">
        <f>kontrol!D13</f>
        <v>141342000</v>
      </c>
      <c r="O10" s="472">
        <f>kontrol!D14</f>
        <v>139578000</v>
      </c>
      <c r="P10" s="472">
        <f>kontrol!D15</f>
        <v>140112000</v>
      </c>
      <c r="Q10" s="472">
        <f>kontrol!D16</f>
        <v>139734000</v>
      </c>
      <c r="R10" s="459">
        <f>kontrol!D17</f>
        <v>142194000</v>
      </c>
      <c r="S10" s="459">
        <f>kontrol!D18</f>
        <v>142044000</v>
      </c>
      <c r="T10" s="459">
        <f>kontrol!D19</f>
        <v>140394000</v>
      </c>
      <c r="U10" s="459">
        <f>kontrol!D20</f>
        <v>137958000</v>
      </c>
      <c r="V10" s="459">
        <f>kontrol!D21</f>
        <v>136200000</v>
      </c>
      <c r="W10" s="459">
        <f>kontrol!D22</f>
        <v>139788000</v>
      </c>
      <c r="X10" s="459">
        <f>kontrol!D23</f>
        <v>132250200</v>
      </c>
      <c r="Y10" s="473">
        <f>SUM(M10:X10)</f>
        <v>1674070200</v>
      </c>
      <c r="Z10" s="461"/>
      <c r="AA10" s="462"/>
      <c r="AB10" s="474"/>
      <c r="AC10" s="474"/>
      <c r="AD10" s="474"/>
    </row>
    <row r="11" spans="1:31" s="465" customFormat="1" ht="12.75">
      <c r="A11" s="452"/>
      <c r="B11" s="453"/>
      <c r="C11" s="475"/>
      <c r="D11" s="475"/>
      <c r="E11" s="475"/>
      <c r="F11" s="475"/>
      <c r="G11" s="475"/>
      <c r="H11" s="475"/>
      <c r="I11" s="475"/>
      <c r="J11" s="476"/>
      <c r="K11" s="458" t="s">
        <v>338</v>
      </c>
      <c r="L11" s="472"/>
      <c r="M11" s="472">
        <f>M10</f>
        <v>142476000</v>
      </c>
      <c r="N11" s="472">
        <f>M11+N10</f>
        <v>283818000</v>
      </c>
      <c r="O11" s="472">
        <f>N11+O10</f>
        <v>423396000</v>
      </c>
      <c r="P11" s="472">
        <f>O11+P10</f>
        <v>563508000</v>
      </c>
      <c r="Q11" s="472">
        <f>P11+Q10</f>
        <v>703242000</v>
      </c>
      <c r="R11" s="472">
        <f t="shared" ref="R11:W11" si="0">Q11+R10</f>
        <v>845436000</v>
      </c>
      <c r="S11" s="472">
        <f>R11+S10</f>
        <v>987480000</v>
      </c>
      <c r="T11" s="472">
        <f t="shared" si="0"/>
        <v>1127874000</v>
      </c>
      <c r="U11" s="472">
        <f t="shared" si="0"/>
        <v>1265832000</v>
      </c>
      <c r="V11" s="472">
        <f t="shared" si="0"/>
        <v>1402032000</v>
      </c>
      <c r="W11" s="472">
        <f t="shared" si="0"/>
        <v>1541820000</v>
      </c>
      <c r="X11" s="472">
        <f>W11+X10</f>
        <v>1674070200</v>
      </c>
      <c r="Y11" s="473"/>
      <c r="Z11" s="461"/>
      <c r="AA11" s="462"/>
      <c r="AB11" s="463"/>
      <c r="AC11" s="463"/>
      <c r="AD11" s="463"/>
      <c r="AE11" s="464"/>
    </row>
    <row r="12" spans="1:31" s="465" customFormat="1" ht="12.75">
      <c r="A12" s="452"/>
      <c r="B12" s="453"/>
      <c r="C12" s="475"/>
      <c r="D12" s="475"/>
      <c r="E12" s="475"/>
      <c r="F12" s="475"/>
      <c r="G12" s="475"/>
      <c r="H12" s="475"/>
      <c r="I12" s="475"/>
      <c r="J12" s="476"/>
      <c r="K12" s="458" t="s">
        <v>339</v>
      </c>
      <c r="L12" s="472"/>
      <c r="M12" s="472" t="e">
        <f>M18</f>
        <v>#REF!</v>
      </c>
      <c r="N12" s="472" t="e">
        <f t="shared" ref="N12:W12" si="1">N18</f>
        <v>#REF!</v>
      </c>
      <c r="O12" s="472" t="e">
        <f t="shared" si="1"/>
        <v>#REF!</v>
      </c>
      <c r="P12" s="472" t="e">
        <f t="shared" si="1"/>
        <v>#REF!</v>
      </c>
      <c r="Q12" s="472" t="e">
        <f t="shared" si="1"/>
        <v>#REF!</v>
      </c>
      <c r="R12" s="472" t="e">
        <f t="shared" si="1"/>
        <v>#REF!</v>
      </c>
      <c r="S12" s="472" t="e">
        <f t="shared" si="1"/>
        <v>#REF!</v>
      </c>
      <c r="T12" s="472" t="e">
        <f t="shared" si="1"/>
        <v>#REF!</v>
      </c>
      <c r="U12" s="472" t="e">
        <f t="shared" si="1"/>
        <v>#REF!</v>
      </c>
      <c r="V12" s="472" t="e">
        <f t="shared" si="1"/>
        <v>#REF!</v>
      </c>
      <c r="W12" s="472" t="e">
        <f t="shared" si="1"/>
        <v>#REF!</v>
      </c>
      <c r="X12" s="472" t="e">
        <f>X18</f>
        <v>#REF!</v>
      </c>
      <c r="Y12" s="473" t="e">
        <f>SUM(M12:X12)</f>
        <v>#REF!</v>
      </c>
      <c r="Z12" s="461"/>
      <c r="AA12" s="462"/>
      <c r="AB12" s="474"/>
      <c r="AC12" s="474"/>
      <c r="AD12" s="474"/>
    </row>
    <row r="13" spans="1:31" s="465" customFormat="1" ht="12.75">
      <c r="A13" s="452"/>
      <c r="B13" s="453"/>
      <c r="C13" s="475"/>
      <c r="D13" s="475"/>
      <c r="E13" s="475"/>
      <c r="F13" s="475"/>
      <c r="G13" s="475"/>
      <c r="H13" s="475"/>
      <c r="I13" s="475"/>
      <c r="J13" s="476"/>
      <c r="K13" s="458" t="s">
        <v>340</v>
      </c>
      <c r="L13" s="472"/>
      <c r="M13" s="472" t="e">
        <f>M12</f>
        <v>#REF!</v>
      </c>
      <c r="N13" s="472" t="e">
        <f>M13+N12</f>
        <v>#REF!</v>
      </c>
      <c r="O13" s="472" t="e">
        <f t="shared" ref="O13:W13" si="2">N13+O12</f>
        <v>#REF!</v>
      </c>
      <c r="P13" s="472" t="e">
        <f t="shared" si="2"/>
        <v>#REF!</v>
      </c>
      <c r="Q13" s="472" t="e">
        <f t="shared" si="2"/>
        <v>#REF!</v>
      </c>
      <c r="R13" s="472" t="e">
        <f t="shared" si="2"/>
        <v>#REF!</v>
      </c>
      <c r="S13" s="472" t="e">
        <f t="shared" si="2"/>
        <v>#REF!</v>
      </c>
      <c r="T13" s="472" t="e">
        <f t="shared" si="2"/>
        <v>#REF!</v>
      </c>
      <c r="U13" s="472" t="e">
        <f t="shared" si="2"/>
        <v>#REF!</v>
      </c>
      <c r="V13" s="472" t="e">
        <f t="shared" si="2"/>
        <v>#REF!</v>
      </c>
      <c r="W13" s="472" t="e">
        <f t="shared" si="2"/>
        <v>#REF!</v>
      </c>
      <c r="X13" s="472" t="e">
        <f>W13+X12</f>
        <v>#REF!</v>
      </c>
      <c r="Y13" s="473"/>
      <c r="Z13" s="461"/>
      <c r="AA13" s="477" t="s">
        <v>414</v>
      </c>
      <c r="AB13" s="463"/>
      <c r="AC13" s="463"/>
      <c r="AD13" s="463"/>
      <c r="AE13" s="464"/>
    </row>
    <row r="14" spans="1:31" s="465" customFormat="1" ht="12.75">
      <c r="A14" s="452"/>
      <c r="B14" s="453"/>
      <c r="C14" s="475"/>
      <c r="D14" s="475"/>
      <c r="E14" s="475"/>
      <c r="F14" s="475"/>
      <c r="G14" s="475"/>
      <c r="H14" s="475"/>
      <c r="I14" s="475"/>
      <c r="J14" s="476"/>
      <c r="K14" s="458" t="s">
        <v>213</v>
      </c>
      <c r="L14" s="472"/>
      <c r="M14" s="472" t="e">
        <f>L9+M11-M13</f>
        <v>#REF!</v>
      </c>
      <c r="N14" s="472" t="e">
        <f t="shared" ref="N14:X14" si="3">M14+N10-N12</f>
        <v>#REF!</v>
      </c>
      <c r="O14" s="472" t="e">
        <f t="shared" si="3"/>
        <v>#REF!</v>
      </c>
      <c r="P14" s="472" t="e">
        <f t="shared" si="3"/>
        <v>#REF!</v>
      </c>
      <c r="Q14" s="472" t="e">
        <f t="shared" si="3"/>
        <v>#REF!</v>
      </c>
      <c r="R14" s="472" t="e">
        <f t="shared" si="3"/>
        <v>#REF!</v>
      </c>
      <c r="S14" s="472" t="e">
        <f t="shared" si="3"/>
        <v>#REF!</v>
      </c>
      <c r="T14" s="472" t="e">
        <f t="shared" si="3"/>
        <v>#REF!</v>
      </c>
      <c r="U14" s="472" t="e">
        <f t="shared" si="3"/>
        <v>#REF!</v>
      </c>
      <c r="V14" s="472" t="e">
        <f t="shared" si="3"/>
        <v>#REF!</v>
      </c>
      <c r="W14" s="472" t="e">
        <f t="shared" si="3"/>
        <v>#REF!</v>
      </c>
      <c r="X14" s="472" t="e">
        <f t="shared" si="3"/>
        <v>#REF!</v>
      </c>
      <c r="Y14" s="473"/>
      <c r="Z14" s="473"/>
      <c r="AA14" s="478" t="e">
        <f>L9+Y10-Y12</f>
        <v>#REF!</v>
      </c>
      <c r="AB14" s="474"/>
      <c r="AC14" s="474"/>
      <c r="AD14" s="474"/>
    </row>
    <row r="15" spans="1:31" s="465" customFormat="1" ht="12.75">
      <c r="A15" s="452"/>
      <c r="B15" s="479"/>
      <c r="C15" s="480"/>
      <c r="D15" s="481"/>
      <c r="E15" s="482"/>
      <c r="F15" s="483"/>
      <c r="G15" s="483"/>
      <c r="H15" s="482"/>
      <c r="I15" s="483"/>
      <c r="J15" s="484"/>
      <c r="K15" s="485"/>
      <c r="L15" s="486"/>
      <c r="M15" s="487"/>
      <c r="N15" s="488"/>
      <c r="O15" s="489"/>
      <c r="P15" s="489"/>
      <c r="Q15" s="488"/>
      <c r="R15" s="489"/>
      <c r="S15" s="489"/>
      <c r="T15" s="488"/>
      <c r="U15" s="489"/>
      <c r="V15" s="489"/>
      <c r="W15" s="489"/>
      <c r="X15" s="489"/>
      <c r="Y15" s="461"/>
      <c r="Z15" s="461"/>
      <c r="AA15" s="462"/>
      <c r="AB15" s="463"/>
      <c r="AC15" s="463"/>
      <c r="AD15" s="463"/>
      <c r="AE15" s="464"/>
    </row>
    <row r="16" spans="1:31" ht="33">
      <c r="A16" s="561">
        <v>1</v>
      </c>
      <c r="B16" s="291" t="s">
        <v>17</v>
      </c>
      <c r="C16" s="291" t="s">
        <v>18</v>
      </c>
      <c r="D16" s="292">
        <v>38</v>
      </c>
      <c r="E16" s="292"/>
      <c r="F16" s="292"/>
      <c r="G16" s="292"/>
      <c r="H16" s="292"/>
      <c r="I16" s="292"/>
      <c r="J16" s="293"/>
      <c r="K16" s="294" t="s">
        <v>684</v>
      </c>
      <c r="L16" s="490"/>
      <c r="M16" s="490" t="e">
        <f>M18-M17</f>
        <v>#REF!</v>
      </c>
      <c r="N16" s="490" t="e">
        <f t="shared" ref="N16:W16" si="4">N18-N17</f>
        <v>#REF!</v>
      </c>
      <c r="O16" s="490" t="e">
        <f t="shared" si="4"/>
        <v>#REF!</v>
      </c>
      <c r="P16" s="490" t="e">
        <f t="shared" si="4"/>
        <v>#REF!</v>
      </c>
      <c r="Q16" s="490" t="e">
        <f t="shared" si="4"/>
        <v>#REF!</v>
      </c>
      <c r="R16" s="490" t="e">
        <f t="shared" si="4"/>
        <v>#REF!</v>
      </c>
      <c r="S16" s="490" t="e">
        <f t="shared" si="4"/>
        <v>#REF!</v>
      </c>
      <c r="T16" s="490" t="e">
        <f t="shared" si="4"/>
        <v>#REF!</v>
      </c>
      <c r="U16" s="490" t="e">
        <f t="shared" si="4"/>
        <v>#REF!</v>
      </c>
      <c r="V16" s="490" t="e">
        <f t="shared" si="4"/>
        <v>#REF!</v>
      </c>
      <c r="W16" s="490" t="e">
        <f t="shared" si="4"/>
        <v>#REF!</v>
      </c>
      <c r="X16" s="490" t="e">
        <f>X18-X17</f>
        <v>#REF!</v>
      </c>
      <c r="Y16" s="490" t="e">
        <f>Y18-Y17</f>
        <v>#REF!</v>
      </c>
      <c r="Z16" s="491"/>
      <c r="AA16" s="492"/>
    </row>
    <row r="17" spans="1:29" ht="66">
      <c r="A17" s="561">
        <v>1</v>
      </c>
      <c r="B17" s="291" t="s">
        <v>17</v>
      </c>
      <c r="C17" s="291" t="s">
        <v>18</v>
      </c>
      <c r="D17" s="292">
        <v>38</v>
      </c>
      <c r="E17" s="291" t="s">
        <v>25</v>
      </c>
      <c r="F17" s="292"/>
      <c r="G17" s="292"/>
      <c r="H17" s="292"/>
      <c r="I17" s="292"/>
      <c r="J17" s="293"/>
      <c r="K17" s="294" t="s">
        <v>20</v>
      </c>
      <c r="L17" s="490"/>
      <c r="M17" s="493">
        <f>jan!P12</f>
        <v>80551540</v>
      </c>
      <c r="N17" s="493" t="e">
        <f>#REF!</f>
        <v>#REF!</v>
      </c>
      <c r="O17" s="493" t="e">
        <f>#REF!</f>
        <v>#REF!</v>
      </c>
      <c r="P17" s="493" t="e">
        <f>#REF!</f>
        <v>#REF!</v>
      </c>
      <c r="Q17" s="493" t="e">
        <f>#REF!</f>
        <v>#REF!</v>
      </c>
      <c r="R17" s="493">
        <v>30691792</v>
      </c>
      <c r="S17" s="493" t="e">
        <f>#REF!</f>
        <v>#REF!</v>
      </c>
      <c r="T17" s="494">
        <v>39260826</v>
      </c>
      <c r="U17" s="493" t="e">
        <f>#REF!</f>
        <v>#REF!</v>
      </c>
      <c r="V17" s="493" t="e">
        <f>#REF!</f>
        <v>#REF!</v>
      </c>
      <c r="W17" s="493" t="e">
        <f>#REF!</f>
        <v>#REF!</v>
      </c>
      <c r="X17" s="493" t="e">
        <f>#REF!</f>
        <v>#REF!</v>
      </c>
      <c r="Y17" s="495" t="e">
        <f>SUM(M17:X17)</f>
        <v>#REF!</v>
      </c>
      <c r="Z17" s="496"/>
      <c r="AA17" s="495" t="e">
        <f>L18-Y17</f>
        <v>#REF!</v>
      </c>
    </row>
    <row r="18" spans="1:29" s="497" customFormat="1" ht="16.5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/>
      <c r="I18" s="292"/>
      <c r="J18" s="293"/>
      <c r="K18" s="295" t="s">
        <v>21</v>
      </c>
      <c r="L18" s="5">
        <f>L19+L26+L74</f>
        <v>1817928000</v>
      </c>
      <c r="M18" s="5" t="e">
        <f t="shared" ref="M18:AA18" si="5">M19+M26+M74</f>
        <v>#REF!</v>
      </c>
      <c r="N18" s="5" t="e">
        <f t="shared" si="5"/>
        <v>#REF!</v>
      </c>
      <c r="O18" s="5" t="e">
        <f t="shared" si="5"/>
        <v>#REF!</v>
      </c>
      <c r="P18" s="5" t="e">
        <f t="shared" si="5"/>
        <v>#REF!</v>
      </c>
      <c r="Q18" s="5" t="e">
        <f t="shared" si="5"/>
        <v>#REF!</v>
      </c>
      <c r="R18" s="5" t="e">
        <f t="shared" si="5"/>
        <v>#REF!</v>
      </c>
      <c r="S18" s="5" t="e">
        <f t="shared" si="5"/>
        <v>#REF!</v>
      </c>
      <c r="T18" s="5" t="e">
        <f t="shared" si="5"/>
        <v>#REF!</v>
      </c>
      <c r="U18" s="5" t="e">
        <f t="shared" si="5"/>
        <v>#REF!</v>
      </c>
      <c r="V18" s="5" t="e">
        <f t="shared" si="5"/>
        <v>#REF!</v>
      </c>
      <c r="W18" s="5" t="e">
        <f t="shared" si="5"/>
        <v>#REF!</v>
      </c>
      <c r="X18" s="5" t="e">
        <f t="shared" si="5"/>
        <v>#REF!</v>
      </c>
      <c r="Y18" s="5" t="e">
        <f t="shared" si="5"/>
        <v>#REF!</v>
      </c>
      <c r="Z18" s="5" t="e">
        <f t="shared" si="5"/>
        <v>#REF!</v>
      </c>
      <c r="AA18" s="5" t="e">
        <f t="shared" si="5"/>
        <v>#REF!</v>
      </c>
      <c r="AB18" s="497" t="e">
        <f>#REF!</f>
        <v>#REF!</v>
      </c>
      <c r="AC18" s="497" t="e">
        <f>Y18-AB18</f>
        <v>#REF!</v>
      </c>
    </row>
    <row r="19" spans="1:29" s="497" customFormat="1" ht="16.5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1</v>
      </c>
      <c r="I19" s="292"/>
      <c r="J19" s="293"/>
      <c r="K19" s="295" t="s">
        <v>22</v>
      </c>
      <c r="L19" s="5">
        <f>L23+L21</f>
        <v>1097488800</v>
      </c>
      <c r="M19" s="5" t="e">
        <f t="shared" ref="M19:AA19" si="6">M23+M21</f>
        <v>#REF!</v>
      </c>
      <c r="N19" s="5" t="e">
        <f t="shared" si="6"/>
        <v>#REF!</v>
      </c>
      <c r="O19" s="5" t="e">
        <f t="shared" si="6"/>
        <v>#REF!</v>
      </c>
      <c r="P19" s="5" t="e">
        <f t="shared" si="6"/>
        <v>#REF!</v>
      </c>
      <c r="Q19" s="5" t="e">
        <f t="shared" si="6"/>
        <v>#REF!</v>
      </c>
      <c r="R19" s="5" t="e">
        <f t="shared" si="6"/>
        <v>#REF!</v>
      </c>
      <c r="S19" s="5" t="e">
        <f t="shared" si="6"/>
        <v>#REF!</v>
      </c>
      <c r="T19" s="5" t="e">
        <f t="shared" si="6"/>
        <v>#REF!</v>
      </c>
      <c r="U19" s="5" t="e">
        <f t="shared" si="6"/>
        <v>#REF!</v>
      </c>
      <c r="V19" s="5" t="e">
        <f t="shared" si="6"/>
        <v>#REF!</v>
      </c>
      <c r="W19" s="5" t="e">
        <f t="shared" si="6"/>
        <v>#REF!</v>
      </c>
      <c r="X19" s="5" t="e">
        <f t="shared" si="6"/>
        <v>#REF!</v>
      </c>
      <c r="Y19" s="5" t="e">
        <f t="shared" si="6"/>
        <v>#REF!</v>
      </c>
      <c r="Z19" s="5" t="e">
        <f t="shared" si="6"/>
        <v>#REF!</v>
      </c>
      <c r="AA19" s="5" t="e">
        <f t="shared" si="6"/>
        <v>#REF!</v>
      </c>
      <c r="AB19" s="497" t="e">
        <f>#REF!</f>
        <v>#REF!</v>
      </c>
      <c r="AC19" s="497" t="e">
        <f t="shared" ref="AC19:AC82" si="7">Y19-AB19</f>
        <v>#REF!</v>
      </c>
    </row>
    <row r="20" spans="1:29" ht="16.5">
      <c r="A20" s="561"/>
      <c r="B20" s="291"/>
      <c r="C20" s="291"/>
      <c r="D20" s="291"/>
      <c r="E20" s="291"/>
      <c r="F20" s="291"/>
      <c r="G20" s="292"/>
      <c r="H20" s="292"/>
      <c r="I20" s="292"/>
      <c r="J20" s="293"/>
      <c r="K20" s="295"/>
      <c r="L20" s="5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500"/>
      <c r="Z20" s="501"/>
      <c r="AA20" s="415">
        <f t="shared" ref="AA20:AA82" si="8">L20-Y20</f>
        <v>0</v>
      </c>
      <c r="AB20" s="497" t="e">
        <f>#REF!</f>
        <v>#REF!</v>
      </c>
      <c r="AC20" s="497" t="e">
        <f t="shared" si="7"/>
        <v>#REF!</v>
      </c>
    </row>
    <row r="21" spans="1:29" s="497" customFormat="1" ht="16.5">
      <c r="A21" s="561">
        <v>1</v>
      </c>
      <c r="B21" s="291" t="s">
        <v>17</v>
      </c>
      <c r="C21" s="291" t="s">
        <v>18</v>
      </c>
      <c r="D21" s="292">
        <v>38</v>
      </c>
      <c r="E21" s="291" t="s">
        <v>25</v>
      </c>
      <c r="F21" s="292">
        <v>5</v>
      </c>
      <c r="G21" s="292">
        <v>2</v>
      </c>
      <c r="H21" s="292">
        <v>1</v>
      </c>
      <c r="I21" s="291" t="s">
        <v>44</v>
      </c>
      <c r="J21" s="297"/>
      <c r="K21" s="298" t="s">
        <v>475</v>
      </c>
      <c r="L21" s="5">
        <f>L22</f>
        <v>6732000</v>
      </c>
      <c r="M21" s="5" t="e">
        <f t="shared" ref="M21:AA21" si="9">M22</f>
        <v>#REF!</v>
      </c>
      <c r="N21" s="5" t="e">
        <f t="shared" si="9"/>
        <v>#REF!</v>
      </c>
      <c r="O21" s="5" t="e">
        <f t="shared" si="9"/>
        <v>#REF!</v>
      </c>
      <c r="P21" s="5" t="e">
        <f t="shared" si="9"/>
        <v>#REF!</v>
      </c>
      <c r="Q21" s="5" t="e">
        <f t="shared" si="9"/>
        <v>#REF!</v>
      </c>
      <c r="R21" s="5" t="e">
        <f t="shared" si="9"/>
        <v>#REF!</v>
      </c>
      <c r="S21" s="5" t="e">
        <f t="shared" si="9"/>
        <v>#REF!</v>
      </c>
      <c r="T21" s="5" t="e">
        <f t="shared" si="9"/>
        <v>#REF!</v>
      </c>
      <c r="U21" s="5" t="e">
        <f t="shared" si="9"/>
        <v>#REF!</v>
      </c>
      <c r="V21" s="5" t="e">
        <f t="shared" si="9"/>
        <v>#REF!</v>
      </c>
      <c r="W21" s="5" t="e">
        <f t="shared" si="9"/>
        <v>#REF!</v>
      </c>
      <c r="X21" s="5" t="e">
        <f t="shared" si="9"/>
        <v>#REF!</v>
      </c>
      <c r="Y21" s="5" t="e">
        <f t="shared" si="9"/>
        <v>#REF!</v>
      </c>
      <c r="Z21" s="5" t="e">
        <f t="shared" si="9"/>
        <v>#REF!</v>
      </c>
      <c r="AA21" s="5" t="e">
        <f t="shared" si="9"/>
        <v>#REF!</v>
      </c>
      <c r="AB21" s="497" t="e">
        <f>#REF!</f>
        <v>#REF!</v>
      </c>
      <c r="AC21" s="497" t="e">
        <f t="shared" si="7"/>
        <v>#REF!</v>
      </c>
    </row>
    <row r="22" spans="1:29" ht="15.75">
      <c r="A22" s="562"/>
      <c r="B22" s="287"/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1</v>
      </c>
      <c r="I22" s="287" t="s">
        <v>44</v>
      </c>
      <c r="J22" s="289" t="s">
        <v>18</v>
      </c>
      <c r="K22" s="290" t="s">
        <v>431</v>
      </c>
      <c r="L22" s="9">
        <v>6732000</v>
      </c>
      <c r="M22" s="503" t="e">
        <f>jan!#REF!</f>
        <v>#REF!</v>
      </c>
      <c r="N22" s="503" t="e">
        <f>#REF!</f>
        <v>#REF!</v>
      </c>
      <c r="O22" s="503" t="e">
        <f>#REF!</f>
        <v>#REF!</v>
      </c>
      <c r="P22" s="503" t="e">
        <f>#REF!</f>
        <v>#REF!</v>
      </c>
      <c r="Q22" s="503" t="e">
        <f>#REF!</f>
        <v>#REF!</v>
      </c>
      <c r="R22" s="503" t="e">
        <f>#REF!</f>
        <v>#REF!</v>
      </c>
      <c r="S22" s="503" t="e">
        <f>#REF!</f>
        <v>#REF!</v>
      </c>
      <c r="T22" s="503" t="e">
        <f>#REF!</f>
        <v>#REF!</v>
      </c>
      <c r="U22" s="503" t="e">
        <f>#REF!</f>
        <v>#REF!</v>
      </c>
      <c r="V22" s="503" t="e">
        <f>#REF!</f>
        <v>#REF!</v>
      </c>
      <c r="W22" s="503" t="e">
        <f>#REF!</f>
        <v>#REF!</v>
      </c>
      <c r="X22" s="503" t="e">
        <f>#REF!</f>
        <v>#REF!</v>
      </c>
      <c r="Y22" s="504" t="e">
        <f>SUM(M22:X22)</f>
        <v>#REF!</v>
      </c>
      <c r="Z22" s="501" t="e">
        <f t="shared" ref="Z22:Z84" si="10">Y22/L22*100</f>
        <v>#REF!</v>
      </c>
      <c r="AA22" s="415" t="e">
        <f t="shared" si="8"/>
        <v>#REF!</v>
      </c>
      <c r="AB22" s="497" t="e">
        <f>#REF!</f>
        <v>#REF!</v>
      </c>
      <c r="AC22" s="497" t="e">
        <f t="shared" si="7"/>
        <v>#REF!</v>
      </c>
    </row>
    <row r="23" spans="1:29" ht="15" customHeight="1">
      <c r="A23" s="561">
        <v>1</v>
      </c>
      <c r="B23" s="291" t="s">
        <v>17</v>
      </c>
      <c r="C23" s="291" t="s">
        <v>18</v>
      </c>
      <c r="D23" s="292">
        <v>38</v>
      </c>
      <c r="E23" s="291" t="s">
        <v>25</v>
      </c>
      <c r="F23" s="292">
        <v>5</v>
      </c>
      <c r="G23" s="292">
        <v>2</v>
      </c>
      <c r="H23" s="292">
        <v>1</v>
      </c>
      <c r="I23" s="291" t="s">
        <v>26</v>
      </c>
      <c r="J23" s="297"/>
      <c r="K23" s="298" t="s">
        <v>27</v>
      </c>
      <c r="L23" s="5">
        <f>L24</f>
        <v>1090756800</v>
      </c>
      <c r="M23" s="503">
        <f>jan!P15</f>
        <v>78188040</v>
      </c>
      <c r="N23" s="503" t="e">
        <f>#REF!</f>
        <v>#REF!</v>
      </c>
      <c r="O23" s="503" t="e">
        <f>#REF!</f>
        <v>#REF!</v>
      </c>
      <c r="P23" s="503" t="e">
        <f>#REF!</f>
        <v>#REF!</v>
      </c>
      <c r="Q23" s="503" t="e">
        <f>#REF!</f>
        <v>#REF!</v>
      </c>
      <c r="R23" s="503" t="e">
        <f>#REF!</f>
        <v>#REF!</v>
      </c>
      <c r="S23" s="503" t="e">
        <f>#REF!</f>
        <v>#REF!</v>
      </c>
      <c r="T23" s="503" t="e">
        <f>#REF!</f>
        <v>#REF!</v>
      </c>
      <c r="U23" s="503" t="e">
        <f>#REF!</f>
        <v>#REF!</v>
      </c>
      <c r="V23" s="503" t="e">
        <f>#REF!</f>
        <v>#REF!</v>
      </c>
      <c r="W23" s="503" t="e">
        <f>#REF!</f>
        <v>#REF!</v>
      </c>
      <c r="X23" s="503" t="e">
        <f>#REF!</f>
        <v>#REF!</v>
      </c>
      <c r="Y23" s="504"/>
      <c r="Z23" s="501"/>
      <c r="AA23" s="415"/>
      <c r="AB23" s="497"/>
      <c r="AC23" s="497"/>
    </row>
    <row r="24" spans="1:29" s="497" customFormat="1" ht="15.75">
      <c r="A24" s="562"/>
      <c r="B24" s="287"/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1</v>
      </c>
      <c r="I24" s="287" t="s">
        <v>26</v>
      </c>
      <c r="J24" s="289" t="s">
        <v>18</v>
      </c>
      <c r="K24" s="290" t="s">
        <v>28</v>
      </c>
      <c r="L24" s="9">
        <v>1090756800</v>
      </c>
      <c r="M24" s="503">
        <f>jan!P16</f>
        <v>78188040</v>
      </c>
      <c r="N24" s="503" t="e">
        <f>#REF!</f>
        <v>#REF!</v>
      </c>
      <c r="O24" s="503" t="e">
        <f>#REF!</f>
        <v>#REF!</v>
      </c>
      <c r="P24" s="503" t="e">
        <f>#REF!</f>
        <v>#REF!</v>
      </c>
      <c r="Q24" s="503" t="e">
        <f>#REF!</f>
        <v>#REF!</v>
      </c>
      <c r="R24" s="503" t="e">
        <f>#REF!</f>
        <v>#REF!</v>
      </c>
      <c r="S24" s="503" t="e">
        <f>#REF!</f>
        <v>#REF!</v>
      </c>
      <c r="T24" s="503" t="e">
        <f>#REF!</f>
        <v>#REF!</v>
      </c>
      <c r="U24" s="503" t="e">
        <f>#REF!</f>
        <v>#REF!</v>
      </c>
      <c r="V24" s="503" t="e">
        <f>#REF!</f>
        <v>#REF!</v>
      </c>
      <c r="W24" s="503" t="e">
        <f>#REF!</f>
        <v>#REF!</v>
      </c>
      <c r="X24" s="503" t="e">
        <f>#REF!</f>
        <v>#REF!</v>
      </c>
      <c r="Y24" s="505" t="e">
        <f>Y25+Y36+Y40+Y45+Y49+Y51+Y54+Y56+Y59+Y61+Y64+Y67+Y69</f>
        <v>#REF!</v>
      </c>
      <c r="Z24" s="498" t="e">
        <f t="shared" si="10"/>
        <v>#REF!</v>
      </c>
      <c r="AA24" s="414" t="e">
        <f t="shared" si="8"/>
        <v>#REF!</v>
      </c>
      <c r="AB24" s="497" t="e">
        <f>#REF!</f>
        <v>#REF!</v>
      </c>
      <c r="AC24" s="497" t="e">
        <f t="shared" si="7"/>
        <v>#REF!</v>
      </c>
    </row>
    <row r="25" spans="1:29" ht="16.5">
      <c r="A25" s="561"/>
      <c r="B25" s="291"/>
      <c r="C25" s="291"/>
      <c r="D25" s="291"/>
      <c r="E25" s="291"/>
      <c r="F25" s="291"/>
      <c r="G25" s="292"/>
      <c r="H25" s="292"/>
      <c r="I25" s="292"/>
      <c r="J25" s="293"/>
      <c r="K25" s="295"/>
      <c r="L25" s="5"/>
      <c r="M25" s="503" t="e">
        <f>jan!#REF!</f>
        <v>#REF!</v>
      </c>
      <c r="N25" s="503" t="e">
        <f>#REF!</f>
        <v>#REF!</v>
      </c>
      <c r="O25" s="503" t="e">
        <f>#REF!</f>
        <v>#REF!</v>
      </c>
      <c r="P25" s="503" t="e">
        <f>#REF!</f>
        <v>#REF!</v>
      </c>
      <c r="Q25" s="503" t="e">
        <f>#REF!</f>
        <v>#REF!</v>
      </c>
      <c r="R25" s="503" t="e">
        <f>#REF!</f>
        <v>#REF!</v>
      </c>
      <c r="S25" s="503" t="e">
        <f>#REF!</f>
        <v>#REF!</v>
      </c>
      <c r="T25" s="503" t="e">
        <f>#REF!</f>
        <v>#REF!</v>
      </c>
      <c r="U25" s="503" t="e">
        <f>#REF!</f>
        <v>#REF!</v>
      </c>
      <c r="V25" s="503" t="e">
        <f>#REF!</f>
        <v>#REF!</v>
      </c>
      <c r="W25" s="503" t="e">
        <f>#REF!</f>
        <v>#REF!</v>
      </c>
      <c r="X25" s="503" t="e">
        <f>#REF!</f>
        <v>#REF!</v>
      </c>
      <c r="Y25" s="506" t="e">
        <f>SUM(Y26:Y35)</f>
        <v>#REF!</v>
      </c>
      <c r="Z25" s="502" t="e">
        <f t="shared" si="10"/>
        <v>#REF!</v>
      </c>
      <c r="AA25" s="416" t="e">
        <f t="shared" si="8"/>
        <v>#REF!</v>
      </c>
      <c r="AB25" s="497" t="e">
        <f>#REF!</f>
        <v>#REF!</v>
      </c>
      <c r="AC25" s="497" t="e">
        <f t="shared" si="7"/>
        <v>#REF!</v>
      </c>
    </row>
    <row r="26" spans="1:29" ht="16.5">
      <c r="A26" s="561">
        <v>1</v>
      </c>
      <c r="B26" s="291" t="s">
        <v>17</v>
      </c>
      <c r="C26" s="291" t="s">
        <v>18</v>
      </c>
      <c r="D26" s="292">
        <v>38</v>
      </c>
      <c r="E26" s="291" t="s">
        <v>25</v>
      </c>
      <c r="F26" s="292">
        <v>5</v>
      </c>
      <c r="G26" s="292">
        <v>2</v>
      </c>
      <c r="H26" s="292">
        <v>2</v>
      </c>
      <c r="I26" s="292"/>
      <c r="J26" s="293"/>
      <c r="K26" s="295" t="s">
        <v>29</v>
      </c>
      <c r="L26" s="5">
        <f>L27+L39+L42+L47+L51+L53+L56+L58+L64+L66+L69+L71</f>
        <v>517266000</v>
      </c>
      <c r="M26" s="503">
        <f>jan!P18</f>
        <v>2363500</v>
      </c>
      <c r="N26" s="503" t="e">
        <f>#REF!</f>
        <v>#REF!</v>
      </c>
      <c r="O26" s="503" t="e">
        <f>#REF!</f>
        <v>#REF!</v>
      </c>
      <c r="P26" s="503" t="e">
        <f>#REF!</f>
        <v>#REF!</v>
      </c>
      <c r="Q26" s="503" t="e">
        <f>#REF!</f>
        <v>#REF!</v>
      </c>
      <c r="R26" s="503" t="e">
        <f>#REF!</f>
        <v>#REF!</v>
      </c>
      <c r="S26" s="503" t="e">
        <f>#REF!</f>
        <v>#REF!</v>
      </c>
      <c r="T26" s="503" t="e">
        <f>#REF!</f>
        <v>#REF!</v>
      </c>
      <c r="U26" s="503" t="e">
        <f>#REF!</f>
        <v>#REF!</v>
      </c>
      <c r="V26" s="503" t="e">
        <f>#REF!</f>
        <v>#REF!</v>
      </c>
      <c r="W26" s="503" t="e">
        <f>#REF!</f>
        <v>#REF!</v>
      </c>
      <c r="X26" s="503" t="e">
        <f>#REF!</f>
        <v>#REF!</v>
      </c>
      <c r="Y26" s="504" t="e">
        <f>SUM(M26:X26)</f>
        <v>#REF!</v>
      </c>
      <c r="Z26" s="501" t="e">
        <f>Y26/L26*100</f>
        <v>#REF!</v>
      </c>
      <c r="AA26" s="415" t="e">
        <f t="shared" si="8"/>
        <v>#REF!</v>
      </c>
      <c r="AB26" s="497" t="e">
        <f>#REF!</f>
        <v>#REF!</v>
      </c>
      <c r="AC26" s="497" t="e">
        <f t="shared" si="7"/>
        <v>#REF!</v>
      </c>
    </row>
    <row r="27" spans="1:29" ht="16.5">
      <c r="A27" s="561">
        <v>1</v>
      </c>
      <c r="B27" s="291" t="s">
        <v>17</v>
      </c>
      <c r="C27" s="291" t="s">
        <v>18</v>
      </c>
      <c r="D27" s="292">
        <v>38</v>
      </c>
      <c r="E27" s="291" t="s">
        <v>25</v>
      </c>
      <c r="F27" s="292">
        <v>5</v>
      </c>
      <c r="G27" s="292">
        <v>2</v>
      </c>
      <c r="H27" s="292">
        <v>2</v>
      </c>
      <c r="I27" s="291" t="s">
        <v>18</v>
      </c>
      <c r="J27" s="297"/>
      <c r="K27" s="298" t="s">
        <v>30</v>
      </c>
      <c r="L27" s="5">
        <f>SUM(L28:L38)</f>
        <v>148684400</v>
      </c>
      <c r="M27" s="503">
        <f>jan!P19</f>
        <v>900000</v>
      </c>
      <c r="N27" s="503" t="e">
        <f>#REF!</f>
        <v>#REF!</v>
      </c>
      <c r="O27" s="503" t="e">
        <f>#REF!</f>
        <v>#REF!</v>
      </c>
      <c r="P27" s="503" t="e">
        <f>#REF!</f>
        <v>#REF!</v>
      </c>
      <c r="Q27" s="503" t="e">
        <f>#REF!</f>
        <v>#REF!</v>
      </c>
      <c r="R27" s="503" t="e">
        <f>#REF!</f>
        <v>#REF!</v>
      </c>
      <c r="S27" s="503" t="e">
        <f>#REF!</f>
        <v>#REF!</v>
      </c>
      <c r="T27" s="503" t="e">
        <f>#REF!</f>
        <v>#REF!</v>
      </c>
      <c r="U27" s="503" t="e">
        <f>#REF!</f>
        <v>#REF!</v>
      </c>
      <c r="V27" s="503" t="e">
        <f>#REF!</f>
        <v>#REF!</v>
      </c>
      <c r="W27" s="503" t="e">
        <f>#REF!</f>
        <v>#REF!</v>
      </c>
      <c r="X27" s="503" t="e">
        <f>#REF!</f>
        <v>#REF!</v>
      </c>
      <c r="Y27" s="504" t="e">
        <f t="shared" ref="Y27:Y39" si="11">SUM(M27:X27)</f>
        <v>#REF!</v>
      </c>
      <c r="Z27" s="501" t="e">
        <f t="shared" ref="Z27:Z35" si="12">Y27/L27*100</f>
        <v>#REF!</v>
      </c>
      <c r="AA27" s="415" t="e">
        <f t="shared" si="8"/>
        <v>#REF!</v>
      </c>
      <c r="AB27" s="497" t="e">
        <f>#REF!</f>
        <v>#REF!</v>
      </c>
      <c r="AC27" s="497" t="e">
        <f t="shared" si="7"/>
        <v>#REF!</v>
      </c>
    </row>
    <row r="28" spans="1:29" ht="15.75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 t="s">
        <v>18</v>
      </c>
      <c r="K28" s="290" t="s">
        <v>31</v>
      </c>
      <c r="L28" s="9">
        <v>28063400</v>
      </c>
      <c r="M28" s="503">
        <f>jan!P20</f>
        <v>0</v>
      </c>
      <c r="N28" s="503" t="e">
        <f>#REF!</f>
        <v>#REF!</v>
      </c>
      <c r="O28" s="503" t="e">
        <f>#REF!</f>
        <v>#REF!</v>
      </c>
      <c r="P28" s="503" t="e">
        <f>#REF!</f>
        <v>#REF!</v>
      </c>
      <c r="Q28" s="503" t="e">
        <f>#REF!</f>
        <v>#REF!</v>
      </c>
      <c r="R28" s="503" t="e">
        <f>#REF!</f>
        <v>#REF!</v>
      </c>
      <c r="S28" s="503" t="e">
        <f>#REF!</f>
        <v>#REF!</v>
      </c>
      <c r="T28" s="503" t="e">
        <f>#REF!</f>
        <v>#REF!</v>
      </c>
      <c r="U28" s="503" t="e">
        <f>#REF!</f>
        <v>#REF!</v>
      </c>
      <c r="V28" s="503" t="e">
        <f>#REF!</f>
        <v>#REF!</v>
      </c>
      <c r="W28" s="503" t="e">
        <f>#REF!</f>
        <v>#REF!</v>
      </c>
      <c r="X28" s="503" t="e">
        <f>#REF!</f>
        <v>#REF!</v>
      </c>
      <c r="Y28" s="504" t="e">
        <f t="shared" si="11"/>
        <v>#REF!</v>
      </c>
      <c r="Z28" s="501" t="e">
        <f t="shared" si="12"/>
        <v>#REF!</v>
      </c>
      <c r="AA28" s="415" t="e">
        <f t="shared" si="8"/>
        <v>#REF!</v>
      </c>
      <c r="AB28" s="497" t="e">
        <f>#REF!</f>
        <v>#REF!</v>
      </c>
      <c r="AC28" s="497" t="e">
        <f t="shared" si="7"/>
        <v>#REF!</v>
      </c>
    </row>
    <row r="29" spans="1:29" ht="31.5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 t="s">
        <v>44</v>
      </c>
      <c r="K29" s="290" t="s">
        <v>432</v>
      </c>
      <c r="L29" s="9">
        <v>3000000</v>
      </c>
      <c r="M29" s="503">
        <f>jan!P21</f>
        <v>0</v>
      </c>
      <c r="N29" s="503" t="e">
        <f>#REF!</f>
        <v>#REF!</v>
      </c>
      <c r="O29" s="503" t="e">
        <f>#REF!</f>
        <v>#REF!</v>
      </c>
      <c r="P29" s="503" t="e">
        <f>#REF!</f>
        <v>#REF!</v>
      </c>
      <c r="Q29" s="503" t="e">
        <f>#REF!</f>
        <v>#REF!</v>
      </c>
      <c r="R29" s="503" t="e">
        <f>#REF!</f>
        <v>#REF!</v>
      </c>
      <c r="S29" s="503" t="e">
        <f>#REF!</f>
        <v>#REF!</v>
      </c>
      <c r="T29" s="503" t="e">
        <f>#REF!</f>
        <v>#REF!</v>
      </c>
      <c r="U29" s="503" t="e">
        <f>#REF!</f>
        <v>#REF!</v>
      </c>
      <c r="V29" s="503" t="e">
        <f>#REF!</f>
        <v>#REF!</v>
      </c>
      <c r="W29" s="503" t="e">
        <f>#REF!</f>
        <v>#REF!</v>
      </c>
      <c r="X29" s="503" t="e">
        <f>#REF!</f>
        <v>#REF!</v>
      </c>
      <c r="Y29" s="504" t="e">
        <f t="shared" si="11"/>
        <v>#REF!</v>
      </c>
      <c r="Z29" s="501" t="e">
        <f t="shared" si="12"/>
        <v>#REF!</v>
      </c>
      <c r="AA29" s="415" t="e">
        <f t="shared" si="8"/>
        <v>#REF!</v>
      </c>
      <c r="AB29" s="497" t="e">
        <f>#REF!</f>
        <v>#REF!</v>
      </c>
      <c r="AC29" s="497" t="e">
        <f t="shared" si="7"/>
        <v>#REF!</v>
      </c>
    </row>
    <row r="30" spans="1:29" ht="31.5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 t="s">
        <v>32</v>
      </c>
      <c r="K30" s="290" t="s">
        <v>33</v>
      </c>
      <c r="L30" s="9">
        <v>1230000</v>
      </c>
      <c r="M30" s="503">
        <f>jan!P22</f>
        <v>900000</v>
      </c>
      <c r="N30" s="503" t="e">
        <f>#REF!</f>
        <v>#REF!</v>
      </c>
      <c r="O30" s="503" t="e">
        <f>#REF!</f>
        <v>#REF!</v>
      </c>
      <c r="P30" s="503" t="e">
        <f>#REF!</f>
        <v>#REF!</v>
      </c>
      <c r="Q30" s="503" t="e">
        <f>#REF!</f>
        <v>#REF!</v>
      </c>
      <c r="R30" s="503" t="e">
        <f>#REF!</f>
        <v>#REF!</v>
      </c>
      <c r="S30" s="503" t="e">
        <f>#REF!</f>
        <v>#REF!</v>
      </c>
      <c r="T30" s="503" t="e">
        <f>#REF!</f>
        <v>#REF!</v>
      </c>
      <c r="U30" s="503" t="e">
        <f>#REF!</f>
        <v>#REF!</v>
      </c>
      <c r="V30" s="503" t="e">
        <f>#REF!</f>
        <v>#REF!</v>
      </c>
      <c r="W30" s="503" t="e">
        <f>#REF!</f>
        <v>#REF!</v>
      </c>
      <c r="X30" s="503" t="e">
        <f>#REF!</f>
        <v>#REF!</v>
      </c>
      <c r="Y30" s="504" t="e">
        <f t="shared" si="11"/>
        <v>#REF!</v>
      </c>
      <c r="Z30" s="501" t="e">
        <f t="shared" si="12"/>
        <v>#REF!</v>
      </c>
      <c r="AA30" s="415" t="e">
        <f t="shared" si="8"/>
        <v>#REF!</v>
      </c>
      <c r="AB30" s="497" t="e">
        <f>#REF!</f>
        <v>#REF!</v>
      </c>
      <c r="AC30" s="497" t="e">
        <f t="shared" si="7"/>
        <v>#REF!</v>
      </c>
    </row>
    <row r="31" spans="1:29" ht="31.5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 t="s">
        <v>24</v>
      </c>
      <c r="K31" s="290" t="s">
        <v>34</v>
      </c>
      <c r="L31" s="9">
        <v>9341000</v>
      </c>
      <c r="M31" s="503">
        <f>jan!P23</f>
        <v>0</v>
      </c>
      <c r="N31" s="503" t="e">
        <f>#REF!</f>
        <v>#REF!</v>
      </c>
      <c r="O31" s="503" t="e">
        <f>#REF!</f>
        <v>#REF!</v>
      </c>
      <c r="P31" s="503" t="e">
        <f>#REF!</f>
        <v>#REF!</v>
      </c>
      <c r="Q31" s="503" t="e">
        <f>#REF!</f>
        <v>#REF!</v>
      </c>
      <c r="R31" s="503" t="e">
        <f>#REF!</f>
        <v>#REF!</v>
      </c>
      <c r="S31" s="503" t="e">
        <f>#REF!</f>
        <v>#REF!</v>
      </c>
      <c r="T31" s="503" t="e">
        <f>#REF!</f>
        <v>#REF!</v>
      </c>
      <c r="U31" s="503" t="e">
        <f>#REF!</f>
        <v>#REF!</v>
      </c>
      <c r="V31" s="503" t="e">
        <f>#REF!</f>
        <v>#REF!</v>
      </c>
      <c r="W31" s="503" t="e">
        <f>#REF!</f>
        <v>#REF!</v>
      </c>
      <c r="X31" s="503" t="e">
        <f>#REF!</f>
        <v>#REF!</v>
      </c>
      <c r="Y31" s="507" t="e">
        <f t="shared" si="11"/>
        <v>#REF!</v>
      </c>
      <c r="Z31" s="501" t="e">
        <f t="shared" si="12"/>
        <v>#REF!</v>
      </c>
      <c r="AA31" s="415" t="e">
        <f t="shared" si="8"/>
        <v>#REF!</v>
      </c>
      <c r="AB31" s="497" t="e">
        <f>#REF!</f>
        <v>#REF!</v>
      </c>
      <c r="AC31" s="497" t="e">
        <f t="shared" si="7"/>
        <v>#REF!</v>
      </c>
    </row>
    <row r="32" spans="1:29" ht="31.5">
      <c r="A32" s="562">
        <v>1</v>
      </c>
      <c r="B32" s="287" t="s">
        <v>17</v>
      </c>
      <c r="C32" s="287" t="s">
        <v>18</v>
      </c>
      <c r="D32" s="288">
        <v>38</v>
      </c>
      <c r="E32" s="287" t="s">
        <v>25</v>
      </c>
      <c r="F32" s="288">
        <v>5</v>
      </c>
      <c r="G32" s="288">
        <v>2</v>
      </c>
      <c r="H32" s="288">
        <v>2</v>
      </c>
      <c r="I32" s="287" t="s">
        <v>18</v>
      </c>
      <c r="J32" s="289" t="s">
        <v>433</v>
      </c>
      <c r="K32" s="290" t="s">
        <v>444</v>
      </c>
      <c r="L32" s="9">
        <v>1200000</v>
      </c>
      <c r="M32" s="503">
        <f>jan!P24</f>
        <v>0</v>
      </c>
      <c r="N32" s="503" t="e">
        <f>#REF!</f>
        <v>#REF!</v>
      </c>
      <c r="O32" s="503" t="e">
        <f>#REF!</f>
        <v>#REF!</v>
      </c>
      <c r="P32" s="503" t="e">
        <f>#REF!</f>
        <v>#REF!</v>
      </c>
      <c r="Q32" s="503" t="e">
        <f>#REF!</f>
        <v>#REF!</v>
      </c>
      <c r="R32" s="503" t="e">
        <f>#REF!</f>
        <v>#REF!</v>
      </c>
      <c r="S32" s="503" t="e">
        <f>#REF!</f>
        <v>#REF!</v>
      </c>
      <c r="T32" s="503" t="e">
        <f>#REF!</f>
        <v>#REF!</v>
      </c>
      <c r="U32" s="503" t="e">
        <f>#REF!</f>
        <v>#REF!</v>
      </c>
      <c r="V32" s="503" t="e">
        <f>#REF!</f>
        <v>#REF!</v>
      </c>
      <c r="W32" s="503" t="e">
        <f>#REF!</f>
        <v>#REF!</v>
      </c>
      <c r="X32" s="503" t="e">
        <f>#REF!</f>
        <v>#REF!</v>
      </c>
      <c r="Y32" s="504" t="e">
        <f t="shared" si="11"/>
        <v>#REF!</v>
      </c>
      <c r="Z32" s="501" t="e">
        <f t="shared" si="12"/>
        <v>#REF!</v>
      </c>
      <c r="AA32" s="415" t="e">
        <f t="shared" si="8"/>
        <v>#REF!</v>
      </c>
      <c r="AB32" s="497" t="e">
        <f>#REF!</f>
        <v>#REF!</v>
      </c>
      <c r="AC32" s="497" t="e">
        <f t="shared" si="7"/>
        <v>#REF!</v>
      </c>
    </row>
    <row r="33" spans="1:29" ht="15.75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18</v>
      </c>
      <c r="J33" s="289" t="s">
        <v>26</v>
      </c>
      <c r="K33" s="290" t="s">
        <v>35</v>
      </c>
      <c r="L33" s="9">
        <v>1500000</v>
      </c>
      <c r="M33" s="503">
        <f>jan!P25</f>
        <v>0</v>
      </c>
      <c r="N33" s="503" t="e">
        <f>#REF!</f>
        <v>#REF!</v>
      </c>
      <c r="O33" s="503" t="e">
        <f>#REF!</f>
        <v>#REF!</v>
      </c>
      <c r="P33" s="503" t="e">
        <f>#REF!</f>
        <v>#REF!</v>
      </c>
      <c r="Q33" s="503" t="e">
        <f>#REF!</f>
        <v>#REF!</v>
      </c>
      <c r="R33" s="503" t="e">
        <f>#REF!</f>
        <v>#REF!</v>
      </c>
      <c r="S33" s="503" t="e">
        <f>#REF!</f>
        <v>#REF!</v>
      </c>
      <c r="T33" s="503" t="e">
        <f>#REF!</f>
        <v>#REF!</v>
      </c>
      <c r="U33" s="503" t="e">
        <f>#REF!</f>
        <v>#REF!</v>
      </c>
      <c r="V33" s="503" t="e">
        <f>#REF!</f>
        <v>#REF!</v>
      </c>
      <c r="W33" s="503" t="e">
        <f>#REF!</f>
        <v>#REF!</v>
      </c>
      <c r="X33" s="503" t="e">
        <f>#REF!</f>
        <v>#REF!</v>
      </c>
      <c r="Y33" s="504" t="e">
        <f t="shared" si="11"/>
        <v>#REF!</v>
      </c>
      <c r="Z33" s="501" t="e">
        <f t="shared" si="12"/>
        <v>#REF!</v>
      </c>
      <c r="AA33" s="415" t="e">
        <f t="shared" si="8"/>
        <v>#REF!</v>
      </c>
      <c r="AB33" s="497" t="e">
        <f>#REF!</f>
        <v>#REF!</v>
      </c>
      <c r="AC33" s="497" t="e">
        <f t="shared" si="7"/>
        <v>#REF!</v>
      </c>
    </row>
    <row r="34" spans="1:29" ht="31.5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18</v>
      </c>
      <c r="J34" s="289">
        <v>10</v>
      </c>
      <c r="K34" s="290" t="s">
        <v>36</v>
      </c>
      <c r="L34" s="9">
        <v>2000000</v>
      </c>
      <c r="M34" s="503">
        <f>jan!P26</f>
        <v>0</v>
      </c>
      <c r="N34" s="503" t="e">
        <f>#REF!</f>
        <v>#REF!</v>
      </c>
      <c r="O34" s="503" t="e">
        <f>#REF!</f>
        <v>#REF!</v>
      </c>
      <c r="P34" s="503" t="e">
        <f>#REF!</f>
        <v>#REF!</v>
      </c>
      <c r="Q34" s="503" t="e">
        <f>#REF!</f>
        <v>#REF!</v>
      </c>
      <c r="R34" s="503" t="e">
        <f>#REF!</f>
        <v>#REF!</v>
      </c>
      <c r="S34" s="503" t="e">
        <f>#REF!</f>
        <v>#REF!</v>
      </c>
      <c r="T34" s="503" t="e">
        <f>#REF!</f>
        <v>#REF!</v>
      </c>
      <c r="U34" s="503" t="e">
        <f>#REF!</f>
        <v>#REF!</v>
      </c>
      <c r="V34" s="503" t="e">
        <f>#REF!</f>
        <v>#REF!</v>
      </c>
      <c r="W34" s="503" t="e">
        <f>#REF!</f>
        <v>#REF!</v>
      </c>
      <c r="X34" s="503" t="e">
        <f>#REF!</f>
        <v>#REF!</v>
      </c>
      <c r="Y34" s="504" t="e">
        <f t="shared" si="11"/>
        <v>#REF!</v>
      </c>
      <c r="Z34" s="501" t="e">
        <f t="shared" si="12"/>
        <v>#REF!</v>
      </c>
      <c r="AA34" s="415" t="e">
        <f t="shared" si="8"/>
        <v>#REF!</v>
      </c>
      <c r="AB34" s="497" t="e">
        <f>#REF!</f>
        <v>#REF!</v>
      </c>
      <c r="AC34" s="497" t="e">
        <f t="shared" si="7"/>
        <v>#REF!</v>
      </c>
    </row>
    <row r="35" spans="1:29" ht="15.75">
      <c r="A35" s="562">
        <v>1</v>
      </c>
      <c r="B35" s="287" t="s">
        <v>17</v>
      </c>
      <c r="C35" s="287" t="s">
        <v>18</v>
      </c>
      <c r="D35" s="288">
        <v>38</v>
      </c>
      <c r="E35" s="287" t="s">
        <v>25</v>
      </c>
      <c r="F35" s="288">
        <v>5</v>
      </c>
      <c r="G35" s="288">
        <v>2</v>
      </c>
      <c r="H35" s="288">
        <v>2</v>
      </c>
      <c r="I35" s="287" t="s">
        <v>18</v>
      </c>
      <c r="J35" s="289">
        <v>11</v>
      </c>
      <c r="K35" s="290" t="s">
        <v>369</v>
      </c>
      <c r="L35" s="9">
        <v>65550000</v>
      </c>
      <c r="M35" s="503">
        <f>jan!P27</f>
        <v>0</v>
      </c>
      <c r="N35" s="503" t="e">
        <f>#REF!</f>
        <v>#REF!</v>
      </c>
      <c r="O35" s="503" t="e">
        <f>#REF!</f>
        <v>#REF!</v>
      </c>
      <c r="P35" s="503" t="e">
        <f>#REF!</f>
        <v>#REF!</v>
      </c>
      <c r="Q35" s="503" t="e">
        <f>#REF!</f>
        <v>#REF!</v>
      </c>
      <c r="R35" s="503" t="e">
        <f>#REF!</f>
        <v>#REF!</v>
      </c>
      <c r="S35" s="503" t="e">
        <f>#REF!</f>
        <v>#REF!</v>
      </c>
      <c r="T35" s="503" t="e">
        <f>#REF!</f>
        <v>#REF!</v>
      </c>
      <c r="U35" s="503" t="e">
        <f>#REF!</f>
        <v>#REF!</v>
      </c>
      <c r="V35" s="503" t="e">
        <f>#REF!</f>
        <v>#REF!</v>
      </c>
      <c r="W35" s="503" t="e">
        <f>#REF!</f>
        <v>#REF!</v>
      </c>
      <c r="X35" s="503" t="e">
        <f>#REF!</f>
        <v>#REF!</v>
      </c>
      <c r="Y35" s="504" t="e">
        <f t="shared" si="11"/>
        <v>#REF!</v>
      </c>
      <c r="Z35" s="501" t="e">
        <f t="shared" si="12"/>
        <v>#REF!</v>
      </c>
      <c r="AA35" s="415" t="e">
        <f t="shared" si="8"/>
        <v>#REF!</v>
      </c>
      <c r="AB35" s="497" t="e">
        <f>#REF!</f>
        <v>#REF!</v>
      </c>
      <c r="AC35" s="497" t="e">
        <f t="shared" si="7"/>
        <v>#REF!</v>
      </c>
    </row>
    <row r="36" spans="1:29" ht="31.5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18</v>
      </c>
      <c r="J36" s="289">
        <v>12</v>
      </c>
      <c r="K36" s="290" t="s">
        <v>37</v>
      </c>
      <c r="L36" s="9">
        <v>7700000</v>
      </c>
      <c r="M36" s="503">
        <f>jan!P28</f>
        <v>0</v>
      </c>
      <c r="N36" s="503" t="e">
        <f>#REF!</f>
        <v>#REF!</v>
      </c>
      <c r="O36" s="503" t="e">
        <f>#REF!</f>
        <v>#REF!</v>
      </c>
      <c r="P36" s="503" t="e">
        <f>#REF!</f>
        <v>#REF!</v>
      </c>
      <c r="Q36" s="503" t="e">
        <f>#REF!</f>
        <v>#REF!</v>
      </c>
      <c r="R36" s="503" t="e">
        <f>#REF!</f>
        <v>#REF!</v>
      </c>
      <c r="S36" s="503" t="e">
        <f>#REF!</f>
        <v>#REF!</v>
      </c>
      <c r="T36" s="503" t="e">
        <f>#REF!</f>
        <v>#REF!</v>
      </c>
      <c r="U36" s="503" t="e">
        <f>#REF!</f>
        <v>#REF!</v>
      </c>
      <c r="V36" s="503" t="e">
        <f>#REF!</f>
        <v>#REF!</v>
      </c>
      <c r="W36" s="503" t="e">
        <f>#REF!</f>
        <v>#REF!</v>
      </c>
      <c r="X36" s="503" t="e">
        <f>#REF!</f>
        <v>#REF!</v>
      </c>
      <c r="Y36" s="506" t="e">
        <f>SUM(Y37:Y39)</f>
        <v>#REF!</v>
      </c>
      <c r="Z36" s="502" t="e">
        <f t="shared" si="10"/>
        <v>#REF!</v>
      </c>
      <c r="AA36" s="416" t="e">
        <f t="shared" si="8"/>
        <v>#REF!</v>
      </c>
      <c r="AB36" s="497" t="e">
        <f>#REF!</f>
        <v>#REF!</v>
      </c>
      <c r="AC36" s="497" t="e">
        <f t="shared" si="7"/>
        <v>#REF!</v>
      </c>
    </row>
    <row r="37" spans="1:29" ht="15.75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18</v>
      </c>
      <c r="J37" s="289">
        <v>14</v>
      </c>
      <c r="K37" s="290" t="s">
        <v>38</v>
      </c>
      <c r="L37" s="9">
        <v>5250000</v>
      </c>
      <c r="M37" s="503">
        <f>jan!P30</f>
        <v>0</v>
      </c>
      <c r="N37" s="503" t="e">
        <f>#REF!</f>
        <v>#REF!</v>
      </c>
      <c r="O37" s="503" t="e">
        <f>#REF!</f>
        <v>#REF!</v>
      </c>
      <c r="P37" s="503" t="e">
        <f>#REF!</f>
        <v>#REF!</v>
      </c>
      <c r="Q37" s="503" t="e">
        <f>#REF!</f>
        <v>#REF!</v>
      </c>
      <c r="R37" s="503" t="e">
        <f>#REF!</f>
        <v>#REF!</v>
      </c>
      <c r="S37" s="503" t="e">
        <f>#REF!</f>
        <v>#REF!</v>
      </c>
      <c r="T37" s="503" t="e">
        <f>#REF!</f>
        <v>#REF!</v>
      </c>
      <c r="U37" s="503" t="e">
        <f>#REF!</f>
        <v>#REF!</v>
      </c>
      <c r="V37" s="503" t="e">
        <f>#REF!</f>
        <v>#REF!</v>
      </c>
      <c r="W37" s="503" t="e">
        <f>#REF!</f>
        <v>#REF!</v>
      </c>
      <c r="X37" s="503" t="e">
        <f>#REF!</f>
        <v>#REF!</v>
      </c>
      <c r="Y37" s="507" t="e">
        <f t="shared" si="11"/>
        <v>#REF!</v>
      </c>
      <c r="Z37" s="501" t="e">
        <f t="shared" si="10"/>
        <v>#REF!</v>
      </c>
      <c r="AA37" s="415" t="e">
        <f t="shared" si="8"/>
        <v>#REF!</v>
      </c>
      <c r="AB37" s="497" t="e">
        <f>#REF!</f>
        <v>#REF!</v>
      </c>
      <c r="AC37" s="497" t="e">
        <f t="shared" si="7"/>
        <v>#REF!</v>
      </c>
    </row>
    <row r="38" spans="1:29" ht="31.5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18</v>
      </c>
      <c r="J38" s="289">
        <v>16</v>
      </c>
      <c r="K38" s="290" t="s">
        <v>40</v>
      </c>
      <c r="L38" s="9">
        <v>23850000</v>
      </c>
      <c r="M38" s="503">
        <f>jan!P31</f>
        <v>0</v>
      </c>
      <c r="N38" s="503" t="e">
        <f>#REF!</f>
        <v>#REF!</v>
      </c>
      <c r="O38" s="503" t="e">
        <f>#REF!</f>
        <v>#REF!</v>
      </c>
      <c r="P38" s="503" t="e">
        <f>#REF!</f>
        <v>#REF!</v>
      </c>
      <c r="Q38" s="503" t="e">
        <f>#REF!</f>
        <v>#REF!</v>
      </c>
      <c r="R38" s="503" t="e">
        <f>#REF!</f>
        <v>#REF!</v>
      </c>
      <c r="S38" s="503" t="e">
        <f>#REF!</f>
        <v>#REF!</v>
      </c>
      <c r="T38" s="503" t="e">
        <f>#REF!</f>
        <v>#REF!</v>
      </c>
      <c r="U38" s="503" t="e">
        <f>#REF!</f>
        <v>#REF!</v>
      </c>
      <c r="V38" s="503" t="e">
        <f>#REF!</f>
        <v>#REF!</v>
      </c>
      <c r="W38" s="503" t="e">
        <f>#REF!</f>
        <v>#REF!</v>
      </c>
      <c r="X38" s="503" t="e">
        <f>#REF!</f>
        <v>#REF!</v>
      </c>
      <c r="Y38" s="507" t="e">
        <f>SUM(M38:X38)</f>
        <v>#REF!</v>
      </c>
      <c r="Z38" s="501" t="e">
        <f t="shared" si="10"/>
        <v>#REF!</v>
      </c>
      <c r="AA38" s="415" t="e">
        <f t="shared" si="8"/>
        <v>#REF!</v>
      </c>
      <c r="AB38" s="497" t="e">
        <f>#REF!</f>
        <v>#REF!</v>
      </c>
      <c r="AC38" s="497" t="e">
        <f t="shared" si="7"/>
        <v>#REF!</v>
      </c>
    </row>
    <row r="39" spans="1:29" ht="16.5">
      <c r="A39" s="561">
        <v>1</v>
      </c>
      <c r="B39" s="291" t="s">
        <v>17</v>
      </c>
      <c r="C39" s="291" t="s">
        <v>18</v>
      </c>
      <c r="D39" s="292">
        <v>38</v>
      </c>
      <c r="E39" s="291" t="s">
        <v>25</v>
      </c>
      <c r="F39" s="292">
        <v>5</v>
      </c>
      <c r="G39" s="292">
        <v>2</v>
      </c>
      <c r="H39" s="292">
        <v>2</v>
      </c>
      <c r="I39" s="291" t="s">
        <v>17</v>
      </c>
      <c r="J39" s="297"/>
      <c r="K39" s="298" t="s">
        <v>41</v>
      </c>
      <c r="L39" s="5">
        <f>SUM(L40:L41)</f>
        <v>63630000</v>
      </c>
      <c r="M39" s="503">
        <f>jan!P32</f>
        <v>960000</v>
      </c>
      <c r="N39" s="503" t="e">
        <f>#REF!</f>
        <v>#REF!</v>
      </c>
      <c r="O39" s="503" t="e">
        <f>#REF!</f>
        <v>#REF!</v>
      </c>
      <c r="P39" s="503" t="e">
        <f>#REF!</f>
        <v>#REF!</v>
      </c>
      <c r="Q39" s="503" t="e">
        <f>#REF!</f>
        <v>#REF!</v>
      </c>
      <c r="R39" s="503" t="e">
        <f>#REF!</f>
        <v>#REF!</v>
      </c>
      <c r="S39" s="503" t="e">
        <f>#REF!</f>
        <v>#REF!</v>
      </c>
      <c r="T39" s="503" t="e">
        <f>#REF!</f>
        <v>#REF!</v>
      </c>
      <c r="U39" s="503" t="e">
        <f>#REF!</f>
        <v>#REF!</v>
      </c>
      <c r="V39" s="503" t="e">
        <f>#REF!</f>
        <v>#REF!</v>
      </c>
      <c r="W39" s="503" t="e">
        <f>#REF!</f>
        <v>#REF!</v>
      </c>
      <c r="X39" s="503" t="e">
        <f>#REF!</f>
        <v>#REF!</v>
      </c>
      <c r="Y39" s="504" t="e">
        <f t="shared" si="11"/>
        <v>#REF!</v>
      </c>
      <c r="Z39" s="501" t="e">
        <f t="shared" si="10"/>
        <v>#REF!</v>
      </c>
      <c r="AA39" s="415" t="e">
        <f t="shared" si="8"/>
        <v>#REF!</v>
      </c>
      <c r="AB39" s="497" t="e">
        <f>#REF!</f>
        <v>#REF!</v>
      </c>
      <c r="AC39" s="497" t="e">
        <f t="shared" si="7"/>
        <v>#REF!</v>
      </c>
    </row>
    <row r="40" spans="1:29" ht="15.75">
      <c r="A40" s="562">
        <v>1</v>
      </c>
      <c r="B40" s="287" t="s">
        <v>17</v>
      </c>
      <c r="C40" s="287" t="s">
        <v>18</v>
      </c>
      <c r="D40" s="288">
        <v>38</v>
      </c>
      <c r="E40" s="287" t="s">
        <v>25</v>
      </c>
      <c r="F40" s="288">
        <v>5</v>
      </c>
      <c r="G40" s="288">
        <v>2</v>
      </c>
      <c r="H40" s="288">
        <v>2</v>
      </c>
      <c r="I40" s="287" t="s">
        <v>17</v>
      </c>
      <c r="J40" s="289" t="s">
        <v>24</v>
      </c>
      <c r="K40" s="290" t="s">
        <v>42</v>
      </c>
      <c r="L40" s="9">
        <v>57000000</v>
      </c>
      <c r="M40" s="503" t="e">
        <f>jan!#REF!</f>
        <v>#REF!</v>
      </c>
      <c r="N40" s="503" t="e">
        <f>#REF!</f>
        <v>#REF!</v>
      </c>
      <c r="O40" s="503" t="e">
        <f>#REF!</f>
        <v>#REF!</v>
      </c>
      <c r="P40" s="503" t="e">
        <f>#REF!</f>
        <v>#REF!</v>
      </c>
      <c r="Q40" s="503" t="e">
        <f>#REF!</f>
        <v>#REF!</v>
      </c>
      <c r="R40" s="503" t="e">
        <f>#REF!</f>
        <v>#REF!</v>
      </c>
      <c r="S40" s="503" t="e">
        <f>#REF!</f>
        <v>#REF!</v>
      </c>
      <c r="T40" s="503" t="e">
        <f>#REF!</f>
        <v>#REF!</v>
      </c>
      <c r="U40" s="503" t="e">
        <f>#REF!</f>
        <v>#REF!</v>
      </c>
      <c r="V40" s="503" t="e">
        <f>#REF!</f>
        <v>#REF!</v>
      </c>
      <c r="W40" s="503" t="e">
        <f>#REF!</f>
        <v>#REF!</v>
      </c>
      <c r="X40" s="503" t="e">
        <f>#REF!</f>
        <v>#REF!</v>
      </c>
      <c r="Y40" s="506" t="e">
        <f>SUM(Y41:Y44)</f>
        <v>#REF!</v>
      </c>
      <c r="Z40" s="502" t="e">
        <f t="shared" si="10"/>
        <v>#REF!</v>
      </c>
      <c r="AA40" s="416" t="e">
        <f t="shared" si="8"/>
        <v>#REF!</v>
      </c>
      <c r="AB40" s="497" t="e">
        <f>#REF!</f>
        <v>#REF!</v>
      </c>
      <c r="AC40" s="497" t="e">
        <f t="shared" si="7"/>
        <v>#REF!</v>
      </c>
    </row>
    <row r="41" spans="1:29" ht="15.75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17</v>
      </c>
      <c r="J41" s="289" t="s">
        <v>25</v>
      </c>
      <c r="K41" s="290" t="s">
        <v>43</v>
      </c>
      <c r="L41" s="9">
        <v>6630000</v>
      </c>
      <c r="M41" s="503">
        <f>jan!P34</f>
        <v>960000</v>
      </c>
      <c r="N41" s="503" t="e">
        <f>#REF!</f>
        <v>#REF!</v>
      </c>
      <c r="O41" s="503" t="e">
        <f>#REF!</f>
        <v>#REF!</v>
      </c>
      <c r="P41" s="503" t="e">
        <f>#REF!</f>
        <v>#REF!</v>
      </c>
      <c r="Q41" s="503" t="e">
        <f>#REF!</f>
        <v>#REF!</v>
      </c>
      <c r="R41" s="503" t="e">
        <f>#REF!</f>
        <v>#REF!</v>
      </c>
      <c r="S41" s="503" t="e">
        <f>#REF!</f>
        <v>#REF!</v>
      </c>
      <c r="T41" s="503" t="e">
        <f>#REF!</f>
        <v>#REF!</v>
      </c>
      <c r="U41" s="503" t="e">
        <f>#REF!</f>
        <v>#REF!</v>
      </c>
      <c r="V41" s="503" t="e">
        <f>#REF!</f>
        <v>#REF!</v>
      </c>
      <c r="W41" s="503" t="e">
        <f>#REF!</f>
        <v>#REF!</v>
      </c>
      <c r="X41" s="503" t="e">
        <f>#REF!</f>
        <v>#REF!</v>
      </c>
      <c r="Y41" s="504" t="e">
        <f>SUM(M41:X41)</f>
        <v>#REF!</v>
      </c>
      <c r="Z41" s="501"/>
      <c r="AA41" s="415" t="e">
        <f t="shared" si="8"/>
        <v>#REF!</v>
      </c>
      <c r="AB41" s="497" t="e">
        <f>#REF!</f>
        <v>#REF!</v>
      </c>
      <c r="AC41" s="497" t="e">
        <f t="shared" si="7"/>
        <v>#REF!</v>
      </c>
    </row>
    <row r="42" spans="1:29" ht="16.5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44</v>
      </c>
      <c r="J42" s="297"/>
      <c r="K42" s="298" t="s">
        <v>45</v>
      </c>
      <c r="L42" s="5">
        <f>SUM(L43:L46)</f>
        <v>23560000</v>
      </c>
      <c r="M42" s="503">
        <f>jan!P35</f>
        <v>3500</v>
      </c>
      <c r="N42" s="503" t="e">
        <f>#REF!</f>
        <v>#REF!</v>
      </c>
      <c r="O42" s="503" t="e">
        <f>#REF!</f>
        <v>#REF!</v>
      </c>
      <c r="P42" s="503" t="e">
        <f>#REF!</f>
        <v>#REF!</v>
      </c>
      <c r="Q42" s="503" t="e">
        <f>#REF!</f>
        <v>#REF!</v>
      </c>
      <c r="R42" s="503" t="e">
        <f>#REF!</f>
        <v>#REF!</v>
      </c>
      <c r="S42" s="503" t="e">
        <f>#REF!</f>
        <v>#REF!</v>
      </c>
      <c r="T42" s="503" t="e">
        <f>#REF!</f>
        <v>#REF!</v>
      </c>
      <c r="U42" s="503" t="e">
        <f>#REF!</f>
        <v>#REF!</v>
      </c>
      <c r="V42" s="503" t="e">
        <f>#REF!</f>
        <v>#REF!</v>
      </c>
      <c r="W42" s="503" t="e">
        <f>#REF!</f>
        <v>#REF!</v>
      </c>
      <c r="X42" s="503" t="e">
        <f>#REF!</f>
        <v>#REF!</v>
      </c>
      <c r="Y42" s="504" t="e">
        <f>SUM(M42:X42)</f>
        <v>#REF!</v>
      </c>
      <c r="Z42" s="501" t="e">
        <f t="shared" si="10"/>
        <v>#REF!</v>
      </c>
      <c r="AA42" s="415" t="e">
        <f t="shared" si="8"/>
        <v>#REF!</v>
      </c>
      <c r="AB42" s="497" t="e">
        <f>#REF!</f>
        <v>#REF!</v>
      </c>
      <c r="AC42" s="497" t="e">
        <f t="shared" si="7"/>
        <v>#REF!</v>
      </c>
    </row>
    <row r="43" spans="1:29" ht="31.5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44</v>
      </c>
      <c r="J43" s="289" t="s">
        <v>25</v>
      </c>
      <c r="K43" s="290" t="s">
        <v>46</v>
      </c>
      <c r="L43" s="9">
        <v>12000000</v>
      </c>
      <c r="M43" s="503">
        <f>jan!P36</f>
        <v>0</v>
      </c>
      <c r="N43" s="503" t="e">
        <f>#REF!</f>
        <v>#REF!</v>
      </c>
      <c r="O43" s="503" t="e">
        <f>#REF!</f>
        <v>#REF!</v>
      </c>
      <c r="P43" s="503" t="e">
        <f>#REF!</f>
        <v>#REF!</v>
      </c>
      <c r="Q43" s="503" t="e">
        <f>#REF!</f>
        <v>#REF!</v>
      </c>
      <c r="R43" s="503" t="e">
        <f>#REF!</f>
        <v>#REF!</v>
      </c>
      <c r="S43" s="503" t="e">
        <f>#REF!</f>
        <v>#REF!</v>
      </c>
      <c r="T43" s="503" t="e">
        <f>#REF!</f>
        <v>#REF!</v>
      </c>
      <c r="U43" s="503" t="e">
        <f>#REF!</f>
        <v>#REF!</v>
      </c>
      <c r="V43" s="503" t="e">
        <f>#REF!</f>
        <v>#REF!</v>
      </c>
      <c r="W43" s="503" t="e">
        <f>#REF!</f>
        <v>#REF!</v>
      </c>
      <c r="X43" s="503" t="e">
        <f>#REF!</f>
        <v>#REF!</v>
      </c>
      <c r="Y43" s="504" t="e">
        <f>SUM(M43:X43)</f>
        <v>#REF!</v>
      </c>
      <c r="Z43" s="501" t="e">
        <f t="shared" si="10"/>
        <v>#REF!</v>
      </c>
      <c r="AA43" s="415" t="e">
        <f t="shared" si="8"/>
        <v>#REF!</v>
      </c>
      <c r="AB43" s="497" t="e">
        <f>#REF!</f>
        <v>#REF!</v>
      </c>
      <c r="AC43" s="497" t="e">
        <f t="shared" si="7"/>
        <v>#REF!</v>
      </c>
    </row>
    <row r="44" spans="1:29" ht="15.75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44</v>
      </c>
      <c r="J44" s="289" t="s">
        <v>47</v>
      </c>
      <c r="K44" s="290" t="s">
        <v>48</v>
      </c>
      <c r="L44" s="9">
        <v>560000</v>
      </c>
      <c r="M44" s="503">
        <f>jan!P37</f>
        <v>3500</v>
      </c>
      <c r="N44" s="503" t="e">
        <f>#REF!</f>
        <v>#REF!</v>
      </c>
      <c r="O44" s="503" t="e">
        <f>#REF!</f>
        <v>#REF!</v>
      </c>
      <c r="P44" s="503" t="e">
        <f>#REF!</f>
        <v>#REF!</v>
      </c>
      <c r="Q44" s="503" t="e">
        <f>#REF!</f>
        <v>#REF!</v>
      </c>
      <c r="R44" s="503" t="e">
        <f>#REF!</f>
        <v>#REF!</v>
      </c>
      <c r="S44" s="503" t="e">
        <f>#REF!</f>
        <v>#REF!</v>
      </c>
      <c r="T44" s="503" t="e">
        <f>#REF!</f>
        <v>#REF!</v>
      </c>
      <c r="U44" s="503" t="e">
        <f>#REF!</f>
        <v>#REF!</v>
      </c>
      <c r="V44" s="503" t="e">
        <f>#REF!</f>
        <v>#REF!</v>
      </c>
      <c r="W44" s="503" t="e">
        <f>#REF!</f>
        <v>#REF!</v>
      </c>
      <c r="X44" s="503" t="e">
        <f>#REF!</f>
        <v>#REF!</v>
      </c>
      <c r="Y44" s="504" t="e">
        <f>SUM(M44:X44)</f>
        <v>#REF!</v>
      </c>
      <c r="Z44" s="501" t="e">
        <f t="shared" si="10"/>
        <v>#REF!</v>
      </c>
      <c r="AA44" s="415" t="e">
        <f t="shared" si="8"/>
        <v>#REF!</v>
      </c>
      <c r="AB44" s="497" t="e">
        <f>#REF!</f>
        <v>#REF!</v>
      </c>
      <c r="AC44" s="497" t="e">
        <f t="shared" si="7"/>
        <v>#REF!</v>
      </c>
    </row>
    <row r="45" spans="1:29" s="497" customFormat="1" ht="31.5" customHeight="1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44</v>
      </c>
      <c r="J45" s="289">
        <v>12</v>
      </c>
      <c r="K45" s="290" t="s">
        <v>49</v>
      </c>
      <c r="L45" s="9">
        <v>10000000</v>
      </c>
      <c r="M45" s="503">
        <f>jan!P38</f>
        <v>0</v>
      </c>
      <c r="N45" s="503" t="e">
        <f>#REF!</f>
        <v>#REF!</v>
      </c>
      <c r="O45" s="503" t="e">
        <f>#REF!</f>
        <v>#REF!</v>
      </c>
      <c r="P45" s="503" t="e">
        <f>#REF!</f>
        <v>#REF!</v>
      </c>
      <c r="Q45" s="503" t="e">
        <f>#REF!</f>
        <v>#REF!</v>
      </c>
      <c r="R45" s="503" t="e">
        <f>#REF!</f>
        <v>#REF!</v>
      </c>
      <c r="S45" s="503" t="e">
        <f>#REF!</f>
        <v>#REF!</v>
      </c>
      <c r="T45" s="503" t="e">
        <f>#REF!</f>
        <v>#REF!</v>
      </c>
      <c r="U45" s="503" t="e">
        <f>#REF!</f>
        <v>#REF!</v>
      </c>
      <c r="V45" s="503" t="e">
        <f>#REF!</f>
        <v>#REF!</v>
      </c>
      <c r="W45" s="503" t="e">
        <f>#REF!</f>
        <v>#REF!</v>
      </c>
      <c r="X45" s="503" t="e">
        <f>#REF!</f>
        <v>#REF!</v>
      </c>
      <c r="Y45" s="506" t="e">
        <f>Y46+Y47+Y48</f>
        <v>#REF!</v>
      </c>
      <c r="Z45" s="502" t="e">
        <f t="shared" si="10"/>
        <v>#REF!</v>
      </c>
      <c r="AA45" s="416" t="e">
        <f t="shared" si="8"/>
        <v>#REF!</v>
      </c>
      <c r="AB45" s="497" t="e">
        <f>#REF!</f>
        <v>#REF!</v>
      </c>
      <c r="AC45" s="497" t="e">
        <f t="shared" si="7"/>
        <v>#REF!</v>
      </c>
    </row>
    <row r="46" spans="1:29" ht="15.75">
      <c r="A46" s="562">
        <v>1</v>
      </c>
      <c r="B46" s="287" t="s">
        <v>17</v>
      </c>
      <c r="C46" s="287" t="s">
        <v>18</v>
      </c>
      <c r="D46" s="288">
        <v>38</v>
      </c>
      <c r="E46" s="287" t="s">
        <v>25</v>
      </c>
      <c r="F46" s="288">
        <v>5</v>
      </c>
      <c r="G46" s="288">
        <v>2</v>
      </c>
      <c r="H46" s="288">
        <v>2</v>
      </c>
      <c r="I46" s="287" t="s">
        <v>44</v>
      </c>
      <c r="J46" s="289">
        <v>15</v>
      </c>
      <c r="K46" s="290" t="s">
        <v>434</v>
      </c>
      <c r="L46" s="9">
        <v>1000000</v>
      </c>
      <c r="M46" s="503">
        <f>jan!P39</f>
        <v>0</v>
      </c>
      <c r="N46" s="503" t="e">
        <f>#REF!</f>
        <v>#REF!</v>
      </c>
      <c r="O46" s="503" t="e">
        <f>#REF!</f>
        <v>#REF!</v>
      </c>
      <c r="P46" s="503" t="e">
        <f>#REF!</f>
        <v>#REF!</v>
      </c>
      <c r="Q46" s="503" t="e">
        <f>#REF!</f>
        <v>#REF!</v>
      </c>
      <c r="R46" s="503" t="e">
        <f>#REF!</f>
        <v>#REF!</v>
      </c>
      <c r="S46" s="503" t="e">
        <f>#REF!</f>
        <v>#REF!</v>
      </c>
      <c r="T46" s="503" t="e">
        <f>#REF!</f>
        <v>#REF!</v>
      </c>
      <c r="U46" s="503" t="e">
        <f>#REF!</f>
        <v>#REF!</v>
      </c>
      <c r="V46" s="503" t="e">
        <f>#REF!</f>
        <v>#REF!</v>
      </c>
      <c r="W46" s="503" t="e">
        <f>#REF!</f>
        <v>#REF!</v>
      </c>
      <c r="X46" s="503" t="e">
        <f>#REF!</f>
        <v>#REF!</v>
      </c>
      <c r="Y46" s="504" t="e">
        <f>SUM(M46:X46)</f>
        <v>#REF!</v>
      </c>
      <c r="Z46" s="501" t="e">
        <f t="shared" si="10"/>
        <v>#REF!</v>
      </c>
      <c r="AA46" s="415" t="e">
        <f t="shared" si="8"/>
        <v>#REF!</v>
      </c>
      <c r="AB46" s="497" t="e">
        <f>#REF!</f>
        <v>#REF!</v>
      </c>
      <c r="AC46" s="497" t="e">
        <f t="shared" si="7"/>
        <v>#REF!</v>
      </c>
    </row>
    <row r="47" spans="1:29" ht="16.5">
      <c r="A47" s="561">
        <v>1</v>
      </c>
      <c r="B47" s="291" t="s">
        <v>17</v>
      </c>
      <c r="C47" s="291" t="s">
        <v>18</v>
      </c>
      <c r="D47" s="292">
        <v>38</v>
      </c>
      <c r="E47" s="291" t="s">
        <v>25</v>
      </c>
      <c r="F47" s="292">
        <v>5</v>
      </c>
      <c r="G47" s="292">
        <v>2</v>
      </c>
      <c r="H47" s="292">
        <v>2</v>
      </c>
      <c r="I47" s="291" t="s">
        <v>25</v>
      </c>
      <c r="J47" s="297"/>
      <c r="K47" s="298" t="s">
        <v>50</v>
      </c>
      <c r="L47" s="5">
        <f>L48+L49+L50</f>
        <v>47995500</v>
      </c>
      <c r="M47" s="503">
        <f>jan!P46</f>
        <v>500000</v>
      </c>
      <c r="N47" s="503" t="e">
        <f>#REF!</f>
        <v>#REF!</v>
      </c>
      <c r="O47" s="503" t="e">
        <f>#REF!</f>
        <v>#REF!</v>
      </c>
      <c r="P47" s="503" t="e">
        <f>#REF!</f>
        <v>#REF!</v>
      </c>
      <c r="Q47" s="503" t="e">
        <f>#REF!</f>
        <v>#REF!</v>
      </c>
      <c r="R47" s="503" t="e">
        <f>#REF!</f>
        <v>#REF!</v>
      </c>
      <c r="S47" s="503" t="e">
        <f>#REF!</f>
        <v>#REF!</v>
      </c>
      <c r="T47" s="503" t="e">
        <f>#REF!</f>
        <v>#REF!</v>
      </c>
      <c r="U47" s="503" t="e">
        <f>#REF!</f>
        <v>#REF!</v>
      </c>
      <c r="V47" s="503" t="e">
        <f>#REF!</f>
        <v>#REF!</v>
      </c>
      <c r="W47" s="503" t="e">
        <f>#REF!</f>
        <v>#REF!</v>
      </c>
      <c r="X47" s="503" t="e">
        <f>#REF!</f>
        <v>#REF!</v>
      </c>
      <c r="Y47" s="504" t="e">
        <f>SUM(M47:X47)</f>
        <v>#REF!</v>
      </c>
      <c r="Z47" s="501" t="e">
        <f t="shared" si="10"/>
        <v>#REF!</v>
      </c>
      <c r="AA47" s="415" t="e">
        <f t="shared" si="8"/>
        <v>#REF!</v>
      </c>
      <c r="AB47" s="497" t="e">
        <f>#REF!</f>
        <v>#REF!</v>
      </c>
      <c r="AC47" s="497" t="e">
        <f t="shared" si="7"/>
        <v>#REF!</v>
      </c>
    </row>
    <row r="48" spans="1:29" ht="15.75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18</v>
      </c>
      <c r="K48" s="290" t="s">
        <v>51</v>
      </c>
      <c r="L48" s="9">
        <v>38095500</v>
      </c>
      <c r="M48" s="503">
        <f>jan!P47</f>
        <v>0</v>
      </c>
      <c r="N48" s="503" t="e">
        <f>#REF!</f>
        <v>#REF!</v>
      </c>
      <c r="O48" s="503" t="e">
        <f>#REF!</f>
        <v>#REF!</v>
      </c>
      <c r="P48" s="503" t="e">
        <f>#REF!</f>
        <v>#REF!</v>
      </c>
      <c r="Q48" s="503" t="e">
        <f>#REF!</f>
        <v>#REF!</v>
      </c>
      <c r="R48" s="503" t="e">
        <f>#REF!</f>
        <v>#REF!</v>
      </c>
      <c r="S48" s="503" t="e">
        <f>#REF!</f>
        <v>#REF!</v>
      </c>
      <c r="T48" s="503" t="e">
        <f>#REF!</f>
        <v>#REF!</v>
      </c>
      <c r="U48" s="503" t="e">
        <f>#REF!</f>
        <v>#REF!</v>
      </c>
      <c r="V48" s="503" t="e">
        <f>#REF!</f>
        <v>#REF!</v>
      </c>
      <c r="W48" s="503" t="e">
        <f>#REF!</f>
        <v>#REF!</v>
      </c>
      <c r="X48" s="503" t="e">
        <f>#REF!</f>
        <v>#REF!</v>
      </c>
      <c r="Y48" s="504" t="e">
        <f>SUM(M48:X48)</f>
        <v>#REF!</v>
      </c>
      <c r="Z48" s="501" t="e">
        <f t="shared" si="10"/>
        <v>#REF!</v>
      </c>
      <c r="AA48" s="415" t="e">
        <f t="shared" si="8"/>
        <v>#REF!</v>
      </c>
      <c r="AB48" s="497" t="e">
        <f>#REF!</f>
        <v>#REF!</v>
      </c>
      <c r="AC48" s="497" t="e">
        <f t="shared" si="7"/>
        <v>#REF!</v>
      </c>
    </row>
    <row r="49" spans="1:29" ht="15.75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17</v>
      </c>
      <c r="K49" s="290" t="s">
        <v>52</v>
      </c>
      <c r="L49" s="13">
        <v>8400000</v>
      </c>
      <c r="M49" s="503">
        <f>jan!P48</f>
        <v>500000</v>
      </c>
      <c r="N49" s="503" t="e">
        <f>#REF!</f>
        <v>#REF!</v>
      </c>
      <c r="O49" s="503" t="e">
        <f>#REF!</f>
        <v>#REF!</v>
      </c>
      <c r="P49" s="503" t="e">
        <f>#REF!</f>
        <v>#REF!</v>
      </c>
      <c r="Q49" s="503" t="e">
        <f>#REF!</f>
        <v>#REF!</v>
      </c>
      <c r="R49" s="503" t="e">
        <f>#REF!</f>
        <v>#REF!</v>
      </c>
      <c r="S49" s="503" t="e">
        <f>#REF!</f>
        <v>#REF!</v>
      </c>
      <c r="T49" s="503" t="e">
        <f>#REF!</f>
        <v>#REF!</v>
      </c>
      <c r="U49" s="503" t="e">
        <f>#REF!</f>
        <v>#REF!</v>
      </c>
      <c r="V49" s="503" t="e">
        <f>#REF!</f>
        <v>#REF!</v>
      </c>
      <c r="W49" s="503" t="e">
        <f>#REF!</f>
        <v>#REF!</v>
      </c>
      <c r="X49" s="503" t="e">
        <f>#REF!</f>
        <v>#REF!</v>
      </c>
      <c r="Y49" s="508" t="e">
        <f>Y50</f>
        <v>#REF!</v>
      </c>
      <c r="Z49" s="502" t="e">
        <f t="shared" si="10"/>
        <v>#REF!</v>
      </c>
      <c r="AA49" s="416" t="e">
        <f t="shared" si="8"/>
        <v>#REF!</v>
      </c>
      <c r="AB49" s="497" t="e">
        <f>#REF!</f>
        <v>#REF!</v>
      </c>
      <c r="AC49" s="497" t="e">
        <f t="shared" si="7"/>
        <v>#REF!</v>
      </c>
    </row>
    <row r="50" spans="1:29" ht="15.75">
      <c r="A50" s="562">
        <v>1</v>
      </c>
      <c r="B50" s="287" t="s">
        <v>17</v>
      </c>
      <c r="C50" s="287" t="s">
        <v>18</v>
      </c>
      <c r="D50" s="288">
        <v>38</v>
      </c>
      <c r="E50" s="287" t="s">
        <v>25</v>
      </c>
      <c r="F50" s="288">
        <v>5</v>
      </c>
      <c r="G50" s="288">
        <v>2</v>
      </c>
      <c r="H50" s="288">
        <v>2</v>
      </c>
      <c r="I50" s="287" t="s">
        <v>25</v>
      </c>
      <c r="J50" s="289" t="s">
        <v>44</v>
      </c>
      <c r="K50" s="290" t="s">
        <v>53</v>
      </c>
      <c r="L50" s="13">
        <v>1500000</v>
      </c>
      <c r="M50" s="503">
        <f>jan!P49</f>
        <v>0</v>
      </c>
      <c r="N50" s="503" t="e">
        <f>#REF!</f>
        <v>#REF!</v>
      </c>
      <c r="O50" s="503" t="e">
        <f>#REF!</f>
        <v>#REF!</v>
      </c>
      <c r="P50" s="503" t="e">
        <f>#REF!</f>
        <v>#REF!</v>
      </c>
      <c r="Q50" s="503" t="e">
        <f>#REF!</f>
        <v>#REF!</v>
      </c>
      <c r="R50" s="503" t="e">
        <f>#REF!</f>
        <v>#REF!</v>
      </c>
      <c r="S50" s="503" t="e">
        <f>#REF!</f>
        <v>#REF!</v>
      </c>
      <c r="T50" s="503" t="e">
        <f>#REF!</f>
        <v>#REF!</v>
      </c>
      <c r="U50" s="503" t="e">
        <f>#REF!</f>
        <v>#REF!</v>
      </c>
      <c r="V50" s="503" t="e">
        <f>#REF!</f>
        <v>#REF!</v>
      </c>
      <c r="W50" s="503" t="e">
        <f>#REF!</f>
        <v>#REF!</v>
      </c>
      <c r="X50" s="503" t="e">
        <f>#REF!</f>
        <v>#REF!</v>
      </c>
      <c r="Y50" s="504" t="e">
        <f>SUM(M50:X50)</f>
        <v>#REF!</v>
      </c>
      <c r="Z50" s="501" t="e">
        <f t="shared" si="10"/>
        <v>#REF!</v>
      </c>
      <c r="AA50" s="415" t="e">
        <f t="shared" si="8"/>
        <v>#REF!</v>
      </c>
      <c r="AB50" s="497" t="e">
        <f>#REF!</f>
        <v>#REF!</v>
      </c>
      <c r="AC50" s="497" t="e">
        <f t="shared" si="7"/>
        <v>#REF!</v>
      </c>
    </row>
    <row r="51" spans="1:29" ht="16.5">
      <c r="A51" s="561">
        <v>1</v>
      </c>
      <c r="B51" s="291" t="s">
        <v>17</v>
      </c>
      <c r="C51" s="291" t="s">
        <v>18</v>
      </c>
      <c r="D51" s="292">
        <v>38</v>
      </c>
      <c r="E51" s="291" t="s">
        <v>25</v>
      </c>
      <c r="F51" s="292">
        <v>5</v>
      </c>
      <c r="G51" s="292">
        <v>2</v>
      </c>
      <c r="H51" s="292">
        <v>2</v>
      </c>
      <c r="I51" s="291">
        <v>11</v>
      </c>
      <c r="J51" s="297"/>
      <c r="K51" s="298" t="s">
        <v>54</v>
      </c>
      <c r="L51" s="114">
        <f>L52</f>
        <v>72500000</v>
      </c>
      <c r="M51" s="503">
        <f>jan!P52</f>
        <v>0</v>
      </c>
      <c r="N51" s="503" t="e">
        <f>#REF!</f>
        <v>#REF!</v>
      </c>
      <c r="O51" s="503" t="e">
        <f>#REF!</f>
        <v>#REF!</v>
      </c>
      <c r="P51" s="503" t="e">
        <f>#REF!</f>
        <v>#REF!</v>
      </c>
      <c r="Q51" s="503" t="e">
        <f>#REF!</f>
        <v>#REF!</v>
      </c>
      <c r="R51" s="503" t="e">
        <f>#REF!</f>
        <v>#REF!</v>
      </c>
      <c r="S51" s="503" t="e">
        <f>#REF!</f>
        <v>#REF!</v>
      </c>
      <c r="T51" s="503" t="e">
        <f>#REF!</f>
        <v>#REF!</v>
      </c>
      <c r="U51" s="503" t="e">
        <f>#REF!</f>
        <v>#REF!</v>
      </c>
      <c r="V51" s="503" t="e">
        <f>#REF!</f>
        <v>#REF!</v>
      </c>
      <c r="W51" s="503" t="e">
        <f>#REF!</f>
        <v>#REF!</v>
      </c>
      <c r="X51" s="503" t="e">
        <f>#REF!</f>
        <v>#REF!</v>
      </c>
      <c r="Y51" s="417" t="e">
        <f>Y52+Y53</f>
        <v>#REF!</v>
      </c>
      <c r="Z51" s="502" t="e">
        <f t="shared" si="10"/>
        <v>#REF!</v>
      </c>
      <c r="AA51" s="416" t="e">
        <f t="shared" si="8"/>
        <v>#REF!</v>
      </c>
      <c r="AB51" s="497" t="e">
        <f>#REF!</f>
        <v>#REF!</v>
      </c>
      <c r="AC51" s="497" t="e">
        <f t="shared" si="7"/>
        <v>#REF!</v>
      </c>
    </row>
    <row r="52" spans="1:29" ht="31.5">
      <c r="A52" s="562">
        <v>1</v>
      </c>
      <c r="B52" s="287" t="s">
        <v>17</v>
      </c>
      <c r="C52" s="287" t="s">
        <v>18</v>
      </c>
      <c r="D52" s="288">
        <v>38</v>
      </c>
      <c r="E52" s="287" t="s">
        <v>25</v>
      </c>
      <c r="F52" s="288">
        <v>5</v>
      </c>
      <c r="G52" s="288">
        <v>2</v>
      </c>
      <c r="H52" s="288">
        <v>2</v>
      </c>
      <c r="I52" s="287">
        <v>11</v>
      </c>
      <c r="J52" s="289" t="s">
        <v>17</v>
      </c>
      <c r="K52" s="290" t="s">
        <v>55</v>
      </c>
      <c r="L52" s="14">
        <v>72500000</v>
      </c>
      <c r="M52" s="503">
        <f>jan!P53</f>
        <v>0</v>
      </c>
      <c r="N52" s="503" t="e">
        <f>#REF!</f>
        <v>#REF!</v>
      </c>
      <c r="O52" s="503" t="e">
        <f>#REF!</f>
        <v>#REF!</v>
      </c>
      <c r="P52" s="503" t="e">
        <f>#REF!</f>
        <v>#REF!</v>
      </c>
      <c r="Q52" s="503" t="e">
        <f>#REF!</f>
        <v>#REF!</v>
      </c>
      <c r="R52" s="503" t="e">
        <f>#REF!</f>
        <v>#REF!</v>
      </c>
      <c r="S52" s="503" t="e">
        <f>#REF!</f>
        <v>#REF!</v>
      </c>
      <c r="T52" s="503" t="e">
        <f>#REF!</f>
        <v>#REF!</v>
      </c>
      <c r="U52" s="503" t="e">
        <f>#REF!</f>
        <v>#REF!</v>
      </c>
      <c r="V52" s="503" t="e">
        <f>#REF!</f>
        <v>#REF!</v>
      </c>
      <c r="W52" s="503" t="e">
        <f>#REF!</f>
        <v>#REF!</v>
      </c>
      <c r="X52" s="503" t="e">
        <f>#REF!</f>
        <v>#REF!</v>
      </c>
      <c r="Y52" s="504" t="e">
        <f>SUM(M52:X52)</f>
        <v>#REF!</v>
      </c>
      <c r="Z52" s="501" t="e">
        <f t="shared" si="10"/>
        <v>#REF!</v>
      </c>
      <c r="AA52" s="415" t="e">
        <f t="shared" si="8"/>
        <v>#REF!</v>
      </c>
      <c r="AB52" s="497" t="e">
        <f>#REF!</f>
        <v>#REF!</v>
      </c>
      <c r="AC52" s="497" t="e">
        <f t="shared" si="7"/>
        <v>#REF!</v>
      </c>
    </row>
    <row r="53" spans="1:29" ht="16.5">
      <c r="A53" s="561">
        <v>1</v>
      </c>
      <c r="B53" s="291" t="s">
        <v>17</v>
      </c>
      <c r="C53" s="291" t="s">
        <v>18</v>
      </c>
      <c r="D53" s="292">
        <v>38</v>
      </c>
      <c r="E53" s="291" t="s">
        <v>25</v>
      </c>
      <c r="F53" s="292">
        <v>5</v>
      </c>
      <c r="G53" s="292">
        <v>2</v>
      </c>
      <c r="H53" s="292">
        <v>2</v>
      </c>
      <c r="I53" s="291">
        <v>15</v>
      </c>
      <c r="J53" s="297"/>
      <c r="K53" s="16" t="s">
        <v>56</v>
      </c>
      <c r="L53" s="17">
        <f>L54+L55</f>
        <v>26625000</v>
      </c>
      <c r="M53" s="503">
        <f>jan!P54</f>
        <v>0</v>
      </c>
      <c r="N53" s="503" t="e">
        <f>#REF!</f>
        <v>#REF!</v>
      </c>
      <c r="O53" s="503" t="e">
        <f>#REF!</f>
        <v>#REF!</v>
      </c>
      <c r="P53" s="503" t="e">
        <f>#REF!</f>
        <v>#REF!</v>
      </c>
      <c r="Q53" s="503" t="e">
        <f>#REF!</f>
        <v>#REF!</v>
      </c>
      <c r="R53" s="503" t="e">
        <f>#REF!</f>
        <v>#REF!</v>
      </c>
      <c r="S53" s="503" t="e">
        <f>#REF!</f>
        <v>#REF!</v>
      </c>
      <c r="T53" s="503" t="e">
        <f>#REF!</f>
        <v>#REF!</v>
      </c>
      <c r="U53" s="503" t="e">
        <f>#REF!</f>
        <v>#REF!</v>
      </c>
      <c r="V53" s="503" t="e">
        <f>#REF!</f>
        <v>#REF!</v>
      </c>
      <c r="W53" s="503" t="e">
        <f>#REF!</f>
        <v>#REF!</v>
      </c>
      <c r="X53" s="503" t="e">
        <f>#REF!</f>
        <v>#REF!</v>
      </c>
      <c r="Y53" s="504" t="e">
        <f>SUM(M53:X53)</f>
        <v>#REF!</v>
      </c>
      <c r="Z53" s="501" t="e">
        <f t="shared" si="10"/>
        <v>#REF!</v>
      </c>
      <c r="AA53" s="415" t="e">
        <f t="shared" si="8"/>
        <v>#REF!</v>
      </c>
      <c r="AB53" s="497" t="e">
        <f>#REF!</f>
        <v>#REF!</v>
      </c>
      <c r="AC53" s="497" t="e">
        <f t="shared" si="7"/>
        <v>#REF!</v>
      </c>
    </row>
    <row r="54" spans="1:29" ht="31.5">
      <c r="A54" s="562">
        <v>1</v>
      </c>
      <c r="B54" s="287" t="s">
        <v>17</v>
      </c>
      <c r="C54" s="287" t="s">
        <v>18</v>
      </c>
      <c r="D54" s="288">
        <v>38</v>
      </c>
      <c r="E54" s="287" t="s">
        <v>25</v>
      </c>
      <c r="F54" s="288">
        <v>5</v>
      </c>
      <c r="G54" s="288">
        <v>2</v>
      </c>
      <c r="H54" s="288">
        <v>2</v>
      </c>
      <c r="I54" s="287">
        <v>15</v>
      </c>
      <c r="J54" s="289" t="s">
        <v>18</v>
      </c>
      <c r="K54" s="18" t="s">
        <v>57</v>
      </c>
      <c r="L54" s="19">
        <v>19425000</v>
      </c>
      <c r="M54" s="503">
        <f>jan!P55</f>
        <v>0</v>
      </c>
      <c r="N54" s="503" t="e">
        <f>#REF!</f>
        <v>#REF!</v>
      </c>
      <c r="O54" s="503" t="e">
        <f>#REF!</f>
        <v>#REF!</v>
      </c>
      <c r="P54" s="503" t="e">
        <f>#REF!</f>
        <v>#REF!</v>
      </c>
      <c r="Q54" s="503" t="e">
        <f>#REF!</f>
        <v>#REF!</v>
      </c>
      <c r="R54" s="503" t="e">
        <f>#REF!</f>
        <v>#REF!</v>
      </c>
      <c r="S54" s="503" t="e">
        <f>#REF!</f>
        <v>#REF!</v>
      </c>
      <c r="T54" s="503" t="e">
        <f>#REF!</f>
        <v>#REF!</v>
      </c>
      <c r="U54" s="503" t="e">
        <f>#REF!</f>
        <v>#REF!</v>
      </c>
      <c r="V54" s="503" t="e">
        <f>#REF!</f>
        <v>#REF!</v>
      </c>
      <c r="W54" s="503" t="e">
        <f>#REF!</f>
        <v>#REF!</v>
      </c>
      <c r="X54" s="503" t="e">
        <f>#REF!</f>
        <v>#REF!</v>
      </c>
      <c r="Y54" s="417" t="e">
        <f>Y55</f>
        <v>#REF!</v>
      </c>
      <c r="Z54" s="502" t="e">
        <f t="shared" si="10"/>
        <v>#REF!</v>
      </c>
      <c r="AA54" s="416" t="e">
        <f t="shared" si="8"/>
        <v>#REF!</v>
      </c>
      <c r="AB54" s="497" t="e">
        <f>#REF!</f>
        <v>#REF!</v>
      </c>
      <c r="AC54" s="497" t="e">
        <f t="shared" si="7"/>
        <v>#REF!</v>
      </c>
    </row>
    <row r="55" spans="1:29" ht="31.5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17</v>
      </c>
      <c r="K55" s="18" t="s">
        <v>58</v>
      </c>
      <c r="L55" s="19">
        <v>7200000</v>
      </c>
      <c r="M55" s="503">
        <f>jan!P56</f>
        <v>0</v>
      </c>
      <c r="N55" s="503" t="e">
        <f>#REF!</f>
        <v>#REF!</v>
      </c>
      <c r="O55" s="503" t="e">
        <f>#REF!</f>
        <v>#REF!</v>
      </c>
      <c r="P55" s="503" t="e">
        <f>#REF!</f>
        <v>#REF!</v>
      </c>
      <c r="Q55" s="503" t="e">
        <f>#REF!</f>
        <v>#REF!</v>
      </c>
      <c r="R55" s="503" t="e">
        <f>#REF!</f>
        <v>#REF!</v>
      </c>
      <c r="S55" s="503" t="e">
        <f>#REF!</f>
        <v>#REF!</v>
      </c>
      <c r="T55" s="503" t="e">
        <f>#REF!</f>
        <v>#REF!</v>
      </c>
      <c r="U55" s="503" t="e">
        <f>#REF!</f>
        <v>#REF!</v>
      </c>
      <c r="V55" s="503" t="e">
        <f>#REF!</f>
        <v>#REF!</v>
      </c>
      <c r="W55" s="503" t="e">
        <f>#REF!</f>
        <v>#REF!</v>
      </c>
      <c r="X55" s="503" t="e">
        <f>#REF!</f>
        <v>#REF!</v>
      </c>
      <c r="Y55" s="504" t="e">
        <f>SUM(M55:X55)</f>
        <v>#REF!</v>
      </c>
      <c r="Z55" s="501" t="e">
        <f t="shared" si="10"/>
        <v>#REF!</v>
      </c>
      <c r="AA55" s="415" t="e">
        <f t="shared" si="8"/>
        <v>#REF!</v>
      </c>
      <c r="AB55" s="497" t="e">
        <f>#REF!</f>
        <v>#REF!</v>
      </c>
      <c r="AC55" s="497" t="e">
        <f t="shared" si="7"/>
        <v>#REF!</v>
      </c>
    </row>
    <row r="56" spans="1:29" ht="16.5">
      <c r="A56" s="561">
        <v>1</v>
      </c>
      <c r="B56" s="291" t="s">
        <v>17</v>
      </c>
      <c r="C56" s="291" t="s">
        <v>18</v>
      </c>
      <c r="D56" s="292">
        <v>38</v>
      </c>
      <c r="E56" s="291" t="s">
        <v>25</v>
      </c>
      <c r="F56" s="292">
        <v>5</v>
      </c>
      <c r="G56" s="292">
        <v>2</v>
      </c>
      <c r="H56" s="292">
        <v>2</v>
      </c>
      <c r="I56" s="291">
        <v>17</v>
      </c>
      <c r="J56" s="297"/>
      <c r="K56" s="16" t="s">
        <v>59</v>
      </c>
      <c r="L56" s="17">
        <f>L57</f>
        <v>18000000</v>
      </c>
      <c r="M56" s="503">
        <f>jan!P57</f>
        <v>0</v>
      </c>
      <c r="N56" s="503" t="e">
        <f>#REF!</f>
        <v>#REF!</v>
      </c>
      <c r="O56" s="503" t="e">
        <f>#REF!</f>
        <v>#REF!</v>
      </c>
      <c r="P56" s="503" t="e">
        <f>#REF!</f>
        <v>#REF!</v>
      </c>
      <c r="Q56" s="503" t="e">
        <f>#REF!</f>
        <v>#REF!</v>
      </c>
      <c r="R56" s="503" t="e">
        <f>#REF!</f>
        <v>#REF!</v>
      </c>
      <c r="S56" s="503" t="e">
        <f>#REF!</f>
        <v>#REF!</v>
      </c>
      <c r="T56" s="503" t="e">
        <f>#REF!</f>
        <v>#REF!</v>
      </c>
      <c r="U56" s="503" t="e">
        <f>#REF!</f>
        <v>#REF!</v>
      </c>
      <c r="V56" s="503" t="e">
        <f>#REF!</f>
        <v>#REF!</v>
      </c>
      <c r="W56" s="503" t="e">
        <f>#REF!</f>
        <v>#REF!</v>
      </c>
      <c r="X56" s="503" t="e">
        <f>#REF!</f>
        <v>#REF!</v>
      </c>
      <c r="Y56" s="417" t="e">
        <f>Y57+Y58</f>
        <v>#REF!</v>
      </c>
      <c r="Z56" s="502" t="e">
        <f t="shared" si="10"/>
        <v>#REF!</v>
      </c>
      <c r="AA56" s="416" t="e">
        <f t="shared" si="8"/>
        <v>#REF!</v>
      </c>
      <c r="AB56" s="497" t="e">
        <f>#REF!</f>
        <v>#REF!</v>
      </c>
      <c r="AC56" s="497" t="e">
        <f t="shared" si="7"/>
        <v>#REF!</v>
      </c>
    </row>
    <row r="57" spans="1:29" ht="15.75">
      <c r="A57" s="562">
        <v>1</v>
      </c>
      <c r="B57" s="287" t="s">
        <v>17</v>
      </c>
      <c r="C57" s="287" t="s">
        <v>18</v>
      </c>
      <c r="D57" s="288">
        <v>38</v>
      </c>
      <c r="E57" s="287" t="s">
        <v>25</v>
      </c>
      <c r="F57" s="288">
        <v>5</v>
      </c>
      <c r="G57" s="288">
        <v>2</v>
      </c>
      <c r="H57" s="288">
        <v>2</v>
      </c>
      <c r="I57" s="287">
        <v>17</v>
      </c>
      <c r="J57" s="289" t="s">
        <v>18</v>
      </c>
      <c r="K57" s="18" t="s">
        <v>60</v>
      </c>
      <c r="L57" s="19">
        <v>18000000</v>
      </c>
      <c r="M57" s="503">
        <f>jan!P58</f>
        <v>0</v>
      </c>
      <c r="N57" s="503" t="e">
        <f>#REF!</f>
        <v>#REF!</v>
      </c>
      <c r="O57" s="503" t="e">
        <f>#REF!</f>
        <v>#REF!</v>
      </c>
      <c r="P57" s="503" t="e">
        <f>#REF!</f>
        <v>#REF!</v>
      </c>
      <c r="Q57" s="503" t="e">
        <f>#REF!</f>
        <v>#REF!</v>
      </c>
      <c r="R57" s="503" t="e">
        <f>#REF!</f>
        <v>#REF!</v>
      </c>
      <c r="S57" s="503" t="e">
        <f>#REF!</f>
        <v>#REF!</v>
      </c>
      <c r="T57" s="503" t="e">
        <f>#REF!</f>
        <v>#REF!</v>
      </c>
      <c r="U57" s="503" t="e">
        <f>#REF!</f>
        <v>#REF!</v>
      </c>
      <c r="V57" s="503" t="e">
        <f>#REF!</f>
        <v>#REF!</v>
      </c>
      <c r="W57" s="503" t="e">
        <f>#REF!</f>
        <v>#REF!</v>
      </c>
      <c r="X57" s="503" t="e">
        <f>#REF!</f>
        <v>#REF!</v>
      </c>
      <c r="Y57" s="504" t="e">
        <f>SUM(M57:X57)</f>
        <v>#REF!</v>
      </c>
      <c r="Z57" s="501" t="e">
        <f t="shared" si="10"/>
        <v>#REF!</v>
      </c>
      <c r="AA57" s="415" t="e">
        <f t="shared" si="8"/>
        <v>#REF!</v>
      </c>
      <c r="AB57" s="497" t="e">
        <f>#REF!</f>
        <v>#REF!</v>
      </c>
      <c r="AC57" s="497" t="e">
        <f t="shared" si="7"/>
        <v>#REF!</v>
      </c>
    </row>
    <row r="58" spans="1:29" ht="33">
      <c r="A58" s="561">
        <v>1</v>
      </c>
      <c r="B58" s="291" t="s">
        <v>17</v>
      </c>
      <c r="C58" s="291" t="s">
        <v>18</v>
      </c>
      <c r="D58" s="292">
        <v>38</v>
      </c>
      <c r="E58" s="291" t="s">
        <v>25</v>
      </c>
      <c r="F58" s="292">
        <v>5</v>
      </c>
      <c r="G58" s="292">
        <v>2</v>
      </c>
      <c r="H58" s="292">
        <v>2</v>
      </c>
      <c r="I58" s="291">
        <v>20</v>
      </c>
      <c r="J58" s="297"/>
      <c r="K58" s="16" t="s">
        <v>367</v>
      </c>
      <c r="L58" s="17">
        <f>SUM(L59:L63)</f>
        <v>62596100</v>
      </c>
      <c r="M58" s="503">
        <f>jan!P59</f>
        <v>0</v>
      </c>
      <c r="N58" s="503" t="e">
        <f>#REF!</f>
        <v>#REF!</v>
      </c>
      <c r="O58" s="503" t="e">
        <f>#REF!</f>
        <v>#REF!</v>
      </c>
      <c r="P58" s="503" t="e">
        <f>#REF!</f>
        <v>#REF!</v>
      </c>
      <c r="Q58" s="503" t="e">
        <f>#REF!</f>
        <v>#REF!</v>
      </c>
      <c r="R58" s="503" t="e">
        <f>#REF!</f>
        <v>#REF!</v>
      </c>
      <c r="S58" s="503" t="e">
        <f>#REF!</f>
        <v>#REF!</v>
      </c>
      <c r="T58" s="503" t="e">
        <f>#REF!</f>
        <v>#REF!</v>
      </c>
      <c r="U58" s="503" t="e">
        <f>#REF!</f>
        <v>#REF!</v>
      </c>
      <c r="V58" s="503" t="e">
        <f>#REF!</f>
        <v>#REF!</v>
      </c>
      <c r="W58" s="503" t="e">
        <f>#REF!</f>
        <v>#REF!</v>
      </c>
      <c r="X58" s="503" t="e">
        <f>#REF!</f>
        <v>#REF!</v>
      </c>
      <c r="Y58" s="504" t="e">
        <f>SUM(M58:X58)</f>
        <v>#REF!</v>
      </c>
      <c r="Z58" s="501" t="e">
        <f t="shared" si="10"/>
        <v>#REF!</v>
      </c>
      <c r="AA58" s="415" t="e">
        <f t="shared" si="8"/>
        <v>#REF!</v>
      </c>
      <c r="AB58" s="497" t="e">
        <f>#REF!</f>
        <v>#REF!</v>
      </c>
      <c r="AC58" s="497" t="e">
        <f t="shared" si="7"/>
        <v>#REF!</v>
      </c>
    </row>
    <row r="59" spans="1:29" ht="31.5">
      <c r="A59" s="562">
        <v>1</v>
      </c>
      <c r="B59" s="287" t="s">
        <v>17</v>
      </c>
      <c r="C59" s="287" t="s">
        <v>18</v>
      </c>
      <c r="D59" s="288">
        <v>38</v>
      </c>
      <c r="E59" s="287" t="s">
        <v>25</v>
      </c>
      <c r="F59" s="288">
        <v>5</v>
      </c>
      <c r="G59" s="288">
        <v>2</v>
      </c>
      <c r="H59" s="288">
        <v>2</v>
      </c>
      <c r="I59" s="287">
        <v>20</v>
      </c>
      <c r="J59" s="289" t="s">
        <v>44</v>
      </c>
      <c r="K59" s="18" t="s">
        <v>367</v>
      </c>
      <c r="L59" s="19">
        <v>7500000</v>
      </c>
      <c r="M59" s="503">
        <f>jan!P60</f>
        <v>0</v>
      </c>
      <c r="N59" s="503" t="e">
        <f>#REF!</f>
        <v>#REF!</v>
      </c>
      <c r="O59" s="503" t="e">
        <f>#REF!</f>
        <v>#REF!</v>
      </c>
      <c r="P59" s="503" t="e">
        <f>#REF!</f>
        <v>#REF!</v>
      </c>
      <c r="Q59" s="503" t="e">
        <f>#REF!</f>
        <v>#REF!</v>
      </c>
      <c r="R59" s="503" t="e">
        <f>#REF!</f>
        <v>#REF!</v>
      </c>
      <c r="S59" s="503" t="e">
        <f>#REF!</f>
        <v>#REF!</v>
      </c>
      <c r="T59" s="503" t="e">
        <f>#REF!</f>
        <v>#REF!</v>
      </c>
      <c r="U59" s="503" t="e">
        <f>#REF!</f>
        <v>#REF!</v>
      </c>
      <c r="V59" s="503" t="e">
        <f>#REF!</f>
        <v>#REF!</v>
      </c>
      <c r="W59" s="503" t="e">
        <f>#REF!</f>
        <v>#REF!</v>
      </c>
      <c r="X59" s="503" t="e">
        <f>#REF!</f>
        <v>#REF!</v>
      </c>
      <c r="Y59" s="417" t="e">
        <f>Y60</f>
        <v>#REF!</v>
      </c>
      <c r="Z59" s="502" t="e">
        <f t="shared" si="10"/>
        <v>#REF!</v>
      </c>
      <c r="AA59" s="416" t="e">
        <f t="shared" si="8"/>
        <v>#REF!</v>
      </c>
      <c r="AB59" s="497" t="e">
        <f>#REF!</f>
        <v>#REF!</v>
      </c>
      <c r="AC59" s="497" t="e">
        <f t="shared" si="7"/>
        <v>#REF!</v>
      </c>
    </row>
    <row r="60" spans="1:29" ht="31.5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32</v>
      </c>
      <c r="K60" s="18" t="s">
        <v>62</v>
      </c>
      <c r="L60" s="19">
        <v>28096100</v>
      </c>
      <c r="M60" s="503">
        <f>jan!P61</f>
        <v>0</v>
      </c>
      <c r="N60" s="503" t="e">
        <f>#REF!</f>
        <v>#REF!</v>
      </c>
      <c r="O60" s="503" t="e">
        <f>#REF!</f>
        <v>#REF!</v>
      </c>
      <c r="P60" s="503" t="e">
        <f>#REF!</f>
        <v>#REF!</v>
      </c>
      <c r="Q60" s="503" t="e">
        <f>#REF!</f>
        <v>#REF!</v>
      </c>
      <c r="R60" s="503" t="e">
        <f>#REF!</f>
        <v>#REF!</v>
      </c>
      <c r="S60" s="503" t="e">
        <f>#REF!</f>
        <v>#REF!</v>
      </c>
      <c r="T60" s="503" t="e">
        <f>#REF!</f>
        <v>#REF!</v>
      </c>
      <c r="U60" s="503" t="e">
        <f>#REF!</f>
        <v>#REF!</v>
      </c>
      <c r="V60" s="503" t="e">
        <f>#REF!</f>
        <v>#REF!</v>
      </c>
      <c r="W60" s="503" t="e">
        <f>#REF!</f>
        <v>#REF!</v>
      </c>
      <c r="X60" s="503" t="e">
        <f>#REF!</f>
        <v>#REF!</v>
      </c>
      <c r="Y60" s="504" t="e">
        <f>SUM(M60:X60)</f>
        <v>#REF!</v>
      </c>
      <c r="Z60" s="501" t="e">
        <f t="shared" si="10"/>
        <v>#REF!</v>
      </c>
      <c r="AA60" s="415" t="e">
        <f t="shared" si="8"/>
        <v>#REF!</v>
      </c>
      <c r="AB60" s="497" t="e">
        <f>#REF!</f>
        <v>#REF!</v>
      </c>
      <c r="AC60" s="497" t="e">
        <f t="shared" si="7"/>
        <v>#REF!</v>
      </c>
    </row>
    <row r="61" spans="1:29" ht="31.5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433</v>
      </c>
      <c r="K61" s="18" t="s">
        <v>438</v>
      </c>
      <c r="L61" s="19">
        <v>5000000</v>
      </c>
      <c r="M61" s="503">
        <f>jan!P62</f>
        <v>0</v>
      </c>
      <c r="N61" s="503" t="e">
        <f>#REF!</f>
        <v>#REF!</v>
      </c>
      <c r="O61" s="503" t="e">
        <f>#REF!</f>
        <v>#REF!</v>
      </c>
      <c r="P61" s="503" t="e">
        <f>#REF!</f>
        <v>#REF!</v>
      </c>
      <c r="Q61" s="503" t="e">
        <f>#REF!</f>
        <v>#REF!</v>
      </c>
      <c r="R61" s="503" t="e">
        <f>#REF!</f>
        <v>#REF!</v>
      </c>
      <c r="S61" s="503" t="e">
        <f>#REF!</f>
        <v>#REF!</v>
      </c>
      <c r="T61" s="503" t="e">
        <f>#REF!</f>
        <v>#REF!</v>
      </c>
      <c r="U61" s="503" t="e">
        <f>#REF!</f>
        <v>#REF!</v>
      </c>
      <c r="V61" s="503" t="e">
        <f>#REF!</f>
        <v>#REF!</v>
      </c>
      <c r="W61" s="503" t="e">
        <f>#REF!</f>
        <v>#REF!</v>
      </c>
      <c r="X61" s="503" t="e">
        <f>#REF!</f>
        <v>#REF!</v>
      </c>
      <c r="Y61" s="417" t="e">
        <f>SUM(Y62:Y63)</f>
        <v>#REF!</v>
      </c>
      <c r="Z61" s="502" t="e">
        <f t="shared" si="10"/>
        <v>#REF!</v>
      </c>
      <c r="AA61" s="416" t="e">
        <f t="shared" si="8"/>
        <v>#REF!</v>
      </c>
      <c r="AB61" s="497" t="e">
        <f>#REF!</f>
        <v>#REF!</v>
      </c>
      <c r="AC61" s="497" t="e">
        <f t="shared" si="7"/>
        <v>#REF!</v>
      </c>
    </row>
    <row r="62" spans="1:29" ht="15.75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26</v>
      </c>
      <c r="K62" s="18" t="s">
        <v>437</v>
      </c>
      <c r="L62" s="19">
        <v>10000000</v>
      </c>
      <c r="M62" s="503" t="e">
        <f>jan!#REF!</f>
        <v>#REF!</v>
      </c>
      <c r="N62" s="503" t="e">
        <f>#REF!</f>
        <v>#REF!</v>
      </c>
      <c r="O62" s="503" t="e">
        <f>#REF!</f>
        <v>#REF!</v>
      </c>
      <c r="P62" s="503" t="e">
        <f>#REF!</f>
        <v>#REF!</v>
      </c>
      <c r="Q62" s="503" t="e">
        <f>#REF!</f>
        <v>#REF!</v>
      </c>
      <c r="R62" s="503" t="e">
        <f>#REF!</f>
        <v>#REF!</v>
      </c>
      <c r="S62" s="503" t="e">
        <f>#REF!</f>
        <v>#REF!</v>
      </c>
      <c r="T62" s="503" t="e">
        <f>#REF!</f>
        <v>#REF!</v>
      </c>
      <c r="U62" s="503" t="e">
        <f>#REF!</f>
        <v>#REF!</v>
      </c>
      <c r="V62" s="503" t="e">
        <f>#REF!</f>
        <v>#REF!</v>
      </c>
      <c r="W62" s="503" t="e">
        <f>#REF!</f>
        <v>#REF!</v>
      </c>
      <c r="X62" s="503" t="e">
        <f>#REF!</f>
        <v>#REF!</v>
      </c>
      <c r="Y62" s="504" t="e">
        <f>SUM(M62:X62)</f>
        <v>#REF!</v>
      </c>
      <c r="Z62" s="501" t="e">
        <f t="shared" si="10"/>
        <v>#REF!</v>
      </c>
      <c r="AA62" s="415" t="e">
        <f t="shared" si="8"/>
        <v>#REF!</v>
      </c>
      <c r="AB62" s="497" t="e">
        <f>#REF!</f>
        <v>#REF!</v>
      </c>
      <c r="AC62" s="497" t="e">
        <f t="shared" si="7"/>
        <v>#REF!</v>
      </c>
    </row>
    <row r="63" spans="1:29" ht="31.5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9">
        <v>12000000</v>
      </c>
      <c r="M63" s="503">
        <f>jan!P63</f>
        <v>0</v>
      </c>
      <c r="N63" s="503" t="e">
        <f>#REF!</f>
        <v>#REF!</v>
      </c>
      <c r="O63" s="503" t="e">
        <f>#REF!</f>
        <v>#REF!</v>
      </c>
      <c r="P63" s="503" t="e">
        <f>#REF!</f>
        <v>#REF!</v>
      </c>
      <c r="Q63" s="503" t="e">
        <f>#REF!</f>
        <v>#REF!</v>
      </c>
      <c r="R63" s="503" t="e">
        <f>#REF!</f>
        <v>#REF!</v>
      </c>
      <c r="S63" s="503" t="e">
        <f>#REF!</f>
        <v>#REF!</v>
      </c>
      <c r="T63" s="503" t="e">
        <f>#REF!</f>
        <v>#REF!</v>
      </c>
      <c r="U63" s="503" t="e">
        <f>#REF!</f>
        <v>#REF!</v>
      </c>
      <c r="V63" s="503" t="e">
        <f>#REF!</f>
        <v>#REF!</v>
      </c>
      <c r="W63" s="503" t="e">
        <f>#REF!</f>
        <v>#REF!</v>
      </c>
      <c r="X63" s="503" t="e">
        <f>#REF!</f>
        <v>#REF!</v>
      </c>
      <c r="Y63" s="504" t="e">
        <f>SUM(M63:X63)</f>
        <v>#REF!</v>
      </c>
      <c r="Z63" s="501"/>
      <c r="AA63" s="415" t="e">
        <f t="shared" si="8"/>
        <v>#REF!</v>
      </c>
      <c r="AB63" s="497" t="e">
        <f>#REF!</f>
        <v>#REF!</v>
      </c>
      <c r="AC63" s="497" t="e">
        <f t="shared" si="7"/>
        <v>#REF!</v>
      </c>
    </row>
    <row r="64" spans="1:29" ht="16.5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7">
        <f>L65</f>
        <v>10000000</v>
      </c>
      <c r="M64" s="503">
        <f>jan!P64</f>
        <v>0</v>
      </c>
      <c r="N64" s="503" t="e">
        <f>#REF!</f>
        <v>#REF!</v>
      </c>
      <c r="O64" s="503" t="e">
        <f>#REF!</f>
        <v>#REF!</v>
      </c>
      <c r="P64" s="503" t="e">
        <f>#REF!</f>
        <v>#REF!</v>
      </c>
      <c r="Q64" s="503" t="e">
        <f>#REF!</f>
        <v>#REF!</v>
      </c>
      <c r="R64" s="503" t="e">
        <f>#REF!</f>
        <v>#REF!</v>
      </c>
      <c r="S64" s="503" t="e">
        <f>#REF!</f>
        <v>#REF!</v>
      </c>
      <c r="T64" s="503" t="e">
        <f>#REF!</f>
        <v>#REF!</v>
      </c>
      <c r="U64" s="503" t="e">
        <f>#REF!</f>
        <v>#REF!</v>
      </c>
      <c r="V64" s="503" t="e">
        <f>#REF!</f>
        <v>#REF!</v>
      </c>
      <c r="W64" s="503" t="e">
        <f>#REF!</f>
        <v>#REF!</v>
      </c>
      <c r="X64" s="503" t="e">
        <f>#REF!</f>
        <v>#REF!</v>
      </c>
      <c r="Y64" s="417" t="e">
        <f>Y65+Y66</f>
        <v>#REF!</v>
      </c>
      <c r="Z64" s="502" t="e">
        <f t="shared" si="10"/>
        <v>#REF!</v>
      </c>
      <c r="AA64" s="416" t="e">
        <f t="shared" si="8"/>
        <v>#REF!</v>
      </c>
      <c r="AB64" s="497" t="e">
        <f>#REF!</f>
        <v>#REF!</v>
      </c>
      <c r="AC64" s="497" t="e">
        <f t="shared" si="7"/>
        <v>#REF!</v>
      </c>
    </row>
    <row r="65" spans="1:29" ht="31.5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44</v>
      </c>
      <c r="K65" s="18" t="s">
        <v>439</v>
      </c>
      <c r="L65" s="19">
        <v>10000000</v>
      </c>
      <c r="M65" s="503">
        <f>jan!P67</f>
        <v>0</v>
      </c>
      <c r="N65" s="503" t="e">
        <f>#REF!</f>
        <v>#REF!</v>
      </c>
      <c r="O65" s="503" t="e">
        <f>#REF!</f>
        <v>#REF!</v>
      </c>
      <c r="P65" s="503" t="e">
        <f>#REF!</f>
        <v>#REF!</v>
      </c>
      <c r="Q65" s="503" t="e">
        <f>#REF!</f>
        <v>#REF!</v>
      </c>
      <c r="R65" s="503" t="e">
        <f>#REF!</f>
        <v>#REF!</v>
      </c>
      <c r="S65" s="503" t="e">
        <f>#REF!</f>
        <v>#REF!</v>
      </c>
      <c r="T65" s="503" t="e">
        <f>#REF!</f>
        <v>#REF!</v>
      </c>
      <c r="U65" s="503" t="e">
        <f>#REF!</f>
        <v>#REF!</v>
      </c>
      <c r="V65" s="503" t="e">
        <f>#REF!</f>
        <v>#REF!</v>
      </c>
      <c r="W65" s="503" t="e">
        <f>#REF!</f>
        <v>#REF!</v>
      </c>
      <c r="X65" s="503" t="e">
        <f>#REF!</f>
        <v>#REF!</v>
      </c>
      <c r="Y65" s="504" t="e">
        <f>SUM(M65:X65)</f>
        <v>#REF!</v>
      </c>
      <c r="Z65" s="501" t="e">
        <f t="shared" si="10"/>
        <v>#REF!</v>
      </c>
      <c r="AA65" s="415" t="e">
        <f t="shared" si="8"/>
        <v>#REF!</v>
      </c>
      <c r="AB65" s="497" t="e">
        <f>#REF!</f>
        <v>#REF!</v>
      </c>
      <c r="AC65" s="497" t="e">
        <f t="shared" si="7"/>
        <v>#REF!</v>
      </c>
    </row>
    <row r="66" spans="1:29" ht="49.5">
      <c r="A66" s="561">
        <v>1</v>
      </c>
      <c r="B66" s="291" t="s">
        <v>17</v>
      </c>
      <c r="C66" s="291" t="s">
        <v>18</v>
      </c>
      <c r="D66" s="292">
        <v>38</v>
      </c>
      <c r="E66" s="291" t="s">
        <v>25</v>
      </c>
      <c r="F66" s="292">
        <v>5</v>
      </c>
      <c r="G66" s="292">
        <v>2</v>
      </c>
      <c r="H66" s="292">
        <v>2</v>
      </c>
      <c r="I66" s="291">
        <v>31</v>
      </c>
      <c r="J66" s="297"/>
      <c r="K66" s="298" t="s">
        <v>63</v>
      </c>
      <c r="L66" s="17">
        <f>L67+L68</f>
        <v>4800000</v>
      </c>
      <c r="M66" s="503">
        <f>jan!P68</f>
        <v>0</v>
      </c>
      <c r="N66" s="503" t="e">
        <f>#REF!</f>
        <v>#REF!</v>
      </c>
      <c r="O66" s="503" t="e">
        <f>#REF!</f>
        <v>#REF!</v>
      </c>
      <c r="P66" s="503" t="e">
        <f>#REF!</f>
        <v>#REF!</v>
      </c>
      <c r="Q66" s="503" t="e">
        <f>#REF!</f>
        <v>#REF!</v>
      </c>
      <c r="R66" s="503" t="e">
        <f>#REF!</f>
        <v>#REF!</v>
      </c>
      <c r="S66" s="503" t="e">
        <f>#REF!</f>
        <v>#REF!</v>
      </c>
      <c r="T66" s="503" t="e">
        <f>#REF!</f>
        <v>#REF!</v>
      </c>
      <c r="U66" s="503" t="e">
        <f>#REF!</f>
        <v>#REF!</v>
      </c>
      <c r="V66" s="503" t="e">
        <f>#REF!</f>
        <v>#REF!</v>
      </c>
      <c r="W66" s="503" t="e">
        <f>#REF!</f>
        <v>#REF!</v>
      </c>
      <c r="X66" s="503" t="e">
        <f>#REF!</f>
        <v>#REF!</v>
      </c>
      <c r="Y66" s="504" t="e">
        <f>SUM(M66:X66)</f>
        <v>#REF!</v>
      </c>
      <c r="Z66" s="501" t="e">
        <f t="shared" si="10"/>
        <v>#REF!</v>
      </c>
      <c r="AA66" s="415" t="e">
        <f t="shared" si="8"/>
        <v>#REF!</v>
      </c>
      <c r="AB66" s="497" t="e">
        <f>#REF!</f>
        <v>#REF!</v>
      </c>
      <c r="AC66" s="497" t="e">
        <f t="shared" si="7"/>
        <v>#REF!</v>
      </c>
    </row>
    <row r="67" spans="1:29" ht="15.75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31</v>
      </c>
      <c r="J67" s="289" t="s">
        <v>44</v>
      </c>
      <c r="K67" s="290" t="s">
        <v>64</v>
      </c>
      <c r="L67" s="19">
        <v>3200000</v>
      </c>
      <c r="M67" s="503">
        <f>jan!P69</f>
        <v>0</v>
      </c>
      <c r="N67" s="503" t="e">
        <f>#REF!</f>
        <v>#REF!</v>
      </c>
      <c r="O67" s="503" t="e">
        <f>#REF!</f>
        <v>#REF!</v>
      </c>
      <c r="P67" s="503" t="e">
        <f>#REF!</f>
        <v>#REF!</v>
      </c>
      <c r="Q67" s="503" t="e">
        <f>#REF!</f>
        <v>#REF!</v>
      </c>
      <c r="R67" s="503" t="e">
        <f>#REF!</f>
        <v>#REF!</v>
      </c>
      <c r="S67" s="503" t="e">
        <f>#REF!</f>
        <v>#REF!</v>
      </c>
      <c r="T67" s="503" t="e">
        <f>#REF!</f>
        <v>#REF!</v>
      </c>
      <c r="U67" s="503" t="e">
        <f>#REF!</f>
        <v>#REF!</v>
      </c>
      <c r="V67" s="503" t="e">
        <f>#REF!</f>
        <v>#REF!</v>
      </c>
      <c r="W67" s="503" t="e">
        <f>#REF!</f>
        <v>#REF!</v>
      </c>
      <c r="X67" s="503" t="e">
        <f>#REF!</f>
        <v>#REF!</v>
      </c>
      <c r="Y67" s="417" t="e">
        <f>Y68</f>
        <v>#REF!</v>
      </c>
      <c r="Z67" s="502" t="e">
        <f t="shared" si="10"/>
        <v>#REF!</v>
      </c>
      <c r="AA67" s="416" t="e">
        <f t="shared" si="8"/>
        <v>#REF!</v>
      </c>
      <c r="AB67" s="497" t="e">
        <f>#REF!</f>
        <v>#REF!</v>
      </c>
      <c r="AC67" s="497" t="e">
        <f t="shared" si="7"/>
        <v>#REF!</v>
      </c>
    </row>
    <row r="68" spans="1:29" ht="15.75">
      <c r="A68" s="562">
        <v>1</v>
      </c>
      <c r="B68" s="287" t="s">
        <v>17</v>
      </c>
      <c r="C68" s="287" t="s">
        <v>18</v>
      </c>
      <c r="D68" s="288">
        <v>38</v>
      </c>
      <c r="E68" s="287" t="s">
        <v>25</v>
      </c>
      <c r="F68" s="288">
        <v>5</v>
      </c>
      <c r="G68" s="288">
        <v>2</v>
      </c>
      <c r="H68" s="288">
        <v>2</v>
      </c>
      <c r="I68" s="287">
        <v>31</v>
      </c>
      <c r="J68" s="289" t="s">
        <v>32</v>
      </c>
      <c r="K68" s="290" t="s">
        <v>171</v>
      </c>
      <c r="L68" s="19">
        <v>1600000</v>
      </c>
      <c r="M68" s="503">
        <f>jan!P70</f>
        <v>0</v>
      </c>
      <c r="N68" s="503" t="e">
        <f>#REF!</f>
        <v>#REF!</v>
      </c>
      <c r="O68" s="503" t="e">
        <f>#REF!</f>
        <v>#REF!</v>
      </c>
      <c r="P68" s="503" t="e">
        <f>#REF!</f>
        <v>#REF!</v>
      </c>
      <c r="Q68" s="503" t="e">
        <f>#REF!</f>
        <v>#REF!</v>
      </c>
      <c r="R68" s="503" t="e">
        <f>#REF!</f>
        <v>#REF!</v>
      </c>
      <c r="S68" s="503" t="e">
        <f>#REF!</f>
        <v>#REF!</v>
      </c>
      <c r="T68" s="503" t="e">
        <f>#REF!</f>
        <v>#REF!</v>
      </c>
      <c r="U68" s="503" t="e">
        <f>#REF!</f>
        <v>#REF!</v>
      </c>
      <c r="V68" s="503" t="e">
        <f>#REF!</f>
        <v>#REF!</v>
      </c>
      <c r="W68" s="503" t="e">
        <f>#REF!</f>
        <v>#REF!</v>
      </c>
      <c r="X68" s="503" t="e">
        <f>#REF!</f>
        <v>#REF!</v>
      </c>
      <c r="Y68" s="504" t="e">
        <f>SUM(M68:X68)</f>
        <v>#REF!</v>
      </c>
      <c r="Z68" s="501" t="e">
        <f t="shared" si="10"/>
        <v>#REF!</v>
      </c>
      <c r="AA68" s="415" t="e">
        <f t="shared" si="8"/>
        <v>#REF!</v>
      </c>
      <c r="AB68" s="497" t="e">
        <f>#REF!</f>
        <v>#REF!</v>
      </c>
      <c r="AC68" s="497" t="e">
        <f t="shared" si="7"/>
        <v>#REF!</v>
      </c>
    </row>
    <row r="69" spans="1:29" ht="16.5">
      <c r="A69" s="561">
        <v>1</v>
      </c>
      <c r="B69" s="291" t="s">
        <v>17</v>
      </c>
      <c r="C69" s="291" t="s">
        <v>18</v>
      </c>
      <c r="D69" s="292">
        <v>38</v>
      </c>
      <c r="E69" s="291" t="s">
        <v>25</v>
      </c>
      <c r="F69" s="292">
        <v>5</v>
      </c>
      <c r="G69" s="292">
        <v>2</v>
      </c>
      <c r="H69" s="292">
        <v>2</v>
      </c>
      <c r="I69" s="291">
        <v>32</v>
      </c>
      <c r="J69" s="297"/>
      <c r="K69" s="298" t="s">
        <v>172</v>
      </c>
      <c r="L69" s="17">
        <f>L70</f>
        <v>7000000</v>
      </c>
      <c r="M69" s="503" t="e">
        <f>jan!#REF!</f>
        <v>#REF!</v>
      </c>
      <c r="N69" s="503" t="e">
        <f>#REF!</f>
        <v>#REF!</v>
      </c>
      <c r="O69" s="503" t="e">
        <f>#REF!</f>
        <v>#REF!</v>
      </c>
      <c r="P69" s="503" t="e">
        <f>#REF!</f>
        <v>#REF!</v>
      </c>
      <c r="Q69" s="503" t="e">
        <f>#REF!</f>
        <v>#REF!</v>
      </c>
      <c r="R69" s="503" t="e">
        <f>#REF!</f>
        <v>#REF!</v>
      </c>
      <c r="S69" s="503" t="e">
        <f>#REF!</f>
        <v>#REF!</v>
      </c>
      <c r="T69" s="503" t="e">
        <f>#REF!</f>
        <v>#REF!</v>
      </c>
      <c r="U69" s="503" t="e">
        <f>#REF!</f>
        <v>#REF!</v>
      </c>
      <c r="V69" s="503" t="e">
        <f>#REF!</f>
        <v>#REF!</v>
      </c>
      <c r="W69" s="503" t="e">
        <f>#REF!</f>
        <v>#REF!</v>
      </c>
      <c r="X69" s="503" t="e">
        <f>#REF!</f>
        <v>#REF!</v>
      </c>
      <c r="Y69" s="417" t="e">
        <f>Y70</f>
        <v>#REF!</v>
      </c>
      <c r="Z69" s="502" t="e">
        <f t="shared" si="10"/>
        <v>#REF!</v>
      </c>
      <c r="AA69" s="416" t="e">
        <f t="shared" si="8"/>
        <v>#REF!</v>
      </c>
      <c r="AB69" s="497" t="e">
        <f>#REF!</f>
        <v>#REF!</v>
      </c>
      <c r="AC69" s="497" t="e">
        <f t="shared" si="7"/>
        <v>#REF!</v>
      </c>
    </row>
    <row r="70" spans="1:29" ht="31.5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32</v>
      </c>
      <c r="J70" s="289" t="s">
        <v>18</v>
      </c>
      <c r="K70" s="290" t="s">
        <v>366</v>
      </c>
      <c r="L70" s="19">
        <v>7000000</v>
      </c>
      <c r="M70" s="503" t="e">
        <f>jan!#REF!</f>
        <v>#REF!</v>
      </c>
      <c r="N70" s="503" t="e">
        <f>#REF!</f>
        <v>#REF!</v>
      </c>
      <c r="O70" s="503" t="e">
        <f>#REF!</f>
        <v>#REF!</v>
      </c>
      <c r="P70" s="503" t="e">
        <f>#REF!</f>
        <v>#REF!</v>
      </c>
      <c r="Q70" s="503" t="e">
        <f>#REF!</f>
        <v>#REF!</v>
      </c>
      <c r="R70" s="503" t="e">
        <f>#REF!</f>
        <v>#REF!</v>
      </c>
      <c r="S70" s="503" t="e">
        <f>#REF!</f>
        <v>#REF!</v>
      </c>
      <c r="T70" s="503" t="e">
        <f>#REF!</f>
        <v>#REF!</v>
      </c>
      <c r="U70" s="503" t="e">
        <f>#REF!</f>
        <v>#REF!</v>
      </c>
      <c r="V70" s="503" t="e">
        <f>#REF!</f>
        <v>#REF!</v>
      </c>
      <c r="W70" s="503" t="e">
        <f>#REF!</f>
        <v>#REF!</v>
      </c>
      <c r="X70" s="503" t="e">
        <f>#REF!</f>
        <v>#REF!</v>
      </c>
      <c r="Y70" s="504" t="e">
        <f>SUM(M70:X70)</f>
        <v>#REF!</v>
      </c>
      <c r="Z70" s="501" t="e">
        <f t="shared" si="10"/>
        <v>#REF!</v>
      </c>
      <c r="AA70" s="415" t="e">
        <f t="shared" si="8"/>
        <v>#REF!</v>
      </c>
      <c r="AB70" s="497" t="e">
        <f>#REF!</f>
        <v>#REF!</v>
      </c>
      <c r="AC70" s="497" t="e">
        <f t="shared" si="7"/>
        <v>#REF!</v>
      </c>
    </row>
    <row r="71" spans="1:29" ht="16.5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7">
        <f>L72</f>
        <v>31875000</v>
      </c>
      <c r="M71" s="503">
        <f>jan!P73</f>
        <v>0</v>
      </c>
      <c r="N71" s="503" t="e">
        <f>#REF!</f>
        <v>#REF!</v>
      </c>
      <c r="O71" s="503" t="e">
        <f>#REF!</f>
        <v>#REF!</v>
      </c>
      <c r="P71" s="503" t="e">
        <f>#REF!</f>
        <v>#REF!</v>
      </c>
      <c r="Q71" s="503" t="e">
        <f>#REF!</f>
        <v>#REF!</v>
      </c>
      <c r="R71" s="503" t="e">
        <f>#REF!</f>
        <v>#REF!</v>
      </c>
      <c r="S71" s="503" t="e">
        <f>#REF!</f>
        <v>#REF!</v>
      </c>
      <c r="T71" s="503" t="e">
        <f>#REF!</f>
        <v>#REF!</v>
      </c>
      <c r="U71" s="503" t="e">
        <f>#REF!</f>
        <v>#REF!</v>
      </c>
      <c r="V71" s="503" t="e">
        <f>#REF!</f>
        <v>#REF!</v>
      </c>
      <c r="W71" s="503" t="e">
        <f>#REF!</f>
        <v>#REF!</v>
      </c>
      <c r="X71" s="503" t="e">
        <f>#REF!</f>
        <v>#REF!</v>
      </c>
      <c r="Y71" s="504" t="e">
        <f>SUM(M71:X71)</f>
        <v>#REF!</v>
      </c>
      <c r="Z71" s="501"/>
      <c r="AA71" s="415" t="e">
        <f t="shared" si="8"/>
        <v>#REF!</v>
      </c>
      <c r="AB71" s="497" t="e">
        <f>#REF!</f>
        <v>#REF!</v>
      </c>
      <c r="AC71" s="497" t="e">
        <f t="shared" si="7"/>
        <v>#REF!</v>
      </c>
    </row>
    <row r="72" spans="1:29" ht="15.75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9">
        <v>31875000</v>
      </c>
      <c r="M72" s="503">
        <f>jan!P74</f>
        <v>0</v>
      </c>
      <c r="N72" s="503" t="e">
        <f>#REF!</f>
        <v>#REF!</v>
      </c>
      <c r="O72" s="503" t="e">
        <f>#REF!</f>
        <v>#REF!</v>
      </c>
      <c r="P72" s="503" t="e">
        <f>#REF!</f>
        <v>#REF!</v>
      </c>
      <c r="Q72" s="503" t="e">
        <f>#REF!</f>
        <v>#REF!</v>
      </c>
      <c r="R72" s="503" t="e">
        <f>#REF!</f>
        <v>#REF!</v>
      </c>
      <c r="S72" s="503" t="e">
        <f>#REF!</f>
        <v>#REF!</v>
      </c>
      <c r="T72" s="503" t="e">
        <f>#REF!</f>
        <v>#REF!</v>
      </c>
      <c r="U72" s="503" t="e">
        <f>#REF!</f>
        <v>#REF!</v>
      </c>
      <c r="V72" s="503" t="e">
        <f>#REF!</f>
        <v>#REF!</v>
      </c>
      <c r="W72" s="503" t="e">
        <f>#REF!</f>
        <v>#REF!</v>
      </c>
      <c r="X72" s="503" t="e">
        <f>#REF!</f>
        <v>#REF!</v>
      </c>
      <c r="Y72" s="509" t="e">
        <f>Y73+Y76+Y79+Y82+Y86</f>
        <v>#REF!</v>
      </c>
      <c r="Z72" s="498" t="e">
        <f t="shared" si="10"/>
        <v>#REF!</v>
      </c>
      <c r="AA72" s="414" t="e">
        <f t="shared" si="8"/>
        <v>#REF!</v>
      </c>
      <c r="AB72" s="497" t="e">
        <f>#REF!</f>
        <v>#REF!</v>
      </c>
      <c r="AC72" s="497" t="e">
        <f t="shared" si="7"/>
        <v>#REF!</v>
      </c>
    </row>
    <row r="73" spans="1:29" ht="16.5">
      <c r="A73" s="561"/>
      <c r="B73" s="291"/>
      <c r="C73" s="291"/>
      <c r="D73" s="291"/>
      <c r="E73" s="291"/>
      <c r="F73" s="291"/>
      <c r="G73" s="292"/>
      <c r="H73" s="292"/>
      <c r="I73" s="292"/>
      <c r="J73" s="293"/>
      <c r="K73" s="295"/>
      <c r="L73" s="5"/>
      <c r="M73" s="503">
        <f>jan!P75</f>
        <v>0</v>
      </c>
      <c r="N73" s="503" t="e">
        <f>#REF!</f>
        <v>#REF!</v>
      </c>
      <c r="O73" s="503" t="e">
        <f>#REF!</f>
        <v>#REF!</v>
      </c>
      <c r="P73" s="503" t="e">
        <f>#REF!</f>
        <v>#REF!</v>
      </c>
      <c r="Q73" s="503" t="e">
        <f>#REF!</f>
        <v>#REF!</v>
      </c>
      <c r="R73" s="503" t="e">
        <f>#REF!</f>
        <v>#REF!</v>
      </c>
      <c r="S73" s="503" t="e">
        <f>#REF!</f>
        <v>#REF!</v>
      </c>
      <c r="T73" s="503" t="e">
        <f>#REF!</f>
        <v>#REF!</v>
      </c>
      <c r="U73" s="503" t="e">
        <f>#REF!</f>
        <v>#REF!</v>
      </c>
      <c r="V73" s="503" t="e">
        <f>#REF!</f>
        <v>#REF!</v>
      </c>
      <c r="W73" s="503" t="e">
        <f>#REF!</f>
        <v>#REF!</v>
      </c>
      <c r="X73" s="503" t="e">
        <f>#REF!</f>
        <v>#REF!</v>
      </c>
      <c r="Y73" s="416" t="e">
        <f>SUM(Y74:Y75)</f>
        <v>#REF!</v>
      </c>
      <c r="Z73" s="502" t="e">
        <f t="shared" si="10"/>
        <v>#REF!</v>
      </c>
      <c r="AA73" s="416" t="e">
        <f t="shared" si="8"/>
        <v>#REF!</v>
      </c>
      <c r="AB73" s="497" t="e">
        <f>#REF!</f>
        <v>#REF!</v>
      </c>
      <c r="AC73" s="497" t="e">
        <f t="shared" si="7"/>
        <v>#REF!</v>
      </c>
    </row>
    <row r="74" spans="1:29" ht="45" customHeight="1">
      <c r="A74" s="561">
        <v>1</v>
      </c>
      <c r="B74" s="291" t="s">
        <v>17</v>
      </c>
      <c r="C74" s="291" t="s">
        <v>18</v>
      </c>
      <c r="D74" s="292">
        <v>38</v>
      </c>
      <c r="E74" s="291" t="s">
        <v>25</v>
      </c>
      <c r="F74" s="292">
        <v>5</v>
      </c>
      <c r="G74" s="292">
        <v>2</v>
      </c>
      <c r="H74" s="292">
        <v>3</v>
      </c>
      <c r="I74" s="291"/>
      <c r="J74" s="297"/>
      <c r="K74" s="298" t="s">
        <v>67</v>
      </c>
      <c r="L74" s="17">
        <f>L75+L77+L81+L83+L88</f>
        <v>203173200</v>
      </c>
      <c r="M74" s="503">
        <f>jan!P76</f>
        <v>0</v>
      </c>
      <c r="N74" s="503" t="e">
        <f>#REF!</f>
        <v>#REF!</v>
      </c>
      <c r="O74" s="503" t="e">
        <f>#REF!</f>
        <v>#REF!</v>
      </c>
      <c r="P74" s="503" t="e">
        <f>#REF!</f>
        <v>#REF!</v>
      </c>
      <c r="Q74" s="503" t="e">
        <f>#REF!</f>
        <v>#REF!</v>
      </c>
      <c r="R74" s="503" t="e">
        <f>#REF!</f>
        <v>#REF!</v>
      </c>
      <c r="S74" s="503" t="e">
        <f>#REF!</f>
        <v>#REF!</v>
      </c>
      <c r="T74" s="503" t="e">
        <f>#REF!</f>
        <v>#REF!</v>
      </c>
      <c r="U74" s="503" t="e">
        <f>#REF!</f>
        <v>#REF!</v>
      </c>
      <c r="V74" s="503" t="e">
        <f>#REF!</f>
        <v>#REF!</v>
      </c>
      <c r="W74" s="503" t="e">
        <f>#REF!</f>
        <v>#REF!</v>
      </c>
      <c r="X74" s="503" t="e">
        <f>#REF!</f>
        <v>#REF!</v>
      </c>
      <c r="Y74" s="504" t="e">
        <f>SUM(M74:X74)</f>
        <v>#REF!</v>
      </c>
      <c r="Z74" s="501" t="e">
        <f t="shared" si="10"/>
        <v>#REF!</v>
      </c>
      <c r="AA74" s="415" t="e">
        <f t="shared" si="8"/>
        <v>#REF!</v>
      </c>
      <c r="AB74" s="497" t="e">
        <f>#REF!</f>
        <v>#REF!</v>
      </c>
      <c r="AC74" s="497" t="e">
        <f t="shared" si="7"/>
        <v>#REF!</v>
      </c>
    </row>
    <row r="75" spans="1:29" ht="33">
      <c r="A75" s="561">
        <v>1</v>
      </c>
      <c r="B75" s="291" t="s">
        <v>17</v>
      </c>
      <c r="C75" s="291" t="s">
        <v>18</v>
      </c>
      <c r="D75" s="292">
        <v>38</v>
      </c>
      <c r="E75" s="291" t="s">
        <v>25</v>
      </c>
      <c r="F75" s="292">
        <v>5</v>
      </c>
      <c r="G75" s="292">
        <v>2</v>
      </c>
      <c r="H75" s="292">
        <v>3</v>
      </c>
      <c r="I75" s="291">
        <v>27</v>
      </c>
      <c r="J75" s="297"/>
      <c r="K75" s="298" t="s">
        <v>68</v>
      </c>
      <c r="L75" s="17">
        <f>L76</f>
        <v>6000000</v>
      </c>
      <c r="M75" s="503">
        <f>jan!P77</f>
        <v>0</v>
      </c>
      <c r="N75" s="503" t="e">
        <f>#REF!</f>
        <v>#REF!</v>
      </c>
      <c r="O75" s="503" t="e">
        <f>#REF!</f>
        <v>#REF!</v>
      </c>
      <c r="P75" s="503" t="e">
        <f>#REF!</f>
        <v>#REF!</v>
      </c>
      <c r="Q75" s="503" t="e">
        <f>#REF!</f>
        <v>#REF!</v>
      </c>
      <c r="R75" s="503" t="e">
        <f>#REF!</f>
        <v>#REF!</v>
      </c>
      <c r="S75" s="503" t="e">
        <f>#REF!</f>
        <v>#REF!</v>
      </c>
      <c r="T75" s="503" t="e">
        <f>#REF!</f>
        <v>#REF!</v>
      </c>
      <c r="U75" s="503" t="e">
        <f>#REF!</f>
        <v>#REF!</v>
      </c>
      <c r="V75" s="503" t="e">
        <f>#REF!</f>
        <v>#REF!</v>
      </c>
      <c r="W75" s="503" t="e">
        <f>#REF!</f>
        <v>#REF!</v>
      </c>
      <c r="X75" s="503" t="e">
        <f>#REF!</f>
        <v>#REF!</v>
      </c>
      <c r="Y75" s="504" t="e">
        <f>SUM(M75:X75)</f>
        <v>#REF!</v>
      </c>
      <c r="Z75" s="501"/>
      <c r="AA75" s="415" t="e">
        <f t="shared" si="8"/>
        <v>#REF!</v>
      </c>
      <c r="AB75" s="497" t="e">
        <f>#REF!</f>
        <v>#REF!</v>
      </c>
      <c r="AC75" s="497" t="e">
        <f t="shared" si="7"/>
        <v>#REF!</v>
      </c>
    </row>
    <row r="76" spans="1:29" ht="47.25">
      <c r="A76" s="562">
        <v>1</v>
      </c>
      <c r="B76" s="287" t="s">
        <v>17</v>
      </c>
      <c r="C76" s="287" t="s">
        <v>18</v>
      </c>
      <c r="D76" s="288">
        <v>38</v>
      </c>
      <c r="E76" s="287" t="s">
        <v>25</v>
      </c>
      <c r="F76" s="288">
        <v>5</v>
      </c>
      <c r="G76" s="288">
        <v>2</v>
      </c>
      <c r="H76" s="288">
        <v>3</v>
      </c>
      <c r="I76" s="287">
        <v>27</v>
      </c>
      <c r="J76" s="289" t="s">
        <v>32</v>
      </c>
      <c r="K76" s="290" t="s">
        <v>69</v>
      </c>
      <c r="L76" s="19">
        <v>6000000</v>
      </c>
      <c r="M76" s="503">
        <f>jan!P78</f>
        <v>0</v>
      </c>
      <c r="N76" s="503" t="e">
        <f>#REF!</f>
        <v>#REF!</v>
      </c>
      <c r="O76" s="503" t="e">
        <f>#REF!</f>
        <v>#REF!</v>
      </c>
      <c r="P76" s="503" t="e">
        <f>#REF!</f>
        <v>#REF!</v>
      </c>
      <c r="Q76" s="503" t="e">
        <f>#REF!</f>
        <v>#REF!</v>
      </c>
      <c r="R76" s="503" t="e">
        <f>#REF!</f>
        <v>#REF!</v>
      </c>
      <c r="S76" s="503" t="e">
        <f>#REF!</f>
        <v>#REF!</v>
      </c>
      <c r="T76" s="503" t="e">
        <f>#REF!</f>
        <v>#REF!</v>
      </c>
      <c r="U76" s="503" t="e">
        <f>#REF!</f>
        <v>#REF!</v>
      </c>
      <c r="V76" s="503" t="e">
        <f>#REF!</f>
        <v>#REF!</v>
      </c>
      <c r="W76" s="503" t="e">
        <f>#REF!</f>
        <v>#REF!</v>
      </c>
      <c r="X76" s="503" t="e">
        <f>#REF!</f>
        <v>#REF!</v>
      </c>
      <c r="Y76" s="416" t="e">
        <f>SUM(Y77:Y78)</f>
        <v>#REF!</v>
      </c>
      <c r="Z76" s="502" t="e">
        <f t="shared" si="10"/>
        <v>#REF!</v>
      </c>
      <c r="AA76" s="416" t="e">
        <f t="shared" si="8"/>
        <v>#REF!</v>
      </c>
      <c r="AB76" s="497" t="e">
        <f>#REF!</f>
        <v>#REF!</v>
      </c>
      <c r="AC76" s="497" t="e">
        <f t="shared" si="7"/>
        <v>#REF!</v>
      </c>
    </row>
    <row r="77" spans="1:29" ht="33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28</v>
      </c>
      <c r="J77" s="297"/>
      <c r="K77" s="298" t="s">
        <v>70</v>
      </c>
      <c r="L77" s="17">
        <f>SUM(L78:L80)</f>
        <v>40740000</v>
      </c>
      <c r="M77" s="503">
        <f>jan!P79</f>
        <v>0</v>
      </c>
      <c r="N77" s="503" t="e">
        <f>#REF!</f>
        <v>#REF!</v>
      </c>
      <c r="O77" s="503" t="e">
        <f>#REF!</f>
        <v>#REF!</v>
      </c>
      <c r="P77" s="503" t="e">
        <f>#REF!</f>
        <v>#REF!</v>
      </c>
      <c r="Q77" s="503" t="e">
        <f>#REF!</f>
        <v>#REF!</v>
      </c>
      <c r="R77" s="503" t="e">
        <f>#REF!</f>
        <v>#REF!</v>
      </c>
      <c r="S77" s="503" t="e">
        <f>#REF!</f>
        <v>#REF!</v>
      </c>
      <c r="T77" s="503" t="e">
        <f>#REF!</f>
        <v>#REF!</v>
      </c>
      <c r="U77" s="503" t="e">
        <f>#REF!</f>
        <v>#REF!</v>
      </c>
      <c r="V77" s="503" t="e">
        <f>#REF!</f>
        <v>#REF!</v>
      </c>
      <c r="W77" s="503" t="e">
        <f>#REF!</f>
        <v>#REF!</v>
      </c>
      <c r="X77" s="503" t="e">
        <f>#REF!</f>
        <v>#REF!</v>
      </c>
      <c r="Y77" s="504" t="e">
        <f>SUM(M77:X77)</f>
        <v>#REF!</v>
      </c>
      <c r="Z77" s="501" t="e">
        <f t="shared" si="10"/>
        <v>#REF!</v>
      </c>
      <c r="AA77" s="415" t="e">
        <f t="shared" si="8"/>
        <v>#REF!</v>
      </c>
      <c r="AB77" s="497" t="e">
        <f>#REF!</f>
        <v>#REF!</v>
      </c>
      <c r="AC77" s="497" t="e">
        <f t="shared" si="7"/>
        <v>#REF!</v>
      </c>
    </row>
    <row r="78" spans="1:29" ht="31.5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28</v>
      </c>
      <c r="J78" s="289" t="s">
        <v>18</v>
      </c>
      <c r="K78" s="290" t="s">
        <v>176</v>
      </c>
      <c r="L78" s="19">
        <v>15000000</v>
      </c>
      <c r="M78" s="503">
        <f>jan!P80</f>
        <v>0</v>
      </c>
      <c r="N78" s="503" t="e">
        <f>#REF!</f>
        <v>#REF!</v>
      </c>
      <c r="O78" s="503" t="e">
        <f>#REF!</f>
        <v>#REF!</v>
      </c>
      <c r="P78" s="503" t="e">
        <f>#REF!</f>
        <v>#REF!</v>
      </c>
      <c r="Q78" s="503" t="e">
        <f>#REF!</f>
        <v>#REF!</v>
      </c>
      <c r="R78" s="503" t="e">
        <f>#REF!</f>
        <v>#REF!</v>
      </c>
      <c r="S78" s="503" t="e">
        <f>#REF!</f>
        <v>#REF!</v>
      </c>
      <c r="T78" s="503" t="e">
        <f>#REF!</f>
        <v>#REF!</v>
      </c>
      <c r="U78" s="503" t="e">
        <f>#REF!</f>
        <v>#REF!</v>
      </c>
      <c r="V78" s="503" t="e">
        <f>#REF!</f>
        <v>#REF!</v>
      </c>
      <c r="W78" s="503" t="e">
        <f>#REF!</f>
        <v>#REF!</v>
      </c>
      <c r="X78" s="503" t="e">
        <f>#REF!</f>
        <v>#REF!</v>
      </c>
      <c r="Y78" s="504" t="e">
        <f>SUM(M78:X78)</f>
        <v>#REF!</v>
      </c>
      <c r="Z78" s="501"/>
      <c r="AA78" s="415" t="e">
        <f t="shared" si="8"/>
        <v>#REF!</v>
      </c>
      <c r="AB78" s="497" t="e">
        <f>#REF!</f>
        <v>#REF!</v>
      </c>
      <c r="AC78" s="497" t="e">
        <f t="shared" si="7"/>
        <v>#REF!</v>
      </c>
    </row>
    <row r="79" spans="1:29" ht="31.5">
      <c r="A79" s="562">
        <v>1</v>
      </c>
      <c r="B79" s="287" t="s">
        <v>17</v>
      </c>
      <c r="C79" s="287" t="s">
        <v>18</v>
      </c>
      <c r="D79" s="288">
        <v>38</v>
      </c>
      <c r="E79" s="287" t="s">
        <v>25</v>
      </c>
      <c r="F79" s="288">
        <v>5</v>
      </c>
      <c r="G79" s="288">
        <v>2</v>
      </c>
      <c r="H79" s="288">
        <v>3</v>
      </c>
      <c r="I79" s="287">
        <v>28</v>
      </c>
      <c r="J79" s="289" t="s">
        <v>32</v>
      </c>
      <c r="K79" s="290" t="s">
        <v>440</v>
      </c>
      <c r="L79" s="19">
        <v>6740000</v>
      </c>
      <c r="M79" s="503">
        <f>jan!P81</f>
        <v>0</v>
      </c>
      <c r="N79" s="503" t="e">
        <f>#REF!</f>
        <v>#REF!</v>
      </c>
      <c r="O79" s="503" t="e">
        <f>#REF!</f>
        <v>#REF!</v>
      </c>
      <c r="P79" s="503" t="e">
        <f>#REF!</f>
        <v>#REF!</v>
      </c>
      <c r="Q79" s="503" t="e">
        <f>#REF!</f>
        <v>#REF!</v>
      </c>
      <c r="R79" s="503" t="e">
        <f>#REF!</f>
        <v>#REF!</v>
      </c>
      <c r="S79" s="503" t="e">
        <f>#REF!</f>
        <v>#REF!</v>
      </c>
      <c r="T79" s="503" t="e">
        <f>#REF!</f>
        <v>#REF!</v>
      </c>
      <c r="U79" s="503" t="e">
        <f>#REF!</f>
        <v>#REF!</v>
      </c>
      <c r="V79" s="503" t="e">
        <f>#REF!</f>
        <v>#REF!</v>
      </c>
      <c r="W79" s="503" t="e">
        <f>#REF!</f>
        <v>#REF!</v>
      </c>
      <c r="X79" s="503" t="e">
        <f>#REF!</f>
        <v>#REF!</v>
      </c>
      <c r="Y79" s="416" t="e">
        <f>SUM(Y80:Y81)</f>
        <v>#REF!</v>
      </c>
      <c r="Z79" s="502" t="e">
        <f t="shared" si="10"/>
        <v>#REF!</v>
      </c>
      <c r="AA79" s="416" t="e">
        <f t="shared" si="8"/>
        <v>#REF!</v>
      </c>
      <c r="AB79" s="497" t="e">
        <f>#REF!</f>
        <v>#REF!</v>
      </c>
      <c r="AC79" s="497" t="e">
        <f t="shared" si="7"/>
        <v>#REF!</v>
      </c>
    </row>
    <row r="80" spans="1:29" ht="47.25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28</v>
      </c>
      <c r="J80" s="289" t="s">
        <v>25</v>
      </c>
      <c r="K80" s="290" t="s">
        <v>441</v>
      </c>
      <c r="L80" s="19">
        <v>19000000</v>
      </c>
      <c r="M80" s="503" t="e">
        <f>jan!#REF!</f>
        <v>#REF!</v>
      </c>
      <c r="N80" s="503" t="e">
        <f>#REF!</f>
        <v>#REF!</v>
      </c>
      <c r="O80" s="503" t="e">
        <f>#REF!</f>
        <v>#REF!</v>
      </c>
      <c r="P80" s="503" t="e">
        <f>#REF!</f>
        <v>#REF!</v>
      </c>
      <c r="Q80" s="503" t="e">
        <f>#REF!</f>
        <v>#REF!</v>
      </c>
      <c r="R80" s="503" t="e">
        <f>#REF!</f>
        <v>#REF!</v>
      </c>
      <c r="S80" s="503" t="e">
        <f>#REF!</f>
        <v>#REF!</v>
      </c>
      <c r="T80" s="503" t="e">
        <f>#REF!</f>
        <v>#REF!</v>
      </c>
      <c r="U80" s="503" t="e">
        <f>#REF!</f>
        <v>#REF!</v>
      </c>
      <c r="V80" s="503" t="e">
        <f>#REF!</f>
        <v>#REF!</v>
      </c>
      <c r="W80" s="503" t="e">
        <f>#REF!</f>
        <v>#REF!</v>
      </c>
      <c r="X80" s="503" t="e">
        <f>#REF!</f>
        <v>#REF!</v>
      </c>
      <c r="Y80" s="504" t="e">
        <f>SUM(M80:X80)</f>
        <v>#REF!</v>
      </c>
      <c r="Z80" s="501" t="e">
        <f t="shared" si="10"/>
        <v>#REF!</v>
      </c>
      <c r="AA80" s="415" t="e">
        <f t="shared" si="8"/>
        <v>#REF!</v>
      </c>
      <c r="AB80" s="497" t="e">
        <f>#REF!</f>
        <v>#REF!</v>
      </c>
      <c r="AC80" s="497" t="e">
        <f t="shared" si="7"/>
        <v>#REF!</v>
      </c>
    </row>
    <row r="81" spans="1:32" ht="33">
      <c r="A81" s="561">
        <v>1</v>
      </c>
      <c r="B81" s="291" t="s">
        <v>17</v>
      </c>
      <c r="C81" s="291" t="s">
        <v>18</v>
      </c>
      <c r="D81" s="292">
        <v>38</v>
      </c>
      <c r="E81" s="291" t="s">
        <v>25</v>
      </c>
      <c r="F81" s="292">
        <v>5</v>
      </c>
      <c r="G81" s="292">
        <v>2</v>
      </c>
      <c r="H81" s="292">
        <v>3</v>
      </c>
      <c r="I81" s="291">
        <v>29</v>
      </c>
      <c r="J81" s="297"/>
      <c r="K81" s="298" t="s">
        <v>71</v>
      </c>
      <c r="L81" s="17">
        <f>L82</f>
        <v>6294000</v>
      </c>
      <c r="M81" s="503">
        <f>jan!P82</f>
        <v>0</v>
      </c>
      <c r="N81" s="503" t="e">
        <f>#REF!</f>
        <v>#REF!</v>
      </c>
      <c r="O81" s="503" t="e">
        <f>#REF!</f>
        <v>#REF!</v>
      </c>
      <c r="P81" s="503" t="e">
        <f>#REF!</f>
        <v>#REF!</v>
      </c>
      <c r="Q81" s="503" t="e">
        <f>#REF!</f>
        <v>#REF!</v>
      </c>
      <c r="R81" s="503" t="e">
        <f>#REF!</f>
        <v>#REF!</v>
      </c>
      <c r="S81" s="503" t="e">
        <f>#REF!</f>
        <v>#REF!</v>
      </c>
      <c r="T81" s="503" t="e">
        <f>#REF!</f>
        <v>#REF!</v>
      </c>
      <c r="U81" s="503" t="e">
        <f>#REF!</f>
        <v>#REF!</v>
      </c>
      <c r="V81" s="503" t="e">
        <f>#REF!</f>
        <v>#REF!</v>
      </c>
      <c r="W81" s="503" t="e">
        <f>#REF!</f>
        <v>#REF!</v>
      </c>
      <c r="X81" s="503" t="e">
        <f>#REF!</f>
        <v>#REF!</v>
      </c>
      <c r="Y81" s="504" t="e">
        <f>SUM(M81:X81)</f>
        <v>#REF!</v>
      </c>
      <c r="Z81" s="501"/>
      <c r="AA81" s="415" t="e">
        <f t="shared" si="8"/>
        <v>#REF!</v>
      </c>
      <c r="AB81" s="497" t="e">
        <f>#REF!</f>
        <v>#REF!</v>
      </c>
      <c r="AC81" s="497" t="e">
        <f t="shared" si="7"/>
        <v>#REF!</v>
      </c>
    </row>
    <row r="82" spans="1:32" ht="15.75">
      <c r="A82" s="562">
        <v>1</v>
      </c>
      <c r="B82" s="287" t="s">
        <v>17</v>
      </c>
      <c r="C82" s="287" t="s">
        <v>18</v>
      </c>
      <c r="D82" s="288">
        <v>38</v>
      </c>
      <c r="E82" s="287" t="s">
        <v>25</v>
      </c>
      <c r="F82" s="288">
        <v>5</v>
      </c>
      <c r="G82" s="288">
        <v>2</v>
      </c>
      <c r="H82" s="288">
        <v>3</v>
      </c>
      <c r="I82" s="287">
        <v>29</v>
      </c>
      <c r="J82" s="289" t="s">
        <v>32</v>
      </c>
      <c r="K82" s="290" t="s">
        <v>72</v>
      </c>
      <c r="L82" s="19">
        <v>6294000</v>
      </c>
      <c r="M82" s="503">
        <f>jan!P83</f>
        <v>0</v>
      </c>
      <c r="N82" s="503" t="e">
        <f>#REF!</f>
        <v>#REF!</v>
      </c>
      <c r="O82" s="503" t="e">
        <f>#REF!</f>
        <v>#REF!</v>
      </c>
      <c r="P82" s="503" t="e">
        <f>#REF!</f>
        <v>#REF!</v>
      </c>
      <c r="Q82" s="503" t="e">
        <f>#REF!</f>
        <v>#REF!</v>
      </c>
      <c r="R82" s="503" t="e">
        <f>#REF!</f>
        <v>#REF!</v>
      </c>
      <c r="S82" s="503" t="e">
        <f>#REF!</f>
        <v>#REF!</v>
      </c>
      <c r="T82" s="503" t="e">
        <f>#REF!</f>
        <v>#REF!</v>
      </c>
      <c r="U82" s="503" t="e">
        <f>#REF!</f>
        <v>#REF!</v>
      </c>
      <c r="V82" s="503" t="e">
        <f>#REF!</f>
        <v>#REF!</v>
      </c>
      <c r="W82" s="503" t="e">
        <f>#REF!</f>
        <v>#REF!</v>
      </c>
      <c r="X82" s="503" t="e">
        <f>#REF!</f>
        <v>#REF!</v>
      </c>
      <c r="Y82" s="510" t="e">
        <f>SUM(Y83:Y85)</f>
        <v>#REF!</v>
      </c>
      <c r="Z82" s="502" t="e">
        <f t="shared" si="10"/>
        <v>#REF!</v>
      </c>
      <c r="AA82" s="416" t="e">
        <f t="shared" si="8"/>
        <v>#REF!</v>
      </c>
      <c r="AB82" s="497" t="e">
        <f>#REF!</f>
        <v>#REF!</v>
      </c>
      <c r="AC82" s="497" t="e">
        <f t="shared" si="7"/>
        <v>#REF!</v>
      </c>
    </row>
    <row r="83" spans="1:32" ht="33">
      <c r="A83" s="561">
        <v>1</v>
      </c>
      <c r="B83" s="291" t="s">
        <v>17</v>
      </c>
      <c r="C83" s="291" t="s">
        <v>18</v>
      </c>
      <c r="D83" s="292">
        <v>38</v>
      </c>
      <c r="E83" s="291" t="s">
        <v>25</v>
      </c>
      <c r="F83" s="292">
        <v>5</v>
      </c>
      <c r="G83" s="292">
        <v>2</v>
      </c>
      <c r="H83" s="292">
        <v>3</v>
      </c>
      <c r="I83" s="291">
        <v>34</v>
      </c>
      <c r="J83" s="297"/>
      <c r="K83" s="298" t="s">
        <v>75</v>
      </c>
      <c r="L83" s="17">
        <f>SUM(L84:L87)</f>
        <v>116339200</v>
      </c>
      <c r="M83" s="503">
        <f>jan!P84</f>
        <v>0</v>
      </c>
      <c r="N83" s="503" t="e">
        <f>#REF!</f>
        <v>#REF!</v>
      </c>
      <c r="O83" s="503" t="e">
        <f>#REF!</f>
        <v>#REF!</v>
      </c>
      <c r="P83" s="503" t="e">
        <f>#REF!</f>
        <v>#REF!</v>
      </c>
      <c r="Q83" s="503" t="e">
        <f>#REF!</f>
        <v>#REF!</v>
      </c>
      <c r="R83" s="503" t="e">
        <f>#REF!</f>
        <v>#REF!</v>
      </c>
      <c r="S83" s="503" t="e">
        <f>#REF!</f>
        <v>#REF!</v>
      </c>
      <c r="T83" s="503" t="e">
        <f>#REF!</f>
        <v>#REF!</v>
      </c>
      <c r="U83" s="503" t="e">
        <f>#REF!</f>
        <v>#REF!</v>
      </c>
      <c r="V83" s="503" t="e">
        <f>#REF!</f>
        <v>#REF!</v>
      </c>
      <c r="W83" s="503" t="e">
        <f>#REF!</f>
        <v>#REF!</v>
      </c>
      <c r="X83" s="503" t="e">
        <f>#REF!</f>
        <v>#REF!</v>
      </c>
      <c r="Y83" s="504" t="e">
        <f>SUM(M83:X83)</f>
        <v>#REF!</v>
      </c>
      <c r="Z83" s="501" t="e">
        <f t="shared" si="10"/>
        <v>#REF!</v>
      </c>
      <c r="AA83" s="415" t="e">
        <f>L83-Y83</f>
        <v>#REF!</v>
      </c>
      <c r="AB83" s="497" t="e">
        <f>#REF!</f>
        <v>#REF!</v>
      </c>
      <c r="AC83" s="497" t="e">
        <f>Y83-AB83</f>
        <v>#REF!</v>
      </c>
    </row>
    <row r="84" spans="1:32" ht="31.5">
      <c r="A84" s="562">
        <v>1</v>
      </c>
      <c r="B84" s="287" t="s">
        <v>17</v>
      </c>
      <c r="C84" s="287" t="s">
        <v>18</v>
      </c>
      <c r="D84" s="288">
        <v>38</v>
      </c>
      <c r="E84" s="287" t="s">
        <v>25</v>
      </c>
      <c r="F84" s="288">
        <v>5</v>
      </c>
      <c r="G84" s="288">
        <v>2</v>
      </c>
      <c r="H84" s="288">
        <v>3</v>
      </c>
      <c r="I84" s="287">
        <v>34</v>
      </c>
      <c r="J84" s="289" t="s">
        <v>18</v>
      </c>
      <c r="K84" s="290" t="s">
        <v>76</v>
      </c>
      <c r="L84" s="19">
        <v>81339200</v>
      </c>
      <c r="M84" s="503">
        <f>jan!P85</f>
        <v>0</v>
      </c>
      <c r="N84" s="503" t="e">
        <f>#REF!</f>
        <v>#REF!</v>
      </c>
      <c r="O84" s="503" t="e">
        <f>#REF!</f>
        <v>#REF!</v>
      </c>
      <c r="P84" s="503" t="e">
        <f>#REF!</f>
        <v>#REF!</v>
      </c>
      <c r="Q84" s="503" t="e">
        <f>#REF!</f>
        <v>#REF!</v>
      </c>
      <c r="R84" s="503" t="e">
        <f>#REF!</f>
        <v>#REF!</v>
      </c>
      <c r="S84" s="503" t="e">
        <f>#REF!</f>
        <v>#REF!</v>
      </c>
      <c r="T84" s="503" t="e">
        <f>#REF!</f>
        <v>#REF!</v>
      </c>
      <c r="U84" s="503" t="e">
        <f>#REF!</f>
        <v>#REF!</v>
      </c>
      <c r="V84" s="503" t="e">
        <f>#REF!</f>
        <v>#REF!</v>
      </c>
      <c r="W84" s="503" t="e">
        <f>#REF!</f>
        <v>#REF!</v>
      </c>
      <c r="X84" s="503" t="e">
        <f>#REF!</f>
        <v>#REF!</v>
      </c>
      <c r="Y84" s="504" t="e">
        <f>SUM(M84:X84)</f>
        <v>#REF!</v>
      </c>
      <c r="Z84" s="501" t="e">
        <f t="shared" si="10"/>
        <v>#REF!</v>
      </c>
      <c r="AA84" s="415" t="e">
        <f>L84-Y84</f>
        <v>#REF!</v>
      </c>
      <c r="AB84" s="497" t="e">
        <f>#REF!</f>
        <v>#REF!</v>
      </c>
      <c r="AC84" s="497" t="e">
        <f>Y84-AB84</f>
        <v>#REF!</v>
      </c>
    </row>
    <row r="85" spans="1:32" ht="31.5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34</v>
      </c>
      <c r="J85" s="289" t="s">
        <v>17</v>
      </c>
      <c r="K85" s="290" t="s">
        <v>77</v>
      </c>
      <c r="L85" s="19">
        <v>10000000</v>
      </c>
      <c r="M85" s="503" t="e">
        <f>jan!#REF!</f>
        <v>#REF!</v>
      </c>
      <c r="N85" s="503" t="e">
        <f>#REF!</f>
        <v>#REF!</v>
      </c>
      <c r="O85" s="503" t="e">
        <f>#REF!</f>
        <v>#REF!</v>
      </c>
      <c r="P85" s="503" t="e">
        <f>#REF!</f>
        <v>#REF!</v>
      </c>
      <c r="Q85" s="503" t="e">
        <f>#REF!</f>
        <v>#REF!</v>
      </c>
      <c r="R85" s="503" t="e">
        <f>#REF!</f>
        <v>#REF!</v>
      </c>
      <c r="S85" s="503" t="e">
        <f>#REF!</f>
        <v>#REF!</v>
      </c>
      <c r="T85" s="503" t="e">
        <f>#REF!</f>
        <v>#REF!</v>
      </c>
      <c r="U85" s="503" t="e">
        <f>#REF!</f>
        <v>#REF!</v>
      </c>
      <c r="V85" s="503" t="e">
        <f>#REF!</f>
        <v>#REF!</v>
      </c>
      <c r="W85" s="503" t="e">
        <f>#REF!</f>
        <v>#REF!</v>
      </c>
      <c r="X85" s="503" t="e">
        <f>#REF!</f>
        <v>#REF!</v>
      </c>
      <c r="Y85" s="504" t="e">
        <f>SUM(M85:X85)</f>
        <v>#REF!</v>
      </c>
      <c r="Z85" s="501" t="e">
        <f>Y85/L85*100</f>
        <v>#REF!</v>
      </c>
      <c r="AA85" s="415" t="e">
        <f>L85-Y85</f>
        <v>#REF!</v>
      </c>
      <c r="AB85" s="497" t="e">
        <f>#REF!</f>
        <v>#REF!</v>
      </c>
      <c r="AC85" s="497" t="e">
        <f>Y85-AB85</f>
        <v>#REF!</v>
      </c>
    </row>
    <row r="86" spans="1:32" ht="31.5">
      <c r="A86" s="562">
        <v>1</v>
      </c>
      <c r="B86" s="287" t="s">
        <v>17</v>
      </c>
      <c r="C86" s="287" t="s">
        <v>18</v>
      </c>
      <c r="D86" s="288">
        <v>38</v>
      </c>
      <c r="E86" s="287" t="s">
        <v>25</v>
      </c>
      <c r="F86" s="288">
        <v>5</v>
      </c>
      <c r="G86" s="288">
        <v>2</v>
      </c>
      <c r="H86" s="288">
        <v>3</v>
      </c>
      <c r="I86" s="287">
        <v>34</v>
      </c>
      <c r="J86" s="289" t="s">
        <v>433</v>
      </c>
      <c r="K86" s="290" t="s">
        <v>442</v>
      </c>
      <c r="L86" s="19">
        <v>15000000</v>
      </c>
      <c r="M86" s="503" t="e">
        <f>jan!#REF!</f>
        <v>#REF!</v>
      </c>
      <c r="N86" s="503" t="e">
        <f>#REF!</f>
        <v>#REF!</v>
      </c>
      <c r="O86" s="503" t="e">
        <f>#REF!</f>
        <v>#REF!</v>
      </c>
      <c r="P86" s="503" t="e">
        <f>#REF!</f>
        <v>#REF!</v>
      </c>
      <c r="Q86" s="503" t="e">
        <f>#REF!</f>
        <v>#REF!</v>
      </c>
      <c r="R86" s="503" t="e">
        <f>#REF!</f>
        <v>#REF!</v>
      </c>
      <c r="S86" s="503" t="e">
        <f>#REF!</f>
        <v>#REF!</v>
      </c>
      <c r="T86" s="503" t="e">
        <f>#REF!</f>
        <v>#REF!</v>
      </c>
      <c r="U86" s="503" t="e">
        <f>#REF!</f>
        <v>#REF!</v>
      </c>
      <c r="V86" s="503" t="e">
        <f>#REF!</f>
        <v>#REF!</v>
      </c>
      <c r="W86" s="503" t="e">
        <f>#REF!</f>
        <v>#REF!</v>
      </c>
      <c r="X86" s="503" t="e">
        <f>#REF!</f>
        <v>#REF!</v>
      </c>
      <c r="Y86" s="510" t="e">
        <f>SUM(Y87:Y87)</f>
        <v>#REF!</v>
      </c>
      <c r="Z86" s="502" t="e">
        <f>Y86/L86*100</f>
        <v>#REF!</v>
      </c>
      <c r="AA86" s="416" t="e">
        <f>L86-Y86</f>
        <v>#REF!</v>
      </c>
      <c r="AB86" s="497" t="e">
        <f>#REF!</f>
        <v>#REF!</v>
      </c>
      <c r="AC86" s="497" t="e">
        <f>Y86-AB86</f>
        <v>#REF!</v>
      </c>
    </row>
    <row r="87" spans="1:32" ht="47.25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34</v>
      </c>
      <c r="J87" s="289" t="s">
        <v>47</v>
      </c>
      <c r="K87" s="290" t="s">
        <v>78</v>
      </c>
      <c r="L87" s="19">
        <v>10000000</v>
      </c>
      <c r="M87" s="503" t="e">
        <f>jan!#REF!</f>
        <v>#REF!</v>
      </c>
      <c r="N87" s="503" t="e">
        <f>#REF!</f>
        <v>#REF!</v>
      </c>
      <c r="O87" s="503" t="e">
        <f>#REF!</f>
        <v>#REF!</v>
      </c>
      <c r="P87" s="503" t="e">
        <f>#REF!</f>
        <v>#REF!</v>
      </c>
      <c r="Q87" s="503" t="e">
        <f>#REF!</f>
        <v>#REF!</v>
      </c>
      <c r="R87" s="503" t="e">
        <f>#REF!</f>
        <v>#REF!</v>
      </c>
      <c r="S87" s="503" t="e">
        <f>#REF!</f>
        <v>#REF!</v>
      </c>
      <c r="T87" s="503" t="e">
        <f>#REF!</f>
        <v>#REF!</v>
      </c>
      <c r="U87" s="503" t="e">
        <f>#REF!</f>
        <v>#REF!</v>
      </c>
      <c r="V87" s="503" t="e">
        <f>#REF!</f>
        <v>#REF!</v>
      </c>
      <c r="W87" s="503" t="e">
        <f>#REF!</f>
        <v>#REF!</v>
      </c>
      <c r="X87" s="503" t="e">
        <f>#REF!</f>
        <v>#REF!</v>
      </c>
      <c r="Y87" s="504" t="e">
        <f>SUM(M87:X87)</f>
        <v>#REF!</v>
      </c>
      <c r="Z87" s="501" t="e">
        <f>Y87/L87*100</f>
        <v>#REF!</v>
      </c>
      <c r="AA87" s="415" t="e">
        <f>L87-Y87</f>
        <v>#REF!</v>
      </c>
      <c r="AB87" s="497" t="e">
        <f>#REF!</f>
        <v>#REF!</v>
      </c>
      <c r="AC87" s="497" t="e">
        <f>Y87-AB87</f>
        <v>#REF!</v>
      </c>
    </row>
    <row r="88" spans="1:32" ht="33">
      <c r="A88" s="561">
        <v>1</v>
      </c>
      <c r="B88" s="291" t="s">
        <v>17</v>
      </c>
      <c r="C88" s="291" t="s">
        <v>18</v>
      </c>
      <c r="D88" s="292">
        <v>38</v>
      </c>
      <c r="E88" s="291" t="s">
        <v>25</v>
      </c>
      <c r="F88" s="292">
        <v>5</v>
      </c>
      <c r="G88" s="292">
        <v>2</v>
      </c>
      <c r="H88" s="292">
        <v>3</v>
      </c>
      <c r="I88" s="291">
        <v>36</v>
      </c>
      <c r="J88" s="297"/>
      <c r="K88" s="298" t="s">
        <v>173</v>
      </c>
      <c r="L88" s="17">
        <f>SUM(L89:L90)</f>
        <v>33800000</v>
      </c>
      <c r="M88" s="503">
        <f>jan!P86</f>
        <v>0</v>
      </c>
      <c r="N88" s="503" t="e">
        <f>#REF!</f>
        <v>#REF!</v>
      </c>
      <c r="O88" s="503" t="e">
        <f>#REF!</f>
        <v>#REF!</v>
      </c>
      <c r="P88" s="503" t="e">
        <f>#REF!</f>
        <v>#REF!</v>
      </c>
      <c r="Q88" s="503" t="e">
        <f>#REF!</f>
        <v>#REF!</v>
      </c>
      <c r="R88" s="503" t="e">
        <f>#REF!</f>
        <v>#REF!</v>
      </c>
      <c r="S88" s="503" t="e">
        <f>#REF!</f>
        <v>#REF!</v>
      </c>
      <c r="T88" s="503" t="e">
        <f>#REF!</f>
        <v>#REF!</v>
      </c>
      <c r="U88" s="503" t="e">
        <f>#REF!</f>
        <v>#REF!</v>
      </c>
      <c r="V88" s="503" t="e">
        <f>#REF!</f>
        <v>#REF!</v>
      </c>
      <c r="W88" s="503" t="e">
        <f>#REF!</f>
        <v>#REF!</v>
      </c>
      <c r="X88" s="503" t="e">
        <f>#REF!</f>
        <v>#REF!</v>
      </c>
      <c r="Y88" s="608"/>
      <c r="Z88" s="609"/>
      <c r="AA88" s="610"/>
    </row>
    <row r="89" spans="1:32" s="409" customFormat="1" ht="14.25" customHeight="1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36</v>
      </c>
      <c r="J89" s="289">
        <v>14</v>
      </c>
      <c r="K89" s="290" t="s">
        <v>174</v>
      </c>
      <c r="L89" s="19">
        <v>33800000</v>
      </c>
      <c r="M89" s="503">
        <f>jan!P89</f>
        <v>0</v>
      </c>
      <c r="N89" s="503" t="e">
        <f>#REF!</f>
        <v>#REF!</v>
      </c>
      <c r="O89" s="503" t="e">
        <f>#REF!</f>
        <v>#REF!</v>
      </c>
      <c r="P89" s="503" t="e">
        <f>#REF!</f>
        <v>#REF!</v>
      </c>
      <c r="Q89" s="503" t="e">
        <f>#REF!</f>
        <v>#REF!</v>
      </c>
      <c r="R89" s="503" t="e">
        <f>#REF!</f>
        <v>#REF!</v>
      </c>
      <c r="S89" s="503" t="e">
        <f>#REF!</f>
        <v>#REF!</v>
      </c>
      <c r="T89" s="503" t="e">
        <f>#REF!</f>
        <v>#REF!</v>
      </c>
      <c r="U89" s="503" t="e">
        <f>#REF!</f>
        <v>#REF!</v>
      </c>
      <c r="V89" s="503" t="e">
        <f>#REF!</f>
        <v>#REF!</v>
      </c>
      <c r="W89" s="503" t="e">
        <f>#REF!</f>
        <v>#REF!</v>
      </c>
      <c r="X89" s="503" t="e">
        <f>#REF!</f>
        <v>#REF!</v>
      </c>
      <c r="Y89" s="440"/>
      <c r="Z89" s="512"/>
      <c r="AA89" s="440"/>
    </row>
    <row r="90" spans="1:32" s="409" customFormat="1" ht="14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S90" s="410"/>
      <c r="T90" s="410"/>
      <c r="U90" s="411"/>
      <c r="V90" s="608"/>
      <c r="W90" s="608"/>
      <c r="X90" s="608"/>
      <c r="Y90" s="440"/>
      <c r="Z90" s="512"/>
      <c r="AA90" s="440"/>
    </row>
    <row r="91" spans="1:32" s="409" customFormat="1" ht="14.25" customHeight="1">
      <c r="K91" s="418"/>
      <c r="L91" s="410"/>
      <c r="S91" s="410"/>
      <c r="T91" s="410"/>
      <c r="U91" s="411"/>
      <c r="V91" s="410"/>
      <c r="W91" s="808" t="s">
        <v>370</v>
      </c>
      <c r="X91" s="808"/>
      <c r="Y91" s="808"/>
      <c r="Z91" s="808"/>
    </row>
    <row r="92" spans="1:3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L92" s="410"/>
      <c r="S92" s="410"/>
      <c r="T92" s="410"/>
      <c r="U92" s="411"/>
      <c r="V92" s="410"/>
      <c r="W92" s="419" t="s">
        <v>79</v>
      </c>
      <c r="X92" s="420"/>
      <c r="Y92" s="419"/>
      <c r="Z92" s="412"/>
    </row>
    <row r="93" spans="1:3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L93" s="410"/>
      <c r="S93" s="410"/>
      <c r="T93" s="410"/>
      <c r="U93" s="411"/>
      <c r="V93" s="410"/>
      <c r="W93" s="808" t="s">
        <v>80</v>
      </c>
      <c r="X93" s="808"/>
      <c r="Y93" s="808"/>
      <c r="Z93" s="808"/>
    </row>
    <row r="94" spans="1:32" s="409" customFormat="1" ht="14.25" customHeight="1">
      <c r="K94" s="418"/>
      <c r="L94" s="410"/>
      <c r="S94" s="410"/>
      <c r="T94" s="410"/>
      <c r="U94" s="411"/>
      <c r="V94" s="410"/>
      <c r="W94" s="411"/>
      <c r="X94" s="410"/>
      <c r="Y94" s="411"/>
      <c r="Z94" s="412"/>
    </row>
    <row r="95" spans="1:32" s="409" customFormat="1" ht="14.25" customHeight="1">
      <c r="K95" s="418"/>
      <c r="L95" s="410"/>
      <c r="S95" s="410"/>
      <c r="T95" s="410"/>
      <c r="U95" s="411"/>
      <c r="V95" s="410"/>
      <c r="W95" s="411"/>
      <c r="X95" s="410"/>
      <c r="Y95" s="411"/>
      <c r="Z95" s="412"/>
      <c r="AB95" s="421"/>
    </row>
    <row r="96" spans="1:32" ht="15.75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L96" s="410"/>
      <c r="Q96" s="409"/>
      <c r="R96" s="409"/>
      <c r="S96" s="410"/>
      <c r="T96" s="410"/>
      <c r="U96" s="411"/>
      <c r="V96" s="410"/>
      <c r="W96" s="834" t="s">
        <v>177</v>
      </c>
      <c r="X96" s="834"/>
      <c r="Y96" s="834"/>
      <c r="Z96" s="834"/>
      <c r="AA96" s="409"/>
      <c r="AF96" s="512"/>
    </row>
    <row r="97" spans="1:32" ht="15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L97" s="410"/>
      <c r="V97" s="410"/>
      <c r="W97" s="808" t="s">
        <v>178</v>
      </c>
      <c r="X97" s="808"/>
      <c r="Y97" s="808"/>
      <c r="Z97" s="808"/>
      <c r="AA97" s="421"/>
      <c r="AF97" s="512"/>
    </row>
    <row r="98" spans="1:32" ht="16.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Z98" s="440"/>
      <c r="AF98" s="512"/>
    </row>
    <row r="99" spans="1:32" ht="16.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Z99" s="440"/>
      <c r="AF99" s="512"/>
    </row>
    <row r="100" spans="1:32" ht="16.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Z100" s="440"/>
      <c r="AF100" s="512"/>
    </row>
    <row r="101" spans="1:32" ht="16.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Z101" s="440"/>
      <c r="AF101" s="512"/>
    </row>
    <row r="102" spans="1:32" ht="16.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Z102" s="440"/>
      <c r="AF102" s="512"/>
    </row>
    <row r="103" spans="1:32" ht="16.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Z103" s="440"/>
    </row>
    <row r="104" spans="1:32" ht="16.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Z104" s="440"/>
    </row>
    <row r="105" spans="1:32" ht="16.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1:32" ht="16.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1:32" ht="16.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1:32" ht="16.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1:32" ht="16.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32" ht="16.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1:32" ht="16.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1:32" ht="16.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1:12" ht="16.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1:12" ht="16.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1:12" ht="16.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1:12" ht="16.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1:12" ht="16.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1:12" ht="16.5">
      <c r="L118" s="24"/>
    </row>
    <row r="119" spans="1:12" ht="16.5">
      <c r="L119" s="24"/>
    </row>
    <row r="120" spans="1:12" ht="16.5">
      <c r="L120" s="24"/>
    </row>
    <row r="121" spans="1:12" ht="16.5">
      <c r="L121" s="24"/>
    </row>
    <row r="122" spans="1:12" ht="16.5">
      <c r="L122" s="24"/>
    </row>
    <row r="123" spans="1:12" ht="16.5">
      <c r="L123" s="24"/>
    </row>
    <row r="124" spans="1:12" ht="16.5">
      <c r="L124" s="24"/>
    </row>
    <row r="125" spans="1:12" ht="16.5">
      <c r="L125" s="24"/>
    </row>
    <row r="126" spans="1:12" ht="16.5">
      <c r="L126" s="24"/>
    </row>
    <row r="127" spans="1:12" ht="16.5">
      <c r="L127" s="24"/>
    </row>
    <row r="128" spans="1:12" ht="16.5">
      <c r="L128" s="24"/>
    </row>
    <row r="129" spans="12:12" ht="16.5">
      <c r="L129" s="24"/>
    </row>
    <row r="130" spans="12:12" ht="16.5">
      <c r="L130" s="24"/>
    </row>
    <row r="131" spans="12:12" ht="16.5">
      <c r="L131" s="24"/>
    </row>
    <row r="132" spans="12:12" ht="16.5">
      <c r="L132" s="24"/>
    </row>
    <row r="133" spans="12:12" ht="16.5">
      <c r="L133" s="24"/>
    </row>
    <row r="134" spans="12:12" ht="16.5">
      <c r="L134" s="24"/>
    </row>
    <row r="135" spans="12:12" ht="16.5">
      <c r="L135" s="24"/>
    </row>
    <row r="136" spans="12:12" ht="16.5">
      <c r="L136" s="24"/>
    </row>
    <row r="137" spans="12:12" ht="16.5">
      <c r="L137" s="24"/>
    </row>
    <row r="138" spans="12:12" ht="16.5">
      <c r="L138" s="24"/>
    </row>
    <row r="139" spans="12:12" ht="16.5">
      <c r="L139" s="24"/>
    </row>
    <row r="140" spans="12:12" ht="16.5">
      <c r="L140" s="24"/>
    </row>
    <row r="141" spans="12:12" ht="16.5">
      <c r="L141" s="24"/>
    </row>
    <row r="142" spans="12:12" ht="16.5">
      <c r="L142" s="24"/>
    </row>
    <row r="143" spans="12:12" ht="16.5">
      <c r="L143" s="24"/>
    </row>
    <row r="144" spans="12:12" ht="16.5">
      <c r="L144" s="24"/>
    </row>
    <row r="145" spans="12:12" ht="16.5">
      <c r="L145" s="24"/>
    </row>
    <row r="146" spans="12:12" ht="16.5">
      <c r="L146" s="24"/>
    </row>
    <row r="147" spans="12:12" ht="16.5">
      <c r="L147" s="24"/>
    </row>
    <row r="148" spans="12:12" ht="16.5">
      <c r="L148" s="24"/>
    </row>
    <row r="149" spans="12:12" ht="16.5">
      <c r="L149" s="24"/>
    </row>
    <row r="150" spans="12:12" ht="16.5">
      <c r="L150" s="24"/>
    </row>
  </sheetData>
  <autoFilter ref="A20:AE87"/>
  <mergeCells count="17">
    <mergeCell ref="A93:K93"/>
    <mergeCell ref="A96:K96"/>
    <mergeCell ref="A97:K97"/>
    <mergeCell ref="Y6:Y8"/>
    <mergeCell ref="AA6:AA8"/>
    <mergeCell ref="W97:Z97"/>
    <mergeCell ref="W91:Z91"/>
    <mergeCell ref="W93:Z93"/>
    <mergeCell ref="W96:Z96"/>
    <mergeCell ref="A92:K92"/>
    <mergeCell ref="A1:AA1"/>
    <mergeCell ref="A2:AA2"/>
    <mergeCell ref="A3:AA3"/>
    <mergeCell ref="A4:AA4"/>
    <mergeCell ref="A6:J8"/>
    <mergeCell ref="L6:L8"/>
    <mergeCell ref="K6:K8"/>
  </mergeCells>
  <pageMargins left="0.45" right="0.25" top="0.75" bottom="0.25" header="0.3" footer="0.3"/>
  <pageSetup paperSize="14" scale="50" orientation="landscape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J36" sqref="J36"/>
    </sheetView>
  </sheetViews>
  <sheetFormatPr defaultRowHeight="15"/>
  <cols>
    <col min="1" max="1" width="5.5703125" customWidth="1"/>
    <col min="2" max="2" width="29.42578125" customWidth="1"/>
    <col min="3" max="3" width="10.7109375" customWidth="1"/>
    <col min="4" max="4" width="25.7109375" customWidth="1"/>
    <col min="5" max="5" width="10.85546875" customWidth="1"/>
    <col min="6" max="6" width="12.28515625" customWidth="1"/>
    <col min="7" max="7" width="14.140625" customWidth="1"/>
    <col min="8" max="8" width="9.5703125" bestFit="1" customWidth="1"/>
    <col min="9" max="9" width="12.42578125" customWidth="1"/>
    <col min="10" max="10" width="14.28515625" customWidth="1"/>
    <col min="11" max="11" width="24.140625" customWidth="1"/>
  </cols>
  <sheetData>
    <row r="1" spans="1:10">
      <c r="A1" t="s">
        <v>589</v>
      </c>
    </row>
    <row r="2" spans="1:10">
      <c r="A2" t="s">
        <v>590</v>
      </c>
    </row>
    <row r="3" spans="1:10">
      <c r="A3" s="739" t="s">
        <v>591</v>
      </c>
      <c r="D3" s="739" t="s">
        <v>592</v>
      </c>
    </row>
    <row r="5" spans="1:10" ht="30">
      <c r="A5" s="740" t="s">
        <v>167</v>
      </c>
      <c r="B5" s="740" t="s">
        <v>593</v>
      </c>
      <c r="C5" s="740" t="s">
        <v>594</v>
      </c>
      <c r="D5" s="740" t="s">
        <v>595</v>
      </c>
      <c r="E5" s="740" t="s">
        <v>596</v>
      </c>
      <c r="F5" s="740" t="s">
        <v>597</v>
      </c>
      <c r="G5" s="740" t="s">
        <v>598</v>
      </c>
      <c r="H5" s="740" t="s">
        <v>599</v>
      </c>
      <c r="I5" s="741" t="s">
        <v>600</v>
      </c>
      <c r="J5" s="740" t="s">
        <v>138</v>
      </c>
    </row>
    <row r="6" spans="1:10">
      <c r="A6" s="742">
        <v>1</v>
      </c>
      <c r="B6" s="743" t="s">
        <v>601</v>
      </c>
      <c r="C6" s="742" t="s">
        <v>602</v>
      </c>
      <c r="D6" s="742" t="s">
        <v>603</v>
      </c>
      <c r="E6" s="744">
        <v>180</v>
      </c>
      <c r="F6" s="745" t="s">
        <v>604</v>
      </c>
      <c r="G6" s="746">
        <v>35620</v>
      </c>
      <c r="H6" s="746">
        <f>G6*3%</f>
        <v>1068.5999999999999</v>
      </c>
      <c r="I6" s="746">
        <f t="shared" ref="I6:I7" si="0">H6+G6</f>
        <v>36688.6</v>
      </c>
      <c r="J6" s="746">
        <f t="shared" ref="J6:J13" si="1">I6*E6</f>
        <v>6603948</v>
      </c>
    </row>
    <row r="7" spans="1:10">
      <c r="A7" s="742">
        <v>2</v>
      </c>
      <c r="B7" s="743" t="s">
        <v>605</v>
      </c>
      <c r="C7" s="742" t="s">
        <v>602</v>
      </c>
      <c r="D7" s="742" t="s">
        <v>603</v>
      </c>
      <c r="E7" s="744">
        <v>60</v>
      </c>
      <c r="F7" s="745" t="s">
        <v>604</v>
      </c>
      <c r="G7" s="746">
        <v>35620</v>
      </c>
      <c r="H7" s="746">
        <f>G7*3%</f>
        <v>1068.5999999999999</v>
      </c>
      <c r="I7" s="746">
        <f t="shared" si="0"/>
        <v>36688.6</v>
      </c>
      <c r="J7" s="746">
        <f t="shared" si="1"/>
        <v>2201316</v>
      </c>
    </row>
    <row r="8" spans="1:10">
      <c r="A8" s="742">
        <v>3</v>
      </c>
      <c r="B8" s="747" t="s">
        <v>606</v>
      </c>
      <c r="C8" s="742" t="s">
        <v>607</v>
      </c>
      <c r="D8" s="742" t="s">
        <v>603</v>
      </c>
      <c r="E8" s="744">
        <v>300</v>
      </c>
      <c r="F8" s="745" t="s">
        <v>608</v>
      </c>
      <c r="G8" s="746">
        <v>8000</v>
      </c>
      <c r="H8" s="746">
        <v>240</v>
      </c>
      <c r="I8" s="746">
        <f t="shared" ref="I8:I13" si="2">G8+H8</f>
        <v>8240</v>
      </c>
      <c r="J8" s="746">
        <f t="shared" si="1"/>
        <v>2472000</v>
      </c>
    </row>
    <row r="9" spans="1:10">
      <c r="A9" s="742">
        <v>4</v>
      </c>
      <c r="B9" s="747" t="s">
        <v>609</v>
      </c>
      <c r="C9" s="742" t="s">
        <v>607</v>
      </c>
      <c r="D9" s="742" t="s">
        <v>603</v>
      </c>
      <c r="E9" s="744">
        <v>1</v>
      </c>
      <c r="F9" s="745" t="s">
        <v>610</v>
      </c>
      <c r="G9" s="748">
        <v>110000</v>
      </c>
      <c r="H9" s="748">
        <f t="shared" ref="H9" si="3">G9*3%</f>
        <v>3300</v>
      </c>
      <c r="I9" s="746">
        <f t="shared" si="2"/>
        <v>113300</v>
      </c>
      <c r="J9" s="746">
        <f t="shared" si="1"/>
        <v>113300</v>
      </c>
    </row>
    <row r="10" spans="1:10">
      <c r="A10" s="742">
        <v>5</v>
      </c>
      <c r="B10" s="747" t="s">
        <v>611</v>
      </c>
      <c r="C10" s="742" t="s">
        <v>607</v>
      </c>
      <c r="D10" s="742" t="s">
        <v>603</v>
      </c>
      <c r="E10" s="744">
        <v>26</v>
      </c>
      <c r="F10" s="745" t="s">
        <v>612</v>
      </c>
      <c r="G10" s="748">
        <v>25000</v>
      </c>
      <c r="H10" s="748">
        <f>G10*3%</f>
        <v>750</v>
      </c>
      <c r="I10" s="746">
        <f t="shared" si="2"/>
        <v>25750</v>
      </c>
      <c r="J10" s="746">
        <f t="shared" si="1"/>
        <v>669500</v>
      </c>
    </row>
    <row r="11" spans="1:10">
      <c r="A11" s="742">
        <v>6</v>
      </c>
      <c r="B11" s="747" t="s">
        <v>613</v>
      </c>
      <c r="C11" s="742" t="s">
        <v>607</v>
      </c>
      <c r="D11" s="742" t="s">
        <v>603</v>
      </c>
      <c r="E11" s="744">
        <v>42</v>
      </c>
      <c r="F11" s="745" t="s">
        <v>612</v>
      </c>
      <c r="G11" s="748">
        <v>14520</v>
      </c>
      <c r="H11" s="748">
        <v>726</v>
      </c>
      <c r="I11" s="746">
        <f t="shared" si="2"/>
        <v>15246</v>
      </c>
      <c r="J11" s="746">
        <f t="shared" si="1"/>
        <v>640332</v>
      </c>
    </row>
    <row r="12" spans="1:10">
      <c r="A12" s="742">
        <v>7</v>
      </c>
      <c r="B12" s="747" t="s">
        <v>614</v>
      </c>
      <c r="C12" s="742" t="s">
        <v>607</v>
      </c>
      <c r="D12" s="742" t="s">
        <v>603</v>
      </c>
      <c r="E12" s="744">
        <v>12</v>
      </c>
      <c r="F12" s="745" t="s">
        <v>615</v>
      </c>
      <c r="G12" s="746">
        <v>12584</v>
      </c>
      <c r="H12" s="749">
        <v>629.20000000000005</v>
      </c>
      <c r="I12" s="749">
        <f t="shared" si="2"/>
        <v>13213.2</v>
      </c>
      <c r="J12" s="746">
        <f t="shared" si="1"/>
        <v>158558.40000000002</v>
      </c>
    </row>
    <row r="13" spans="1:10">
      <c r="A13" s="742">
        <v>8</v>
      </c>
      <c r="B13" s="743" t="s">
        <v>616</v>
      </c>
      <c r="C13" s="742" t="s">
        <v>607</v>
      </c>
      <c r="D13" s="742" t="s">
        <v>603</v>
      </c>
      <c r="E13" s="744">
        <v>3</v>
      </c>
      <c r="F13" s="745" t="s">
        <v>612</v>
      </c>
      <c r="G13" s="748">
        <v>79650</v>
      </c>
      <c r="H13" s="748">
        <v>3983</v>
      </c>
      <c r="I13" s="746">
        <f t="shared" si="2"/>
        <v>83633</v>
      </c>
      <c r="J13" s="746">
        <f t="shared" si="1"/>
        <v>250899</v>
      </c>
    </row>
    <row r="14" spans="1:10">
      <c r="A14" s="742"/>
      <c r="B14" s="743"/>
      <c r="C14" s="742"/>
      <c r="D14" s="742"/>
      <c r="E14" s="744"/>
      <c r="F14" s="745"/>
      <c r="G14" s="746"/>
      <c r="H14" s="746"/>
      <c r="I14" s="746"/>
      <c r="J14" s="750">
        <f>SUM(J6:J13)</f>
        <v>13109853.4</v>
      </c>
    </row>
    <row r="15" spans="1:10">
      <c r="A15" s="742"/>
      <c r="B15" s="743"/>
      <c r="C15" s="742"/>
      <c r="D15" s="742"/>
      <c r="E15" s="744"/>
      <c r="F15" s="745"/>
      <c r="G15" s="746"/>
      <c r="H15" s="746"/>
      <c r="I15" s="746"/>
      <c r="J15" s="746"/>
    </row>
    <row r="16" spans="1:10">
      <c r="A16" s="742">
        <v>1</v>
      </c>
      <c r="B16" s="743" t="s">
        <v>617</v>
      </c>
      <c r="C16" s="742" t="s">
        <v>618</v>
      </c>
      <c r="D16" s="742" t="s">
        <v>619</v>
      </c>
      <c r="E16" s="744">
        <v>7000</v>
      </c>
      <c r="F16" s="745" t="s">
        <v>620</v>
      </c>
      <c r="G16" s="746">
        <v>1138</v>
      </c>
      <c r="H16" s="748">
        <v>0</v>
      </c>
      <c r="I16" s="746">
        <f t="shared" ref="I16:I17" si="4">G16+H16</f>
        <v>1138</v>
      </c>
      <c r="J16" s="746">
        <f t="shared" ref="J16:J17" si="5">I16*E16</f>
        <v>7966000</v>
      </c>
    </row>
    <row r="17" spans="1:11">
      <c r="A17" s="742">
        <v>2</v>
      </c>
      <c r="B17" s="743" t="s">
        <v>621</v>
      </c>
      <c r="C17" s="742" t="s">
        <v>618</v>
      </c>
      <c r="D17" s="742" t="s">
        <v>619</v>
      </c>
      <c r="E17" s="744">
        <v>200</v>
      </c>
      <c r="F17" s="745" t="s">
        <v>620</v>
      </c>
      <c r="G17" s="746">
        <v>1600</v>
      </c>
      <c r="H17" s="748">
        <v>0</v>
      </c>
      <c r="I17" s="746">
        <f t="shared" si="4"/>
        <v>1600</v>
      </c>
      <c r="J17" s="746">
        <f t="shared" si="5"/>
        <v>320000</v>
      </c>
    </row>
    <row r="18" spans="1:11">
      <c r="A18" s="742"/>
      <c r="B18" s="743"/>
      <c r="C18" s="742"/>
      <c r="D18" s="742"/>
      <c r="E18" s="744"/>
      <c r="F18" s="745"/>
      <c r="G18" s="746"/>
      <c r="H18" s="748"/>
      <c r="I18" s="746"/>
      <c r="J18" s="750">
        <f>SUM(J16:J17)</f>
        <v>8286000</v>
      </c>
    </row>
    <row r="19" spans="1:11">
      <c r="A19" s="742"/>
      <c r="B19" s="743"/>
      <c r="C19" s="742"/>
      <c r="D19" s="742"/>
      <c r="E19" s="744"/>
      <c r="F19" s="745"/>
      <c r="G19" s="746"/>
      <c r="H19" s="748"/>
      <c r="I19" s="746"/>
      <c r="J19" s="746"/>
    </row>
    <row r="20" spans="1:11">
      <c r="A20" s="742">
        <v>1</v>
      </c>
      <c r="B20" s="743" t="s">
        <v>622</v>
      </c>
      <c r="C20" s="742" t="s">
        <v>623</v>
      </c>
      <c r="D20" s="742" t="s">
        <v>624</v>
      </c>
      <c r="E20" s="744">
        <v>8000</v>
      </c>
      <c r="F20" s="745" t="s">
        <v>620</v>
      </c>
      <c r="G20" s="746">
        <v>1580</v>
      </c>
      <c r="H20" s="748">
        <v>0</v>
      </c>
      <c r="I20" s="746">
        <f t="shared" ref="I20:I21" si="6">G20+H20</f>
        <v>1580</v>
      </c>
      <c r="J20" s="746">
        <f t="shared" ref="J20:J21" si="7">I20*E20</f>
        <v>12640000</v>
      </c>
    </row>
    <row r="21" spans="1:11">
      <c r="A21" s="742">
        <v>2</v>
      </c>
      <c r="B21" s="743" t="s">
        <v>625</v>
      </c>
      <c r="C21" s="742" t="s">
        <v>623</v>
      </c>
      <c r="D21" s="742" t="s">
        <v>624</v>
      </c>
      <c r="E21" s="744">
        <v>3000</v>
      </c>
      <c r="F21" s="745" t="s">
        <v>620</v>
      </c>
      <c r="G21" s="746">
        <v>1640</v>
      </c>
      <c r="H21" s="748">
        <v>0</v>
      </c>
      <c r="I21" s="746">
        <f t="shared" si="6"/>
        <v>1640</v>
      </c>
      <c r="J21" s="746">
        <f t="shared" si="7"/>
        <v>4920000</v>
      </c>
    </row>
    <row r="22" spans="1:11">
      <c r="A22" s="742"/>
      <c r="B22" s="743"/>
      <c r="C22" s="742"/>
      <c r="D22" s="742"/>
      <c r="E22" s="744"/>
      <c r="F22" s="745"/>
      <c r="G22" s="746"/>
      <c r="H22" s="746"/>
      <c r="I22" s="746"/>
      <c r="J22" s="750">
        <f>SUM(J20:J21)</f>
        <v>17560000</v>
      </c>
    </row>
    <row r="23" spans="1:11">
      <c r="A23" s="751"/>
      <c r="B23" s="751"/>
      <c r="C23" s="752"/>
      <c r="D23" s="752"/>
      <c r="E23" s="753"/>
      <c r="F23" s="754"/>
      <c r="G23" s="753"/>
      <c r="H23" s="753"/>
      <c r="I23" s="753"/>
      <c r="J23" s="755"/>
    </row>
    <row r="24" spans="1:11">
      <c r="A24" s="751"/>
      <c r="B24" s="751"/>
      <c r="C24" s="752"/>
      <c r="D24" s="752"/>
      <c r="E24" s="753"/>
      <c r="F24" s="754"/>
      <c r="G24" s="753" t="s">
        <v>626</v>
      </c>
      <c r="H24" s="753"/>
      <c r="I24" s="753"/>
      <c r="J24" s="750">
        <f>J22+J18+J14</f>
        <v>38955853.399999999</v>
      </c>
      <c r="K24" s="758">
        <f>J14+J22</f>
        <v>30669853.399999999</v>
      </c>
    </row>
    <row r="25" spans="1:11">
      <c r="A25" s="756"/>
      <c r="B25" s="751"/>
      <c r="C25" s="756"/>
      <c r="D25" s="756"/>
      <c r="E25" s="753"/>
      <c r="F25" s="753"/>
      <c r="G25" s="753"/>
      <c r="H25" s="753"/>
      <c r="I25" s="753"/>
      <c r="J25" s="755"/>
    </row>
    <row r="26" spans="1:11">
      <c r="A26" s="757"/>
      <c r="B26" s="751"/>
      <c r="C26" s="756"/>
      <c r="D26" s="756"/>
      <c r="E26" s="753"/>
      <c r="F26" s="753"/>
      <c r="G26" s="753"/>
      <c r="H26" s="753"/>
      <c r="I26" s="753"/>
      <c r="J26" s="755"/>
    </row>
    <row r="27" spans="1:11">
      <c r="A27" s="756"/>
      <c r="B27" s="751"/>
      <c r="C27" s="756"/>
      <c r="D27" s="756"/>
      <c r="E27" s="753"/>
      <c r="F27" s="753"/>
      <c r="G27" s="753"/>
      <c r="H27" s="753"/>
      <c r="I27" s="753"/>
      <c r="J27" s="755"/>
    </row>
    <row r="28" spans="1:11">
      <c r="A28" s="756"/>
      <c r="B28" s="751"/>
      <c r="C28" s="756"/>
      <c r="D28" s="756"/>
      <c r="E28" s="753"/>
      <c r="F28" s="753"/>
      <c r="G28" s="753"/>
      <c r="H28" s="753"/>
      <c r="I28" s="753"/>
      <c r="J28" s="755"/>
    </row>
    <row r="29" spans="1:11">
      <c r="A29" s="751"/>
      <c r="B29" s="751"/>
      <c r="C29" s="751"/>
      <c r="D29" s="751"/>
      <c r="E29" s="753"/>
      <c r="F29" s="753"/>
      <c r="G29" s="753"/>
      <c r="H29" s="753"/>
      <c r="I29" s="753"/>
      <c r="J29" s="753"/>
    </row>
    <row r="30" spans="1:11">
      <c r="E30" s="599"/>
      <c r="F30" s="599"/>
      <c r="G30" s="599"/>
      <c r="H30" s="599"/>
      <c r="I30" s="599"/>
      <c r="J30" s="599"/>
    </row>
    <row r="31" spans="1:11">
      <c r="E31" s="599"/>
      <c r="F31" s="599"/>
      <c r="G31" s="599"/>
      <c r="H31" s="599"/>
      <c r="I31" s="599"/>
      <c r="J31" s="599"/>
    </row>
    <row r="32" spans="1:11">
      <c r="E32" s="599"/>
      <c r="F32" s="599"/>
      <c r="G32" s="599"/>
      <c r="H32" s="599"/>
      <c r="I32" s="599"/>
      <c r="J32" s="599"/>
    </row>
    <row r="33" spans="5:10">
      <c r="E33" s="599"/>
      <c r="F33" s="599"/>
      <c r="G33" s="599"/>
      <c r="H33" s="599"/>
      <c r="I33" s="599"/>
      <c r="J33" s="599"/>
    </row>
    <row r="34" spans="5:10">
      <c r="E34" s="599"/>
      <c r="F34" s="599"/>
      <c r="G34" s="599"/>
      <c r="H34" s="599"/>
      <c r="I34" s="599"/>
      <c r="J34" s="599"/>
    </row>
    <row r="35" spans="5:10">
      <c r="E35" s="599"/>
      <c r="F35" s="599"/>
      <c r="G35" s="599"/>
      <c r="H35" s="599"/>
      <c r="I35" s="599"/>
      <c r="J35" s="599"/>
    </row>
    <row r="36" spans="5:10">
      <c r="E36" s="599"/>
      <c r="F36" s="599"/>
      <c r="G36" s="599"/>
      <c r="H36" s="599"/>
      <c r="I36" s="599"/>
      <c r="J36" s="599"/>
    </row>
    <row r="37" spans="5:10">
      <c r="E37" s="599"/>
      <c r="F37" s="599"/>
      <c r="G37" s="599"/>
      <c r="H37" s="599"/>
      <c r="I37" s="599"/>
      <c r="J37" s="599"/>
    </row>
    <row r="38" spans="5:10">
      <c r="E38" s="599"/>
      <c r="F38" s="599"/>
      <c r="G38" s="599"/>
      <c r="H38" s="599"/>
      <c r="I38" s="599"/>
      <c r="J38" s="599"/>
    </row>
    <row r="39" spans="5:10">
      <c r="E39" s="599"/>
      <c r="F39" s="599"/>
      <c r="G39" s="599"/>
      <c r="H39" s="599"/>
      <c r="I39" s="599"/>
      <c r="J39" s="599"/>
    </row>
    <row r="40" spans="5:10">
      <c r="E40" s="599"/>
      <c r="F40" s="599"/>
      <c r="G40" s="599"/>
      <c r="H40" s="599"/>
      <c r="I40" s="599"/>
      <c r="J40" s="599"/>
    </row>
    <row r="41" spans="5:10">
      <c r="E41" s="599"/>
      <c r="F41" s="599"/>
      <c r="G41" s="599"/>
      <c r="H41" s="599"/>
      <c r="I41" s="599"/>
      <c r="J41" s="599"/>
    </row>
    <row r="42" spans="5:10">
      <c r="E42" s="599"/>
      <c r="F42" s="599"/>
      <c r="G42" s="599"/>
      <c r="H42" s="599"/>
      <c r="I42" s="599"/>
      <c r="J42" s="599"/>
    </row>
    <row r="43" spans="5:10">
      <c r="E43" s="599"/>
      <c r="F43" s="599"/>
      <c r="G43" s="599"/>
      <c r="H43" s="599"/>
      <c r="I43" s="599"/>
      <c r="J43" s="59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A4" sqref="A4:C15"/>
    </sheetView>
  </sheetViews>
  <sheetFormatPr defaultRowHeight="15"/>
  <cols>
    <col min="1" max="1" width="3.85546875" style="600" bestFit="1" customWidth="1"/>
    <col min="2" max="2" width="20.85546875" bestFit="1" customWidth="1"/>
    <col min="3" max="3" width="24.140625" bestFit="1" customWidth="1"/>
  </cols>
  <sheetData>
    <row r="1" spans="1:3">
      <c r="A1" s="903" t="s">
        <v>490</v>
      </c>
      <c r="B1" s="903"/>
      <c r="C1" s="903"/>
    </row>
    <row r="4" spans="1:3" s="603" customFormat="1">
      <c r="A4" s="606" t="s">
        <v>85</v>
      </c>
      <c r="B4" s="624" t="s">
        <v>449</v>
      </c>
      <c r="C4" s="606" t="s">
        <v>491</v>
      </c>
    </row>
    <row r="5" spans="1:3" s="603" customFormat="1">
      <c r="A5" s="611">
        <v>1</v>
      </c>
      <c r="B5" s="602" t="s">
        <v>457</v>
      </c>
      <c r="C5" s="602" t="s">
        <v>492</v>
      </c>
    </row>
    <row r="6" spans="1:3" s="603" customFormat="1">
      <c r="A6" s="611">
        <v>2</v>
      </c>
      <c r="B6" s="602" t="s">
        <v>494</v>
      </c>
      <c r="C6" s="623">
        <v>43747</v>
      </c>
    </row>
    <row r="7" spans="1:3" s="603" customFormat="1">
      <c r="A7" s="611">
        <v>3</v>
      </c>
      <c r="B7" s="602" t="s">
        <v>493</v>
      </c>
      <c r="C7" s="623">
        <v>43750</v>
      </c>
    </row>
    <row r="8" spans="1:3" s="603" customFormat="1">
      <c r="A8" s="611">
        <v>4</v>
      </c>
      <c r="B8" s="602" t="s">
        <v>497</v>
      </c>
      <c r="C8" s="623">
        <v>43752</v>
      </c>
    </row>
    <row r="9" spans="1:3" s="603" customFormat="1">
      <c r="A9" s="611">
        <v>5</v>
      </c>
      <c r="B9" s="602" t="s">
        <v>458</v>
      </c>
      <c r="C9" s="602" t="s">
        <v>495</v>
      </c>
    </row>
    <row r="10" spans="1:3" s="603" customFormat="1">
      <c r="A10" s="611">
        <v>6</v>
      </c>
      <c r="B10" s="602" t="s">
        <v>499</v>
      </c>
      <c r="C10" s="602" t="s">
        <v>500</v>
      </c>
    </row>
    <row r="11" spans="1:3" s="603" customFormat="1">
      <c r="A11" s="611">
        <v>7</v>
      </c>
      <c r="B11" s="602" t="s">
        <v>459</v>
      </c>
      <c r="C11" s="602" t="s">
        <v>124</v>
      </c>
    </row>
    <row r="12" spans="1:3" s="603" customFormat="1" ht="18.75" customHeight="1">
      <c r="A12" s="611">
        <v>8</v>
      </c>
      <c r="B12" s="602" t="s">
        <v>496</v>
      </c>
      <c r="C12" s="602" t="s">
        <v>124</v>
      </c>
    </row>
    <row r="13" spans="1:3" s="603" customFormat="1">
      <c r="A13" s="611">
        <v>9</v>
      </c>
      <c r="B13" s="602" t="s">
        <v>457</v>
      </c>
      <c r="C13" s="602" t="s">
        <v>124</v>
      </c>
    </row>
    <row r="14" spans="1:3" s="603" customFormat="1" ht="30">
      <c r="A14" s="611">
        <v>10</v>
      </c>
      <c r="B14" s="604" t="s">
        <v>498</v>
      </c>
      <c r="C14" s="602" t="s">
        <v>124</v>
      </c>
    </row>
    <row r="15" spans="1:3" s="603" customFormat="1" ht="30">
      <c r="A15" s="611">
        <v>10</v>
      </c>
      <c r="B15" s="604" t="s">
        <v>503</v>
      </c>
      <c r="C15" s="602" t="s">
        <v>124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4" sqref="A4:G12"/>
    </sheetView>
  </sheetViews>
  <sheetFormatPr defaultRowHeight="15"/>
  <cols>
    <col min="1" max="1" width="3.85546875" style="600" bestFit="1" customWidth="1"/>
    <col min="2" max="2" width="20.85546875" bestFit="1" customWidth="1"/>
    <col min="3" max="3" width="17.5703125" customWidth="1"/>
    <col min="4" max="4" width="20.42578125" bestFit="1" customWidth="1"/>
    <col min="5" max="5" width="20.5703125" bestFit="1" customWidth="1"/>
    <col min="6" max="6" width="20" customWidth="1"/>
    <col min="7" max="7" width="16.140625" customWidth="1"/>
  </cols>
  <sheetData>
    <row r="1" spans="1:7">
      <c r="A1" s="903" t="s">
        <v>485</v>
      </c>
      <c r="B1" s="903"/>
      <c r="C1" s="903"/>
      <c r="D1" s="903"/>
      <c r="E1" s="903"/>
      <c r="F1" s="903"/>
      <c r="G1" s="903"/>
    </row>
    <row r="4" spans="1:7" s="603" customFormat="1">
      <c r="A4" s="606" t="s">
        <v>85</v>
      </c>
      <c r="B4" s="606" t="s">
        <v>449</v>
      </c>
      <c r="C4" s="606" t="s">
        <v>453</v>
      </c>
      <c r="D4" s="606" t="s">
        <v>460</v>
      </c>
      <c r="E4" s="606" t="s">
        <v>461</v>
      </c>
      <c r="F4" s="606" t="s">
        <v>468</v>
      </c>
      <c r="G4" s="606" t="s">
        <v>466</v>
      </c>
    </row>
    <row r="5" spans="1:7" s="603" customFormat="1" ht="90">
      <c r="A5" s="611">
        <v>1</v>
      </c>
      <c r="B5" s="602" t="s">
        <v>451</v>
      </c>
      <c r="C5" s="602" t="s">
        <v>113</v>
      </c>
      <c r="D5" s="602" t="s">
        <v>489</v>
      </c>
      <c r="E5" s="602" t="s">
        <v>488</v>
      </c>
      <c r="F5" s="601" t="s">
        <v>486</v>
      </c>
      <c r="G5" s="601" t="s">
        <v>487</v>
      </c>
    </row>
    <row r="6" spans="1:7" s="603" customFormat="1" ht="90">
      <c r="A6" s="611">
        <v>2</v>
      </c>
      <c r="B6" s="604" t="s">
        <v>502</v>
      </c>
      <c r="C6" s="602" t="s">
        <v>124</v>
      </c>
      <c r="D6" s="602" t="s">
        <v>500</v>
      </c>
      <c r="E6" s="602" t="s">
        <v>124</v>
      </c>
      <c r="F6" s="601" t="s">
        <v>486</v>
      </c>
      <c r="G6" s="601" t="s">
        <v>487</v>
      </c>
    </row>
    <row r="7" spans="1:7" s="603" customFormat="1">
      <c r="A7" s="611">
        <v>3</v>
      </c>
      <c r="B7" s="602" t="s">
        <v>459</v>
      </c>
      <c r="C7" s="602" t="s">
        <v>113</v>
      </c>
      <c r="D7" s="602" t="s">
        <v>117</v>
      </c>
      <c r="E7" s="602" t="s">
        <v>488</v>
      </c>
      <c r="F7" s="604"/>
      <c r="G7" s="601"/>
    </row>
    <row r="8" spans="1:7" s="603" customFormat="1" ht="75">
      <c r="A8" s="611">
        <v>4</v>
      </c>
      <c r="B8" s="604" t="s">
        <v>455</v>
      </c>
      <c r="C8" s="602" t="s">
        <v>117</v>
      </c>
      <c r="D8" s="602" t="s">
        <v>120</v>
      </c>
      <c r="E8" s="602" t="s">
        <v>124</v>
      </c>
      <c r="F8" s="604" t="s">
        <v>473</v>
      </c>
      <c r="G8" s="601"/>
    </row>
    <row r="9" spans="1:7" s="603" customFormat="1" ht="26.25" customHeight="1">
      <c r="A9" s="611">
        <v>5</v>
      </c>
      <c r="B9" s="602" t="s">
        <v>450</v>
      </c>
      <c r="C9" s="602" t="s">
        <v>117</v>
      </c>
      <c r="D9" s="602" t="s">
        <v>117</v>
      </c>
      <c r="E9" s="602" t="s">
        <v>488</v>
      </c>
      <c r="F9" s="604" t="s">
        <v>501</v>
      </c>
      <c r="G9" s="601"/>
    </row>
    <row r="10" spans="1:7" s="603" customFormat="1" ht="15" customHeight="1">
      <c r="A10" s="611">
        <v>6</v>
      </c>
      <c r="B10" s="602" t="s">
        <v>457</v>
      </c>
      <c r="C10" s="602" t="s">
        <v>117</v>
      </c>
      <c r="D10" s="602" t="s">
        <v>117</v>
      </c>
      <c r="E10" s="602" t="s">
        <v>463</v>
      </c>
      <c r="F10" s="906" t="s">
        <v>469</v>
      </c>
      <c r="G10" s="904"/>
    </row>
    <row r="11" spans="1:7" s="603" customFormat="1">
      <c r="A11" s="611">
        <v>7</v>
      </c>
      <c r="B11" s="602" t="s">
        <v>456</v>
      </c>
      <c r="C11" s="602" t="s">
        <v>117</v>
      </c>
      <c r="D11" s="602" t="s">
        <v>117</v>
      </c>
      <c r="E11" s="602" t="s">
        <v>488</v>
      </c>
      <c r="F11" s="907"/>
      <c r="G11" s="904"/>
    </row>
    <row r="12" spans="1:7" s="603" customFormat="1">
      <c r="A12" s="611">
        <v>8</v>
      </c>
      <c r="B12" s="602" t="s">
        <v>458</v>
      </c>
      <c r="C12" s="602" t="s">
        <v>117</v>
      </c>
      <c r="D12" s="602" t="s">
        <v>117</v>
      </c>
      <c r="E12" s="602" t="s">
        <v>488</v>
      </c>
      <c r="F12" s="908"/>
      <c r="G12" s="905"/>
    </row>
  </sheetData>
  <mergeCells count="3">
    <mergeCell ref="G10:G12"/>
    <mergeCell ref="A1:G1"/>
    <mergeCell ref="F10:F12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Q54"/>
  <sheetViews>
    <sheetView topLeftCell="A13" workbookViewId="0">
      <selection activeCell="N45" sqref="N45"/>
    </sheetView>
  </sheetViews>
  <sheetFormatPr defaultRowHeight="16.5"/>
  <cols>
    <col min="1" max="1" width="4" style="24" customWidth="1"/>
    <col min="2" max="2" width="53.42578125" style="24" customWidth="1"/>
    <col min="3" max="3" width="12.5703125" style="24" hidden="1" customWidth="1"/>
    <col min="4" max="4" width="16.85546875" style="24" hidden="1" customWidth="1"/>
    <col min="5" max="5" width="17.28515625" style="24" hidden="1" customWidth="1"/>
    <col min="6" max="6" width="8.5703125" style="36" hidden="1" customWidth="1"/>
    <col min="7" max="7" width="17.85546875" style="35" hidden="1" customWidth="1"/>
    <col min="8" max="8" width="8.7109375" style="24" hidden="1" customWidth="1"/>
    <col min="9" max="9" width="21.7109375" style="24" customWidth="1"/>
    <col min="10" max="10" width="8.5703125" style="24" customWidth="1"/>
    <col min="11" max="11" width="7.85546875" style="24" customWidth="1"/>
    <col min="12" max="12" width="31" style="24" customWidth="1"/>
    <col min="13" max="13" width="9.42578125" style="24" customWidth="1"/>
    <col min="14" max="14" width="15.7109375" style="24" bestFit="1" customWidth="1"/>
    <col min="15" max="15" width="12.7109375" style="24" bestFit="1" customWidth="1"/>
    <col min="16" max="16" width="40.42578125" style="24" customWidth="1"/>
    <col min="17" max="17" width="28.42578125" style="24" customWidth="1"/>
    <col min="18" max="16384" width="9.140625" style="24"/>
  </cols>
  <sheetData>
    <row r="1" spans="1:17">
      <c r="A1" s="79" t="s">
        <v>167</v>
      </c>
      <c r="B1" s="79" t="s">
        <v>168</v>
      </c>
      <c r="C1" s="79"/>
      <c r="D1" s="79"/>
      <c r="E1" s="79"/>
      <c r="F1" s="80"/>
      <c r="G1" s="81"/>
      <c r="H1" s="79"/>
      <c r="I1" s="79" t="s">
        <v>169</v>
      </c>
    </row>
    <row r="2" spans="1:17" ht="17.25" thickBot="1">
      <c r="A2" s="82">
        <v>1</v>
      </c>
      <c r="B2" s="83" t="s">
        <v>23</v>
      </c>
      <c r="C2" s="84"/>
      <c r="D2" s="85">
        <v>11950000</v>
      </c>
      <c r="E2" s="86">
        <v>900000</v>
      </c>
      <c r="F2" s="87">
        <v>7.531380753138075</v>
      </c>
      <c r="G2" s="86">
        <v>1690000</v>
      </c>
      <c r="H2" s="88">
        <v>14.142259414225942</v>
      </c>
      <c r="I2" s="89">
        <v>2590000</v>
      </c>
      <c r="J2" s="76">
        <v>21.673640167364017</v>
      </c>
      <c r="K2" s="28"/>
      <c r="L2" s="11"/>
      <c r="M2" s="29"/>
      <c r="O2" s="62">
        <v>3</v>
      </c>
      <c r="P2" s="63" t="s">
        <v>139</v>
      </c>
      <c r="Q2" s="64" t="s">
        <v>140</v>
      </c>
    </row>
    <row r="3" spans="1:17" ht="17.25" thickBot="1">
      <c r="A3" s="82">
        <v>2</v>
      </c>
      <c r="B3" s="90" t="s">
        <v>28</v>
      </c>
      <c r="C3" s="91"/>
      <c r="D3" s="85">
        <v>1279929600</v>
      </c>
      <c r="E3" s="92">
        <v>953269200</v>
      </c>
      <c r="F3" s="87">
        <v>74.478252553890471</v>
      </c>
      <c r="G3" s="92">
        <v>84956400</v>
      </c>
      <c r="H3" s="88">
        <v>6.6375838171099408</v>
      </c>
      <c r="I3" s="89">
        <v>1038225600</v>
      </c>
      <c r="J3" s="77">
        <v>81.115836371000398</v>
      </c>
      <c r="K3" s="28"/>
      <c r="L3" s="11"/>
      <c r="M3" s="29"/>
      <c r="O3" s="62"/>
      <c r="P3" s="65" t="s">
        <v>141</v>
      </c>
      <c r="Q3" s="66" t="s">
        <v>142</v>
      </c>
    </row>
    <row r="4" spans="1:17" s="27" customFormat="1" ht="17.25" thickBot="1">
      <c r="A4" s="82">
        <v>3</v>
      </c>
      <c r="B4" s="83" t="s">
        <v>29</v>
      </c>
      <c r="C4" s="84"/>
      <c r="D4" s="85">
        <v>1116528578</v>
      </c>
      <c r="E4" s="86">
        <v>648866788</v>
      </c>
      <c r="F4" s="87">
        <v>58.114660097844805</v>
      </c>
      <c r="G4" s="86">
        <v>111448356</v>
      </c>
      <c r="H4" s="93">
        <v>9.9816841410036883</v>
      </c>
      <c r="I4" s="89">
        <v>760315144</v>
      </c>
      <c r="J4" s="76">
        <v>68.096344238848488</v>
      </c>
      <c r="K4" s="25"/>
      <c r="L4" s="12"/>
      <c r="M4" s="26"/>
      <c r="O4" s="62"/>
      <c r="P4" s="69" t="s">
        <v>143</v>
      </c>
      <c r="Q4" s="70" t="s">
        <v>144</v>
      </c>
    </row>
    <row r="5" spans="1:17" ht="17.25" thickBot="1">
      <c r="A5" s="94"/>
      <c r="B5" s="95" t="s">
        <v>30</v>
      </c>
      <c r="C5" s="96"/>
      <c r="D5" s="92">
        <v>324729000</v>
      </c>
      <c r="E5" s="97">
        <v>225772728</v>
      </c>
      <c r="F5" s="98">
        <v>69.526506102011211</v>
      </c>
      <c r="G5" s="97">
        <v>41169206</v>
      </c>
      <c r="H5" s="88">
        <v>12.678019517813317</v>
      </c>
      <c r="I5" s="99">
        <v>266941934</v>
      </c>
      <c r="J5" s="77">
        <v>82.204525619824537</v>
      </c>
      <c r="K5" s="25"/>
      <c r="L5" s="11"/>
      <c r="M5" s="29"/>
      <c r="O5" s="62"/>
      <c r="P5" s="71" t="s">
        <v>145</v>
      </c>
      <c r="Q5" s="72" t="s">
        <v>146</v>
      </c>
    </row>
    <row r="6" spans="1:17" ht="33.75" customHeight="1" thickBot="1">
      <c r="A6" s="82"/>
      <c r="B6" s="95" t="s">
        <v>84</v>
      </c>
      <c r="C6" s="100"/>
      <c r="D6" s="92">
        <v>266064578</v>
      </c>
      <c r="E6" s="92">
        <v>65651110</v>
      </c>
      <c r="F6" s="98">
        <v>24.674877991462662</v>
      </c>
      <c r="G6" s="92">
        <v>10869400</v>
      </c>
      <c r="H6" s="88">
        <v>4.0852488075282238</v>
      </c>
      <c r="I6" s="99">
        <v>76520510</v>
      </c>
      <c r="J6" s="77">
        <v>28.760126798990882</v>
      </c>
      <c r="K6" s="28"/>
      <c r="L6" s="11"/>
      <c r="M6" s="29"/>
      <c r="O6" s="62"/>
      <c r="P6" s="67" t="s">
        <v>147</v>
      </c>
      <c r="Q6" s="66" t="s">
        <v>148</v>
      </c>
    </row>
    <row r="7" spans="1:17" ht="17.25" thickBot="1">
      <c r="A7" s="94"/>
      <c r="B7" s="95" t="s">
        <v>45</v>
      </c>
      <c r="C7" s="96"/>
      <c r="D7" s="92">
        <v>32760000</v>
      </c>
      <c r="E7" s="97">
        <v>23589750</v>
      </c>
      <c r="F7" s="98">
        <v>72.007783882783883</v>
      </c>
      <c r="G7" s="97">
        <v>809750</v>
      </c>
      <c r="H7" s="88">
        <v>2.4717643467643469</v>
      </c>
      <c r="I7" s="99">
        <v>24399500</v>
      </c>
      <c r="J7" s="77">
        <v>74.479548229548229</v>
      </c>
      <c r="K7" s="25"/>
      <c r="L7" s="11"/>
      <c r="M7" s="29"/>
      <c r="O7" s="62"/>
      <c r="P7" s="67" t="s">
        <v>149</v>
      </c>
      <c r="Q7" s="66" t="s">
        <v>150</v>
      </c>
    </row>
    <row r="8" spans="1:17" s="27" customFormat="1" ht="17.25" thickBot="1">
      <c r="A8" s="82"/>
      <c r="B8" s="95" t="s">
        <v>50</v>
      </c>
      <c r="C8" s="96"/>
      <c r="D8" s="92">
        <v>41700000</v>
      </c>
      <c r="E8" s="97">
        <v>15650000</v>
      </c>
      <c r="F8" s="98">
        <v>37.529976019184652</v>
      </c>
      <c r="G8" s="97">
        <v>11275000</v>
      </c>
      <c r="H8" s="88">
        <v>27.038369304556355</v>
      </c>
      <c r="I8" s="99">
        <v>26925000</v>
      </c>
      <c r="J8" s="77">
        <v>64.568345323740999</v>
      </c>
      <c r="K8" s="25"/>
      <c r="L8" s="12"/>
      <c r="M8" s="26"/>
      <c r="O8" s="62"/>
      <c r="P8" s="67" t="s">
        <v>151</v>
      </c>
      <c r="Q8" s="68" t="s">
        <v>152</v>
      </c>
    </row>
    <row r="9" spans="1:17" ht="17.25" thickBot="1">
      <c r="A9" s="94"/>
      <c r="B9" s="95" t="s">
        <v>54</v>
      </c>
      <c r="C9" s="100"/>
      <c r="D9" s="101">
        <v>73350000</v>
      </c>
      <c r="E9" s="101">
        <v>48350000</v>
      </c>
      <c r="F9" s="98">
        <v>65.916837082481251</v>
      </c>
      <c r="G9" s="101">
        <v>13750000</v>
      </c>
      <c r="H9" s="88">
        <v>18.745739604635311</v>
      </c>
      <c r="I9" s="99">
        <v>62100000</v>
      </c>
      <c r="J9" s="77">
        <v>84.662576687116569</v>
      </c>
      <c r="K9" s="31"/>
      <c r="L9" s="30"/>
      <c r="M9" s="29"/>
      <c r="O9" s="62"/>
      <c r="P9" s="73" t="s">
        <v>153</v>
      </c>
      <c r="Q9" s="68" t="s">
        <v>154</v>
      </c>
    </row>
    <row r="10" spans="1:17" ht="17.25" thickBot="1">
      <c r="A10" s="82"/>
      <c r="B10" s="102" t="s">
        <v>56</v>
      </c>
      <c r="C10" s="100"/>
      <c r="D10" s="99">
        <v>72800000</v>
      </c>
      <c r="E10" s="99">
        <v>49650000</v>
      </c>
      <c r="F10" s="98">
        <v>68.200549450549445</v>
      </c>
      <c r="G10" s="99">
        <v>7125000</v>
      </c>
      <c r="H10" s="88">
        <v>9.7870879120879124</v>
      </c>
      <c r="I10" s="99">
        <v>56775000</v>
      </c>
      <c r="J10" s="77">
        <v>77.987637362637358</v>
      </c>
      <c r="K10" s="25"/>
      <c r="L10" s="11"/>
      <c r="M10" s="29"/>
      <c r="O10" s="62"/>
      <c r="P10" s="73" t="s">
        <v>155</v>
      </c>
      <c r="Q10" s="68" t="s">
        <v>156</v>
      </c>
    </row>
    <row r="11" spans="1:17" ht="17.25" thickBot="1">
      <c r="A11" s="94"/>
      <c r="B11" s="102" t="s">
        <v>59</v>
      </c>
      <c r="C11" s="100"/>
      <c r="D11" s="99">
        <v>40800000</v>
      </c>
      <c r="E11" s="99">
        <v>3580000</v>
      </c>
      <c r="F11" s="98">
        <v>8.7745098039215694</v>
      </c>
      <c r="G11" s="99">
        <v>15000000</v>
      </c>
      <c r="H11" s="88">
        <v>36.764705882352942</v>
      </c>
      <c r="I11" s="99">
        <v>18580000</v>
      </c>
      <c r="J11" s="77">
        <v>45.53921568627451</v>
      </c>
      <c r="K11" s="25"/>
      <c r="L11" s="11"/>
      <c r="M11" s="29"/>
      <c r="O11" s="62"/>
      <c r="P11" s="73" t="s">
        <v>157</v>
      </c>
      <c r="Q11" s="68" t="s">
        <v>158</v>
      </c>
    </row>
    <row r="12" spans="1:17" ht="17.25" thickBot="1">
      <c r="A12" s="82"/>
      <c r="B12" s="102" t="s">
        <v>60</v>
      </c>
      <c r="C12" s="100"/>
      <c r="D12" s="99">
        <v>40800000</v>
      </c>
      <c r="E12" s="99">
        <v>3580000</v>
      </c>
      <c r="F12" s="98">
        <v>8.7745098039215694</v>
      </c>
      <c r="G12" s="99">
        <v>15000000</v>
      </c>
      <c r="H12" s="88">
        <v>36.764705882352942</v>
      </c>
      <c r="I12" s="99">
        <v>18580000</v>
      </c>
      <c r="J12" s="77">
        <v>45.53921568627451</v>
      </c>
      <c r="K12" s="25"/>
      <c r="L12" s="11"/>
      <c r="M12" s="29"/>
      <c r="O12" s="62">
        <v>4</v>
      </c>
      <c r="P12" s="74" t="s">
        <v>159</v>
      </c>
      <c r="Q12" s="68" t="s">
        <v>160</v>
      </c>
    </row>
    <row r="13" spans="1:17" ht="32.25" thickBot="1">
      <c r="A13" s="94"/>
      <c r="B13" s="102" t="s">
        <v>61</v>
      </c>
      <c r="C13" s="100"/>
      <c r="D13" s="99">
        <v>50000000</v>
      </c>
      <c r="E13" s="99">
        <v>49973200</v>
      </c>
      <c r="F13" s="98">
        <v>99.946399999999997</v>
      </c>
      <c r="G13" s="99">
        <v>0</v>
      </c>
      <c r="H13" s="88">
        <v>0</v>
      </c>
      <c r="I13" s="99">
        <v>49973200</v>
      </c>
      <c r="J13" s="77">
        <v>99.946399999999997</v>
      </c>
      <c r="K13" s="25"/>
      <c r="L13" s="11"/>
      <c r="M13" s="29"/>
      <c r="O13" s="62"/>
      <c r="P13" s="73" t="s">
        <v>161</v>
      </c>
      <c r="Q13" s="68" t="s">
        <v>162</v>
      </c>
    </row>
    <row r="14" spans="1:17" ht="17.25" thickBot="1">
      <c r="A14" s="94"/>
      <c r="B14" s="95" t="s">
        <v>81</v>
      </c>
      <c r="C14" s="100"/>
      <c r="D14" s="99">
        <v>65000000</v>
      </c>
      <c r="E14" s="99">
        <v>60000000</v>
      </c>
      <c r="F14" s="98">
        <v>92.307692307692307</v>
      </c>
      <c r="G14" s="99">
        <v>0</v>
      </c>
      <c r="H14" s="88">
        <v>0</v>
      </c>
      <c r="I14" s="99">
        <v>60000000</v>
      </c>
      <c r="J14" s="77">
        <v>92.307692307692307</v>
      </c>
      <c r="K14" s="25"/>
      <c r="L14" s="11"/>
      <c r="M14" s="29"/>
      <c r="O14" s="62"/>
      <c r="P14" s="73" t="s">
        <v>163</v>
      </c>
      <c r="Q14" s="68" t="s">
        <v>164</v>
      </c>
    </row>
    <row r="15" spans="1:17" ht="16.5" hidden="1" customHeight="1">
      <c r="A15" s="82"/>
      <c r="B15" s="95" t="s">
        <v>82</v>
      </c>
      <c r="C15" s="100"/>
      <c r="D15" s="99">
        <v>60000000</v>
      </c>
      <c r="E15" s="99">
        <v>60000000</v>
      </c>
      <c r="F15" s="98">
        <v>100</v>
      </c>
      <c r="G15" s="99">
        <v>0</v>
      </c>
      <c r="H15" s="88">
        <v>0</v>
      </c>
      <c r="I15" s="99">
        <v>60000000</v>
      </c>
      <c r="J15" s="77">
        <v>100</v>
      </c>
      <c r="K15" s="28"/>
      <c r="L15" s="11"/>
      <c r="M15" s="29"/>
      <c r="O15" s="909" t="s">
        <v>165</v>
      </c>
      <c r="P15" s="910"/>
      <c r="Q15" s="75" t="s">
        <v>166</v>
      </c>
    </row>
    <row r="16" spans="1:17" hidden="1">
      <c r="A16" s="94"/>
      <c r="B16" s="95" t="s">
        <v>83</v>
      </c>
      <c r="C16" s="100"/>
      <c r="D16" s="99">
        <v>5000000</v>
      </c>
      <c r="E16" s="99">
        <v>0</v>
      </c>
      <c r="F16" s="98">
        <v>0</v>
      </c>
      <c r="G16" s="99"/>
      <c r="H16" s="88">
        <v>0</v>
      </c>
      <c r="I16" s="99">
        <v>0</v>
      </c>
      <c r="J16" s="77">
        <v>0</v>
      </c>
      <c r="K16" s="28"/>
      <c r="L16" s="11"/>
      <c r="M16" s="29"/>
    </row>
    <row r="17" spans="1:17" ht="31.5">
      <c r="A17" s="82"/>
      <c r="B17" s="95" t="s">
        <v>63</v>
      </c>
      <c r="C17" s="100"/>
      <c r="D17" s="99">
        <v>58500000</v>
      </c>
      <c r="E17" s="99">
        <v>28200000</v>
      </c>
      <c r="F17" s="98">
        <v>48.205128205128204</v>
      </c>
      <c r="G17" s="99">
        <v>4700000</v>
      </c>
      <c r="H17" s="88">
        <v>8.0341880341880341</v>
      </c>
      <c r="I17" s="99">
        <v>32900000</v>
      </c>
      <c r="J17" s="77">
        <v>56.239316239316238</v>
      </c>
      <c r="K17" s="25"/>
      <c r="L17" s="11"/>
      <c r="M17" s="29"/>
    </row>
    <row r="18" spans="1:17">
      <c r="A18" s="94"/>
      <c r="B18" s="95" t="s">
        <v>65</v>
      </c>
      <c r="C18" s="100"/>
      <c r="D18" s="99">
        <v>90825000</v>
      </c>
      <c r="E18" s="99">
        <v>78450000</v>
      </c>
      <c r="F18" s="98">
        <v>86.374896779521052</v>
      </c>
      <c r="G18" s="99">
        <v>6750000</v>
      </c>
      <c r="H18" s="88">
        <v>7.4318744838976052</v>
      </c>
      <c r="I18" s="99">
        <v>85200000</v>
      </c>
      <c r="J18" s="77">
        <v>93.806771263418668</v>
      </c>
      <c r="K18" s="25"/>
      <c r="L18" s="11"/>
      <c r="M18" s="29"/>
    </row>
    <row r="19" spans="1:17">
      <c r="A19" s="82"/>
      <c r="B19" s="90"/>
      <c r="C19" s="103"/>
      <c r="D19" s="89"/>
      <c r="E19" s="89"/>
      <c r="F19" s="87"/>
      <c r="G19" s="89"/>
      <c r="H19" s="93"/>
      <c r="I19" s="89"/>
      <c r="J19" s="76"/>
      <c r="K19" s="25"/>
      <c r="L19" s="11"/>
      <c r="M19" s="29"/>
    </row>
    <row r="20" spans="1:17">
      <c r="A20" s="94">
        <v>4</v>
      </c>
      <c r="B20" s="90" t="s">
        <v>67</v>
      </c>
      <c r="C20" s="103"/>
      <c r="D20" s="89">
        <v>404160000</v>
      </c>
      <c r="E20" s="89">
        <v>200071799</v>
      </c>
      <c r="F20" s="104">
        <v>260.05737831603295</v>
      </c>
      <c r="G20" s="89">
        <v>49125000</v>
      </c>
      <c r="H20" s="93">
        <v>12.154839667458432</v>
      </c>
      <c r="I20" s="89">
        <v>249196799</v>
      </c>
      <c r="J20" s="76">
        <v>61.657956997228823</v>
      </c>
      <c r="K20" s="25"/>
      <c r="L20" s="11"/>
      <c r="M20" s="29"/>
    </row>
    <row r="21" spans="1:17">
      <c r="A21" s="82"/>
      <c r="B21" s="95" t="s">
        <v>68</v>
      </c>
      <c r="C21" s="100"/>
      <c r="D21" s="99">
        <v>48000000</v>
      </c>
      <c r="E21" s="99">
        <v>2915000</v>
      </c>
      <c r="F21" s="98">
        <v>6.072916666666667</v>
      </c>
      <c r="G21" s="99">
        <v>45000000</v>
      </c>
      <c r="H21" s="88">
        <v>93.75</v>
      </c>
      <c r="I21" s="99">
        <v>47915000</v>
      </c>
      <c r="J21" s="77">
        <v>99.822916666666657</v>
      </c>
      <c r="K21" s="25"/>
      <c r="L21" s="11"/>
      <c r="M21" s="29"/>
      <c r="P21" s="24">
        <v>2819768178</v>
      </c>
      <c r="Q21" s="24">
        <v>2050327543</v>
      </c>
    </row>
    <row r="22" spans="1:17">
      <c r="A22" s="82"/>
      <c r="B22" s="95" t="s">
        <v>70</v>
      </c>
      <c r="C22" s="100"/>
      <c r="D22" s="99">
        <v>83460000</v>
      </c>
      <c r="E22" s="99">
        <v>30560000</v>
      </c>
      <c r="F22" s="98">
        <v>36.616343158399232</v>
      </c>
      <c r="G22" s="99">
        <v>0</v>
      </c>
      <c r="H22" s="88">
        <v>0</v>
      </c>
      <c r="I22" s="99">
        <v>77460000</v>
      </c>
      <c r="J22" s="77">
        <v>36.616343158399232</v>
      </c>
      <c r="K22" s="28"/>
      <c r="L22" s="11"/>
      <c r="M22" s="29"/>
      <c r="P22" s="110">
        <f>60%*P21</f>
        <v>1691860906.8</v>
      </c>
      <c r="Q22" s="110">
        <f>60%*Q21</f>
        <v>1230196525.8</v>
      </c>
    </row>
    <row r="23" spans="1:17" ht="31.5">
      <c r="A23" s="94"/>
      <c r="B23" s="95" t="s">
        <v>71</v>
      </c>
      <c r="C23" s="100"/>
      <c r="D23" s="99">
        <v>38000000</v>
      </c>
      <c r="E23" s="99">
        <v>36100000</v>
      </c>
      <c r="F23" s="98">
        <v>95</v>
      </c>
      <c r="G23" s="99">
        <v>0</v>
      </c>
      <c r="H23" s="88">
        <v>0</v>
      </c>
      <c r="I23" s="99">
        <v>36100000</v>
      </c>
      <c r="J23" s="77">
        <v>95</v>
      </c>
      <c r="K23" s="28"/>
      <c r="L23" s="11"/>
      <c r="M23" s="29"/>
      <c r="P23" s="110">
        <f>25%*P21</f>
        <v>704942044.5</v>
      </c>
      <c r="Q23" s="110">
        <f>25%*Q21</f>
        <v>512581885.75</v>
      </c>
    </row>
    <row r="24" spans="1:17">
      <c r="A24" s="82"/>
      <c r="B24" s="95" t="s">
        <v>73</v>
      </c>
      <c r="C24" s="100"/>
      <c r="D24" s="99">
        <v>41500000</v>
      </c>
      <c r="E24" s="99">
        <v>41500000</v>
      </c>
      <c r="F24" s="98">
        <v>100</v>
      </c>
      <c r="G24" s="99">
        <v>0</v>
      </c>
      <c r="H24" s="88">
        <v>0</v>
      </c>
      <c r="I24" s="99">
        <v>41500000</v>
      </c>
      <c r="J24" s="77">
        <v>100</v>
      </c>
      <c r="K24" s="28"/>
      <c r="L24" s="11"/>
      <c r="M24" s="29"/>
      <c r="P24" s="110">
        <f>15%*P21</f>
        <v>422965226.69999999</v>
      </c>
      <c r="Q24" s="110">
        <f>15%*Q21</f>
        <v>307549131.44999999</v>
      </c>
    </row>
    <row r="25" spans="1:17" hidden="1">
      <c r="A25" s="94"/>
      <c r="B25" s="95" t="s">
        <v>74</v>
      </c>
      <c r="C25" s="100"/>
      <c r="D25" s="99">
        <v>5000000</v>
      </c>
      <c r="E25" s="99">
        <v>0</v>
      </c>
      <c r="F25" s="98">
        <v>0</v>
      </c>
      <c r="G25" s="99">
        <v>0</v>
      </c>
      <c r="H25" s="88">
        <v>0</v>
      </c>
      <c r="I25" s="99">
        <v>0</v>
      </c>
      <c r="J25" s="77">
        <v>0</v>
      </c>
      <c r="K25" s="25"/>
      <c r="L25" s="11"/>
      <c r="M25" s="29"/>
    </row>
    <row r="26" spans="1:17" hidden="1">
      <c r="A26" s="82"/>
      <c r="B26" s="95" t="s">
        <v>170</v>
      </c>
      <c r="C26" s="100"/>
      <c r="D26" s="99">
        <v>5000000</v>
      </c>
      <c r="E26" s="99">
        <v>0</v>
      </c>
      <c r="F26" s="98">
        <v>0</v>
      </c>
      <c r="G26" s="99">
        <v>0</v>
      </c>
      <c r="H26" s="88">
        <v>0</v>
      </c>
      <c r="I26" s="99">
        <v>0</v>
      </c>
      <c r="J26" s="77">
        <v>0</v>
      </c>
      <c r="K26" s="28"/>
      <c r="L26" s="11"/>
      <c r="M26" s="29"/>
    </row>
    <row r="27" spans="1:17">
      <c r="A27" s="94"/>
      <c r="B27" s="95" t="s">
        <v>75</v>
      </c>
      <c r="C27" s="100"/>
      <c r="D27" s="99">
        <v>188200000</v>
      </c>
      <c r="E27" s="99">
        <v>42096799</v>
      </c>
      <c r="F27" s="98">
        <v>22.368118490967056</v>
      </c>
      <c r="G27" s="99">
        <v>4125000</v>
      </c>
      <c r="H27" s="88">
        <v>2.1918172157279492</v>
      </c>
      <c r="I27" s="99">
        <v>46221799</v>
      </c>
      <c r="J27" s="77">
        <v>24.559935706695004</v>
      </c>
      <c r="K27" s="28"/>
      <c r="L27" s="11"/>
      <c r="M27" s="29"/>
    </row>
    <row r="28" spans="1:17" ht="17.25" thickBot="1">
      <c r="A28" s="105"/>
      <c r="B28" s="106"/>
      <c r="C28" s="100"/>
      <c r="D28" s="100"/>
      <c r="E28" s="85"/>
      <c r="F28" s="107"/>
      <c r="G28" s="108"/>
      <c r="H28" s="109"/>
      <c r="I28" s="100"/>
      <c r="J28" s="78"/>
      <c r="K28" s="32"/>
      <c r="L28" s="20"/>
      <c r="M28" s="33"/>
    </row>
    <row r="29" spans="1:17">
      <c r="G29" s="24"/>
    </row>
    <row r="30" spans="1:17">
      <c r="G30" s="24"/>
    </row>
    <row r="31" spans="1:17">
      <c r="G31" s="24"/>
    </row>
    <row r="32" spans="1:17" ht="17.25" thickBot="1">
      <c r="A32" s="82">
        <v>1</v>
      </c>
      <c r="B32" s="83" t="s">
        <v>23</v>
      </c>
      <c r="C32" s="84"/>
      <c r="D32" s="85">
        <v>11950000</v>
      </c>
      <c r="E32" s="86">
        <v>900000</v>
      </c>
      <c r="F32" s="87">
        <v>7.531380753138075</v>
      </c>
      <c r="G32" s="86">
        <v>1690000</v>
      </c>
      <c r="H32" s="88">
        <v>14.142259414225942</v>
      </c>
      <c r="I32" s="89">
        <v>2590000</v>
      </c>
      <c r="J32" s="76">
        <v>21.673640167364017</v>
      </c>
      <c r="K32" s="28"/>
      <c r="L32" s="11"/>
      <c r="M32" s="29"/>
      <c r="O32" s="62">
        <v>3</v>
      </c>
      <c r="P32" s="63" t="s">
        <v>139</v>
      </c>
      <c r="Q32" s="64" t="s">
        <v>140</v>
      </c>
    </row>
    <row r="33" spans="1:17" ht="17.25" thickBot="1">
      <c r="A33" s="82">
        <v>2</v>
      </c>
      <c r="B33" s="90" t="s">
        <v>28</v>
      </c>
      <c r="C33" s="91"/>
      <c r="D33" s="85">
        <v>1279929600</v>
      </c>
      <c r="E33" s="92">
        <v>953269200</v>
      </c>
      <c r="F33" s="87">
        <v>74.478252553890471</v>
      </c>
      <c r="G33" s="92">
        <v>84956400</v>
      </c>
      <c r="H33" s="88">
        <v>6.6375838171099408</v>
      </c>
      <c r="I33" s="89">
        <v>1038225600</v>
      </c>
      <c r="J33" s="77">
        <v>81.115836371000398</v>
      </c>
      <c r="K33" s="28"/>
      <c r="L33" s="11"/>
      <c r="M33" s="29"/>
      <c r="O33" s="62"/>
      <c r="P33" s="65" t="s">
        <v>141</v>
      </c>
      <c r="Q33" s="66" t="s">
        <v>142</v>
      </c>
    </row>
    <row r="34" spans="1:17" s="27" customFormat="1" ht="17.25" thickBot="1">
      <c r="A34" s="82">
        <v>3</v>
      </c>
      <c r="B34" s="83" t="s">
        <v>29</v>
      </c>
      <c r="C34" s="84"/>
      <c r="D34" s="85">
        <v>1116528578</v>
      </c>
      <c r="E34" s="86">
        <v>648866788</v>
      </c>
      <c r="F34" s="87">
        <v>58.114660097844805</v>
      </c>
      <c r="G34" s="86">
        <v>111448356</v>
      </c>
      <c r="H34" s="93">
        <v>9.9816841410036883</v>
      </c>
      <c r="I34" s="89">
        <v>760315144</v>
      </c>
      <c r="J34" s="76">
        <v>68.096344238848488</v>
      </c>
      <c r="K34" s="25"/>
      <c r="L34" s="12"/>
      <c r="M34" s="26"/>
      <c r="O34" s="62"/>
      <c r="P34" s="69" t="s">
        <v>143</v>
      </c>
      <c r="Q34" s="70" t="s">
        <v>144</v>
      </c>
    </row>
    <row r="35" spans="1:17">
      <c r="A35" s="94">
        <v>4</v>
      </c>
      <c r="B35" s="90" t="s">
        <v>67</v>
      </c>
      <c r="C35" s="103"/>
      <c r="D35" s="89">
        <v>404160000</v>
      </c>
      <c r="E35" s="89">
        <v>200071799</v>
      </c>
      <c r="F35" s="104">
        <v>260.05737831603295</v>
      </c>
      <c r="G35" s="89">
        <v>49125000</v>
      </c>
      <c r="H35" s="93">
        <v>12.154839667458432</v>
      </c>
      <c r="I35" s="89">
        <v>249196799</v>
      </c>
      <c r="J35" s="76">
        <v>61.657956997228823</v>
      </c>
      <c r="K35" s="25"/>
      <c r="L35" s="11"/>
      <c r="M35" s="29"/>
    </row>
    <row r="36" spans="1:17">
      <c r="G36" s="24"/>
    </row>
    <row r="37" spans="1:17">
      <c r="G37" s="24"/>
    </row>
    <row r="38" spans="1:17">
      <c r="G38" s="24"/>
    </row>
    <row r="39" spans="1:17">
      <c r="G39" s="24"/>
    </row>
    <row r="40" spans="1:17">
      <c r="G40" s="24"/>
    </row>
    <row r="41" spans="1:17">
      <c r="G41" s="24"/>
    </row>
    <row r="42" spans="1:17">
      <c r="G42" s="24"/>
    </row>
    <row r="43" spans="1:17">
      <c r="G43" s="24"/>
    </row>
    <row r="44" spans="1:17">
      <c r="G44" s="24"/>
    </row>
    <row r="45" spans="1:17">
      <c r="G45" s="24"/>
    </row>
    <row r="46" spans="1:17">
      <c r="G46" s="24"/>
    </row>
    <row r="47" spans="1:17">
      <c r="G47" s="24"/>
    </row>
    <row r="48" spans="1:17">
      <c r="G48" s="24"/>
    </row>
    <row r="49" spans="7:7">
      <c r="G49" s="24"/>
    </row>
    <row r="50" spans="7:7">
      <c r="G50" s="24"/>
    </row>
    <row r="51" spans="7:7">
      <c r="G51" s="24"/>
    </row>
    <row r="52" spans="7:7">
      <c r="G52" s="24"/>
    </row>
    <row r="53" spans="7:7">
      <c r="G53" s="24"/>
    </row>
    <row r="54" spans="7:7">
      <c r="G54" s="24"/>
    </row>
  </sheetData>
  <mergeCells count="1">
    <mergeCell ref="O15:P15"/>
  </mergeCells>
  <pageMargins left="0.7" right="0.7" top="0.75" bottom="0.75" header="0.3" footer="0.3"/>
  <pageSetup paperSize="10000" scale="6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86"/>
  <sheetViews>
    <sheetView workbookViewId="0">
      <selection activeCell="H29" sqref="H29"/>
    </sheetView>
  </sheetViews>
  <sheetFormatPr defaultRowHeight="15.75"/>
  <cols>
    <col min="1" max="1" width="9.140625" style="307"/>
    <col min="2" max="2" width="9.7109375" style="307" bestFit="1" customWidth="1"/>
    <col min="3" max="3" width="17" style="307" bestFit="1" customWidth="1"/>
    <col min="4" max="4" width="20.42578125" style="307" bestFit="1" customWidth="1"/>
    <col min="5" max="5" width="14" style="307" bestFit="1" customWidth="1"/>
    <col min="6" max="6" width="15.7109375" style="307" bestFit="1" customWidth="1"/>
    <col min="7" max="7" width="14" style="307" bestFit="1" customWidth="1"/>
    <col min="8" max="8" width="9.140625" style="307"/>
    <col min="9" max="9" width="14" style="307" customWidth="1"/>
    <col min="10" max="10" width="14.42578125" style="307" bestFit="1" customWidth="1"/>
    <col min="11" max="11" width="9.140625" style="307"/>
    <col min="12" max="12" width="11" style="307" bestFit="1" customWidth="1"/>
    <col min="13" max="13" width="14" style="307" bestFit="1" customWidth="1"/>
    <col min="14" max="16384" width="9.140625" style="307"/>
  </cols>
  <sheetData>
    <row r="1" spans="1:13">
      <c r="A1" s="307" t="s">
        <v>341</v>
      </c>
      <c r="H1" s="308"/>
      <c r="I1" s="309">
        <v>615265676.875</v>
      </c>
      <c r="J1" s="308" t="s">
        <v>333</v>
      </c>
      <c r="K1" s="308"/>
      <c r="L1" s="308"/>
      <c r="M1" s="308"/>
    </row>
    <row r="2" spans="1:13">
      <c r="H2" s="308"/>
      <c r="I2" s="309">
        <v>356352572.125</v>
      </c>
      <c r="J2" s="308" t="s">
        <v>332</v>
      </c>
      <c r="K2" s="308"/>
      <c r="L2" s="308"/>
      <c r="M2" s="308"/>
    </row>
    <row r="3" spans="1:13">
      <c r="H3" s="308"/>
      <c r="I3" s="309">
        <v>971618249</v>
      </c>
      <c r="J3" s="308"/>
      <c r="K3" s="308"/>
      <c r="L3" s="308"/>
      <c r="M3" s="308"/>
    </row>
    <row r="4" spans="1:13">
      <c r="A4" s="307" t="s">
        <v>85</v>
      </c>
      <c r="B4" s="307" t="s">
        <v>342</v>
      </c>
      <c r="C4" s="307" t="s">
        <v>344</v>
      </c>
      <c r="D4" s="307" t="s">
        <v>281</v>
      </c>
      <c r="E4" s="307" t="s">
        <v>213</v>
      </c>
    </row>
    <row r="5" spans="1:13">
      <c r="B5" s="307" t="s">
        <v>343</v>
      </c>
      <c r="C5" s="307" t="s">
        <v>345</v>
      </c>
      <c r="E5" s="310" t="e">
        <f>total!AA28</f>
        <v>#REF!</v>
      </c>
      <c r="F5" s="310"/>
      <c r="G5" s="310"/>
      <c r="M5" s="360">
        <f>I1</f>
        <v>615265676.875</v>
      </c>
    </row>
    <row r="6" spans="1:13">
      <c r="E6" s="311" t="s">
        <v>135</v>
      </c>
      <c r="F6" s="311" t="s">
        <v>355</v>
      </c>
      <c r="G6" s="311" t="s">
        <v>335</v>
      </c>
      <c r="H6" s="312"/>
      <c r="I6" s="312"/>
      <c r="J6" s="312"/>
      <c r="L6" s="307" t="str">
        <f>B5</f>
        <v>LISA</v>
      </c>
      <c r="M6" s="310">
        <f>J27</f>
        <v>38641000</v>
      </c>
    </row>
    <row r="7" spans="1:13">
      <c r="D7" s="316" t="s">
        <v>282</v>
      </c>
      <c r="E7" s="317">
        <v>5</v>
      </c>
      <c r="F7" s="317">
        <v>2</v>
      </c>
      <c r="G7" s="318">
        <f>E7-F7</f>
        <v>3</v>
      </c>
      <c r="H7" s="319" t="s">
        <v>346</v>
      </c>
      <c r="I7" s="320">
        <v>175000</v>
      </c>
      <c r="J7" s="321">
        <f t="shared" ref="J7:J22" si="0">G7*I7</f>
        <v>525000</v>
      </c>
      <c r="L7" s="307" t="s">
        <v>351</v>
      </c>
      <c r="M7" s="310">
        <f>J49</f>
        <v>24960000</v>
      </c>
    </row>
    <row r="8" spans="1:13">
      <c r="D8" s="316" t="s">
        <v>283</v>
      </c>
      <c r="E8" s="317">
        <v>10</v>
      </c>
      <c r="F8" s="317">
        <v>3</v>
      </c>
      <c r="G8" s="318">
        <f t="shared" ref="G8:G22" si="1">E8-F8</f>
        <v>7</v>
      </c>
      <c r="H8" s="319" t="s">
        <v>347</v>
      </c>
      <c r="I8" s="320">
        <v>50000</v>
      </c>
      <c r="J8" s="321">
        <f t="shared" si="0"/>
        <v>350000</v>
      </c>
      <c r="L8" s="307" t="s">
        <v>354</v>
      </c>
      <c r="M8" s="310">
        <f>J81</f>
        <v>17500000</v>
      </c>
    </row>
    <row r="9" spans="1:13">
      <c r="D9" s="316" t="s">
        <v>284</v>
      </c>
      <c r="E9" s="317">
        <v>5</v>
      </c>
      <c r="F9" s="317">
        <v>2</v>
      </c>
      <c r="G9" s="318">
        <f t="shared" si="1"/>
        <v>3</v>
      </c>
      <c r="H9" s="319" t="s">
        <v>347</v>
      </c>
      <c r="I9" s="320">
        <v>30000</v>
      </c>
      <c r="J9" s="321">
        <f t="shared" si="0"/>
        <v>90000</v>
      </c>
    </row>
    <row r="10" spans="1:13">
      <c r="D10" s="316" t="s">
        <v>285</v>
      </c>
      <c r="E10" s="317">
        <v>12</v>
      </c>
      <c r="F10" s="317">
        <v>4</v>
      </c>
      <c r="G10" s="318">
        <f t="shared" si="1"/>
        <v>8</v>
      </c>
      <c r="H10" s="319" t="s">
        <v>347</v>
      </c>
      <c r="I10" s="320">
        <v>7000</v>
      </c>
      <c r="J10" s="321">
        <f t="shared" si="0"/>
        <v>56000</v>
      </c>
    </row>
    <row r="11" spans="1:13">
      <c r="D11" s="316" t="s">
        <v>286</v>
      </c>
      <c r="E11" s="317">
        <v>12</v>
      </c>
      <c r="F11" s="317">
        <v>4</v>
      </c>
      <c r="G11" s="318">
        <f t="shared" si="1"/>
        <v>8</v>
      </c>
      <c r="H11" s="319" t="s">
        <v>347</v>
      </c>
      <c r="I11" s="320">
        <v>5000</v>
      </c>
      <c r="J11" s="321">
        <f t="shared" si="0"/>
        <v>40000</v>
      </c>
    </row>
    <row r="12" spans="1:13">
      <c r="D12" s="322" t="s">
        <v>287</v>
      </c>
      <c r="E12" s="323">
        <v>12</v>
      </c>
      <c r="F12" s="323">
        <v>4</v>
      </c>
      <c r="G12" s="324">
        <f t="shared" si="1"/>
        <v>8</v>
      </c>
      <c r="H12" s="325" t="s">
        <v>347</v>
      </c>
      <c r="I12" s="326">
        <v>35000</v>
      </c>
      <c r="J12" s="327">
        <f t="shared" si="0"/>
        <v>280000</v>
      </c>
      <c r="M12" s="360">
        <f>SUM(M6:M11)</f>
        <v>81101000</v>
      </c>
    </row>
    <row r="13" spans="1:13">
      <c r="D13" s="316" t="s">
        <v>288</v>
      </c>
      <c r="E13" s="317">
        <v>100</v>
      </c>
      <c r="F13" s="317">
        <v>40</v>
      </c>
      <c r="G13" s="318">
        <f t="shared" si="1"/>
        <v>60</v>
      </c>
      <c r="H13" s="319" t="s">
        <v>347</v>
      </c>
      <c r="I13" s="320">
        <v>35000</v>
      </c>
      <c r="J13" s="321">
        <f t="shared" si="0"/>
        <v>2100000</v>
      </c>
      <c r="M13" s="360">
        <f>M5-M12</f>
        <v>534164676.875</v>
      </c>
    </row>
    <row r="14" spans="1:13">
      <c r="D14" s="316" t="s">
        <v>289</v>
      </c>
      <c r="E14" s="317">
        <v>5</v>
      </c>
      <c r="F14" s="317">
        <v>2</v>
      </c>
      <c r="G14" s="318">
        <f t="shared" si="1"/>
        <v>3</v>
      </c>
      <c r="H14" s="319" t="s">
        <v>346</v>
      </c>
      <c r="I14" s="320">
        <v>250000</v>
      </c>
      <c r="J14" s="321">
        <f t="shared" si="0"/>
        <v>750000</v>
      </c>
    </row>
    <row r="15" spans="1:13">
      <c r="D15" s="316" t="s">
        <v>290</v>
      </c>
      <c r="E15" s="317">
        <v>40</v>
      </c>
      <c r="F15" s="317">
        <v>15</v>
      </c>
      <c r="G15" s="318">
        <f t="shared" si="1"/>
        <v>25</v>
      </c>
      <c r="H15" s="319" t="s">
        <v>348</v>
      </c>
      <c r="I15" s="320">
        <v>50000</v>
      </c>
      <c r="J15" s="321">
        <f t="shared" si="0"/>
        <v>1250000</v>
      </c>
    </row>
    <row r="16" spans="1:13" ht="31.5">
      <c r="D16" s="316" t="s">
        <v>291</v>
      </c>
      <c r="E16" s="317">
        <v>15</v>
      </c>
      <c r="F16" s="317">
        <v>7</v>
      </c>
      <c r="G16" s="318">
        <f t="shared" si="1"/>
        <v>8</v>
      </c>
      <c r="H16" s="319" t="s">
        <v>348</v>
      </c>
      <c r="I16" s="320">
        <v>100000</v>
      </c>
      <c r="J16" s="321">
        <f t="shared" si="0"/>
        <v>800000</v>
      </c>
    </row>
    <row r="17" spans="4:10" ht="31.5">
      <c r="D17" s="316" t="s">
        <v>292</v>
      </c>
      <c r="E17" s="317">
        <v>36</v>
      </c>
      <c r="F17" s="317">
        <v>12</v>
      </c>
      <c r="G17" s="318">
        <f t="shared" si="1"/>
        <v>24</v>
      </c>
      <c r="H17" s="319" t="s">
        <v>347</v>
      </c>
      <c r="I17" s="320">
        <v>50000</v>
      </c>
      <c r="J17" s="321">
        <f t="shared" si="0"/>
        <v>1200000</v>
      </c>
    </row>
    <row r="18" spans="4:10" ht="31.5">
      <c r="D18" s="316" t="s">
        <v>293</v>
      </c>
      <c r="E18" s="317">
        <v>4</v>
      </c>
      <c r="F18" s="317"/>
      <c r="G18" s="318">
        <f t="shared" si="1"/>
        <v>4</v>
      </c>
      <c r="H18" s="319" t="s">
        <v>347</v>
      </c>
      <c r="I18" s="320">
        <v>300000</v>
      </c>
      <c r="J18" s="321">
        <f t="shared" si="0"/>
        <v>1200000</v>
      </c>
    </row>
    <row r="19" spans="4:10" ht="31.5">
      <c r="D19" s="316" t="s">
        <v>294</v>
      </c>
      <c r="E19" s="317">
        <v>20</v>
      </c>
      <c r="F19" s="317"/>
      <c r="G19" s="318">
        <f>E19-F19</f>
        <v>20</v>
      </c>
      <c r="H19" s="319" t="s">
        <v>347</v>
      </c>
      <c r="I19" s="320">
        <v>100000</v>
      </c>
      <c r="J19" s="321">
        <f t="shared" si="0"/>
        <v>2000000</v>
      </c>
    </row>
    <row r="20" spans="4:10" ht="31.5">
      <c r="D20" s="316" t="s">
        <v>295</v>
      </c>
      <c r="E20" s="317">
        <v>30</v>
      </c>
      <c r="F20" s="317"/>
      <c r="G20" s="318">
        <f t="shared" si="1"/>
        <v>30</v>
      </c>
      <c r="H20" s="319" t="s">
        <v>348</v>
      </c>
      <c r="I20" s="320">
        <v>50000</v>
      </c>
      <c r="J20" s="321">
        <f t="shared" si="0"/>
        <v>1500000</v>
      </c>
    </row>
    <row r="21" spans="4:10">
      <c r="D21" s="328" t="s">
        <v>296</v>
      </c>
      <c r="E21" s="329">
        <v>3</v>
      </c>
      <c r="F21" s="329"/>
      <c r="G21" s="330">
        <f t="shared" si="1"/>
        <v>3</v>
      </c>
      <c r="H21" s="331" t="s">
        <v>347</v>
      </c>
      <c r="I21" s="332">
        <v>250000</v>
      </c>
      <c r="J21" s="333">
        <f t="shared" si="0"/>
        <v>750000</v>
      </c>
    </row>
    <row r="22" spans="4:10">
      <c r="D22" s="316" t="s">
        <v>297</v>
      </c>
      <c r="E22" s="317">
        <v>3</v>
      </c>
      <c r="F22" s="317"/>
      <c r="G22" s="318">
        <f t="shared" si="1"/>
        <v>3</v>
      </c>
      <c r="H22" s="319" t="s">
        <v>347</v>
      </c>
      <c r="I22" s="320">
        <v>250000</v>
      </c>
      <c r="J22" s="321">
        <f t="shared" si="0"/>
        <v>750000</v>
      </c>
    </row>
    <row r="23" spans="4:10">
      <c r="E23" s="313"/>
      <c r="F23" s="313"/>
      <c r="G23" s="312"/>
      <c r="H23" s="312"/>
      <c r="I23" s="312"/>
      <c r="J23" s="314">
        <f>SUM(J7:J22)</f>
        <v>13641000</v>
      </c>
    </row>
    <row r="24" spans="4:10">
      <c r="E24" s="312"/>
      <c r="F24" s="312"/>
      <c r="G24" s="312"/>
      <c r="H24" s="312"/>
      <c r="I24" s="312"/>
      <c r="J24" s="312"/>
    </row>
    <row r="25" spans="4:10" ht="31.5">
      <c r="D25" s="316" t="s">
        <v>324</v>
      </c>
      <c r="E25" s="334"/>
      <c r="F25" s="335"/>
      <c r="G25" s="336">
        <v>1</v>
      </c>
      <c r="H25" s="337" t="s">
        <v>350</v>
      </c>
      <c r="I25" s="336">
        <v>25000000</v>
      </c>
      <c r="J25" s="338">
        <f>G25*I25</f>
        <v>25000000</v>
      </c>
    </row>
    <row r="26" spans="4:10">
      <c r="E26" s="312"/>
      <c r="F26" s="312"/>
      <c r="G26" s="312"/>
      <c r="H26" s="312"/>
      <c r="I26" s="312"/>
      <c r="J26" s="312"/>
    </row>
    <row r="27" spans="4:10">
      <c r="E27" s="312"/>
      <c r="F27" s="312"/>
      <c r="G27" s="312"/>
      <c r="H27" s="312"/>
      <c r="I27" s="311" t="s">
        <v>135</v>
      </c>
      <c r="J27" s="315">
        <f>J23+J25</f>
        <v>38641000</v>
      </c>
    </row>
    <row r="28" spans="4:10">
      <c r="E28" s="312"/>
      <c r="F28" s="312"/>
      <c r="G28" s="312"/>
      <c r="H28" s="312"/>
      <c r="I28" s="312"/>
      <c r="J28" s="312"/>
    </row>
    <row r="29" spans="4:10">
      <c r="E29" s="312"/>
      <c r="F29" s="312"/>
      <c r="G29" s="312"/>
      <c r="H29" s="312"/>
      <c r="I29" s="312"/>
      <c r="J29" s="312"/>
    </row>
    <row r="30" spans="4:10" s="312" customFormat="1"/>
    <row r="31" spans="4:10" s="312" customFormat="1"/>
    <row r="32" spans="4:10" s="312" customFormat="1"/>
    <row r="33" spans="4:10" s="312" customFormat="1"/>
    <row r="34" spans="4:10" s="304" customFormat="1" ht="47.25">
      <c r="D34" s="339" t="s">
        <v>325</v>
      </c>
      <c r="E34" s="336"/>
      <c r="F34" s="337"/>
      <c r="G34" s="336"/>
      <c r="H34" s="337"/>
      <c r="I34" s="336"/>
      <c r="J34" s="340">
        <f>J35+J36</f>
        <v>7180000</v>
      </c>
    </row>
    <row r="35" spans="4:10" s="304" customFormat="1" ht="31.5">
      <c r="D35" s="316" t="s">
        <v>326</v>
      </c>
      <c r="E35" s="336"/>
      <c r="F35" s="337"/>
      <c r="G35" s="336">
        <v>1</v>
      </c>
      <c r="H35" s="337" t="s">
        <v>350</v>
      </c>
      <c r="I35" s="336">
        <v>6300000</v>
      </c>
      <c r="J35" s="336">
        <f>G35*I35</f>
        <v>6300000</v>
      </c>
    </row>
    <row r="36" spans="4:10" s="304" customFormat="1">
      <c r="D36" s="316" t="s">
        <v>327</v>
      </c>
      <c r="E36" s="318"/>
      <c r="F36" s="319"/>
      <c r="G36" s="318">
        <v>2</v>
      </c>
      <c r="H36" s="319" t="s">
        <v>352</v>
      </c>
      <c r="I36" s="320">
        <v>440000</v>
      </c>
      <c r="J36" s="320">
        <f>G36*I36</f>
        <v>880000</v>
      </c>
    </row>
    <row r="37" spans="4:10" s="304" customFormat="1">
      <c r="D37" s="316"/>
      <c r="E37" s="318"/>
      <c r="F37" s="319"/>
      <c r="G37" s="318"/>
      <c r="H37" s="319"/>
      <c r="I37" s="341"/>
      <c r="J37" s="336"/>
    </row>
    <row r="38" spans="4:10" s="304" customFormat="1" ht="78.75">
      <c r="D38" s="339" t="s">
        <v>328</v>
      </c>
      <c r="E38" s="336"/>
      <c r="F38" s="337"/>
      <c r="G38" s="336"/>
      <c r="H38" s="337"/>
      <c r="I38" s="336"/>
      <c r="J38" s="340">
        <f>J39</f>
        <v>280000</v>
      </c>
    </row>
    <row r="39" spans="4:10" s="304" customFormat="1" ht="63">
      <c r="D39" s="316" t="s">
        <v>329</v>
      </c>
      <c r="E39" s="336"/>
      <c r="F39" s="337"/>
      <c r="G39" s="336">
        <v>1</v>
      </c>
      <c r="H39" s="337" t="s">
        <v>347</v>
      </c>
      <c r="I39" s="342">
        <v>3000000</v>
      </c>
      <c r="J39" s="336">
        <v>280000</v>
      </c>
    </row>
    <row r="40" spans="4:10" s="304" customFormat="1">
      <c r="D40" s="316"/>
      <c r="E40" s="336"/>
      <c r="F40" s="337"/>
      <c r="G40" s="336"/>
      <c r="H40" s="337"/>
      <c r="I40" s="342"/>
      <c r="J40" s="343"/>
    </row>
    <row r="41" spans="4:10" s="304" customFormat="1" ht="47.25">
      <c r="D41" s="339" t="s">
        <v>330</v>
      </c>
      <c r="E41" s="343"/>
      <c r="F41" s="344"/>
      <c r="G41" s="343"/>
      <c r="H41" s="344"/>
      <c r="I41" s="345"/>
      <c r="J41" s="340">
        <f>SUM(J42:J42)</f>
        <v>9000000</v>
      </c>
    </row>
    <row r="42" spans="4:10" s="304" customFormat="1" ht="47.25">
      <c r="D42" s="316" t="s">
        <v>331</v>
      </c>
      <c r="E42" s="336"/>
      <c r="F42" s="337"/>
      <c r="G42" s="336">
        <v>1</v>
      </c>
      <c r="H42" s="337" t="s">
        <v>350</v>
      </c>
      <c r="I42" s="342">
        <v>10000000</v>
      </c>
      <c r="J42" s="336">
        <v>9000000</v>
      </c>
    </row>
    <row r="43" spans="4:10" s="304" customFormat="1">
      <c r="D43" s="316"/>
      <c r="E43" s="336"/>
      <c r="F43" s="337"/>
      <c r="G43" s="336"/>
      <c r="H43" s="337"/>
      <c r="I43" s="336"/>
      <c r="J43" s="336"/>
    </row>
    <row r="44" spans="4:10" s="304" customFormat="1">
      <c r="D44" s="305"/>
      <c r="E44" s="305"/>
      <c r="F44" s="305"/>
      <c r="G44" s="305"/>
      <c r="H44" s="305"/>
      <c r="I44" s="305"/>
      <c r="J44" s="305"/>
    </row>
    <row r="45" spans="4:10" s="304" customFormat="1" ht="31.5">
      <c r="D45" s="346" t="s">
        <v>321</v>
      </c>
      <c r="E45" s="347"/>
      <c r="F45" s="348"/>
      <c r="G45" s="349"/>
      <c r="H45" s="347"/>
      <c r="I45" s="347"/>
      <c r="J45" s="350">
        <f>J46+J47</f>
        <v>8500000</v>
      </c>
    </row>
    <row r="46" spans="4:10" s="304" customFormat="1">
      <c r="D46" s="351" t="s">
        <v>322</v>
      </c>
      <c r="E46" s="347"/>
      <c r="F46" s="349"/>
      <c r="G46" s="347">
        <v>1</v>
      </c>
      <c r="H46" s="347" t="s">
        <v>353</v>
      </c>
      <c r="I46" s="347">
        <v>1500000</v>
      </c>
      <c r="J46" s="349">
        <f>G46*I46</f>
        <v>1500000</v>
      </c>
    </row>
    <row r="47" spans="4:10" s="304" customFormat="1">
      <c r="D47" s="351" t="s">
        <v>323</v>
      </c>
      <c r="E47" s="347"/>
      <c r="F47" s="349"/>
      <c r="G47" s="347">
        <v>1</v>
      </c>
      <c r="H47" s="347" t="s">
        <v>353</v>
      </c>
      <c r="I47" s="347">
        <v>7000000</v>
      </c>
      <c r="J47" s="349">
        <f>G47*I47</f>
        <v>7000000</v>
      </c>
    </row>
    <row r="48" spans="4:10" s="304" customFormat="1">
      <c r="D48" s="305"/>
      <c r="E48" s="305"/>
      <c r="F48" s="305"/>
      <c r="G48" s="305"/>
      <c r="H48" s="305"/>
      <c r="I48" s="305"/>
      <c r="J48" s="305"/>
    </row>
    <row r="49" spans="2:11" s="304" customFormat="1">
      <c r="D49" s="305"/>
      <c r="E49" s="305"/>
      <c r="F49" s="305"/>
      <c r="G49" s="305"/>
      <c r="H49" s="305"/>
      <c r="I49" s="306" t="s">
        <v>135</v>
      </c>
      <c r="J49" s="306">
        <f>J34+J38+J41+J45</f>
        <v>24960000</v>
      </c>
    </row>
    <row r="50" spans="2:11" s="304" customFormat="1"/>
    <row r="51" spans="2:11" s="304" customFormat="1"/>
    <row r="52" spans="2:11" s="304" customFormat="1"/>
    <row r="53" spans="2:11" s="304" customFormat="1"/>
    <row r="54" spans="2:11" s="304" customFormat="1">
      <c r="B54" s="305" t="s">
        <v>365</v>
      </c>
      <c r="C54" s="305" t="s">
        <v>356</v>
      </c>
      <c r="D54" s="305"/>
      <c r="E54" s="305"/>
      <c r="F54" s="305"/>
      <c r="G54" s="318">
        <v>3</v>
      </c>
      <c r="H54" s="319" t="s">
        <v>357</v>
      </c>
      <c r="I54" s="341">
        <v>3500000</v>
      </c>
      <c r="J54" s="361">
        <f>I54*G54</f>
        <v>10500000</v>
      </c>
      <c r="K54" s="305"/>
    </row>
    <row r="55" spans="2:11" s="304" customFormat="1">
      <c r="B55" s="305"/>
      <c r="C55" s="305"/>
      <c r="D55" s="305"/>
      <c r="E55" s="305"/>
      <c r="F55" s="366"/>
      <c r="G55" s="305"/>
      <c r="H55" s="305"/>
      <c r="I55" s="305"/>
      <c r="J55" s="305"/>
      <c r="K55" s="305"/>
    </row>
    <row r="56" spans="2:11" s="304" customFormat="1">
      <c r="B56" s="305"/>
      <c r="C56" s="305" t="s">
        <v>358</v>
      </c>
      <c r="D56" s="354" t="s">
        <v>308</v>
      </c>
      <c r="E56" s="362">
        <f>total!L46</f>
        <v>1000000</v>
      </c>
      <c r="F56" s="366">
        <v>11250000</v>
      </c>
      <c r="G56" s="362">
        <f>E56-F56</f>
        <v>-10250000</v>
      </c>
      <c r="H56" s="353"/>
      <c r="I56" s="363"/>
      <c r="J56" s="364">
        <f>SUM(J57:J69)</f>
        <v>77050000</v>
      </c>
      <c r="K56" s="305"/>
    </row>
    <row r="57" spans="2:11" s="304" customFormat="1" ht="31.5">
      <c r="B57" s="305"/>
      <c r="C57" s="305"/>
      <c r="D57" s="365" t="s">
        <v>309</v>
      </c>
      <c r="E57" s="318">
        <v>15000</v>
      </c>
      <c r="F57" s="353"/>
      <c r="G57" s="318">
        <f>E57-F57</f>
        <v>15000</v>
      </c>
      <c r="H57" s="319" t="s">
        <v>359</v>
      </c>
      <c r="I57" s="341">
        <v>1200</v>
      </c>
      <c r="J57" s="336">
        <f>G57*I57</f>
        <v>18000000</v>
      </c>
      <c r="K57" s="305"/>
    </row>
    <row r="58" spans="2:11" s="304" customFormat="1" ht="47.25">
      <c r="B58" s="305"/>
      <c r="C58" s="305"/>
      <c r="D58" s="365" t="s">
        <v>310</v>
      </c>
      <c r="E58" s="318">
        <v>250</v>
      </c>
      <c r="F58" s="353">
        <v>125</v>
      </c>
      <c r="G58" s="318">
        <f t="shared" ref="G58:G68" si="2">E58-F58</f>
        <v>125</v>
      </c>
      <c r="H58" s="319" t="s">
        <v>360</v>
      </c>
      <c r="I58" s="341">
        <v>90000</v>
      </c>
      <c r="J58" s="336">
        <f t="shared" ref="J58:J68" si="3">G58*I58</f>
        <v>11250000</v>
      </c>
      <c r="K58" s="305"/>
    </row>
    <row r="59" spans="2:11" s="304" customFormat="1" ht="31.5">
      <c r="B59" s="305"/>
      <c r="C59" s="305"/>
      <c r="D59" s="365" t="s">
        <v>312</v>
      </c>
      <c r="E59" s="318">
        <v>80</v>
      </c>
      <c r="F59" s="353"/>
      <c r="G59" s="318">
        <f t="shared" si="2"/>
        <v>80</v>
      </c>
      <c r="H59" s="319" t="s">
        <v>361</v>
      </c>
      <c r="I59" s="341">
        <v>25000</v>
      </c>
      <c r="J59" s="336">
        <f t="shared" si="3"/>
        <v>2000000</v>
      </c>
      <c r="K59" s="305"/>
    </row>
    <row r="60" spans="2:11" s="304" customFormat="1" ht="47.25">
      <c r="B60" s="305"/>
      <c r="C60" s="305"/>
      <c r="D60" s="365" t="s">
        <v>313</v>
      </c>
      <c r="E60" s="318">
        <v>75</v>
      </c>
      <c r="F60" s="353"/>
      <c r="G60" s="318">
        <f t="shared" si="2"/>
        <v>75</v>
      </c>
      <c r="H60" s="319" t="s">
        <v>361</v>
      </c>
      <c r="I60" s="341">
        <v>12000</v>
      </c>
      <c r="J60" s="336">
        <f t="shared" si="3"/>
        <v>900000</v>
      </c>
      <c r="K60" s="305"/>
    </row>
    <row r="61" spans="2:11" s="304" customFormat="1" ht="31.5">
      <c r="B61" s="305"/>
      <c r="C61" s="305"/>
      <c r="D61" s="365" t="s">
        <v>314</v>
      </c>
      <c r="E61" s="318">
        <v>1000</v>
      </c>
      <c r="F61" s="353"/>
      <c r="G61" s="318">
        <f t="shared" si="2"/>
        <v>1000</v>
      </c>
      <c r="H61" s="319" t="s">
        <v>361</v>
      </c>
      <c r="I61" s="341">
        <v>12000</v>
      </c>
      <c r="J61" s="336">
        <f t="shared" si="3"/>
        <v>12000000</v>
      </c>
      <c r="K61" s="305"/>
    </row>
    <row r="62" spans="2:11" s="304" customFormat="1" ht="31.5">
      <c r="B62" s="305"/>
      <c r="C62" s="305"/>
      <c r="D62" s="316" t="s">
        <v>315</v>
      </c>
      <c r="E62" s="318">
        <v>20</v>
      </c>
      <c r="F62" s="353"/>
      <c r="G62" s="318">
        <f t="shared" si="2"/>
        <v>20</v>
      </c>
      <c r="H62" s="319" t="s">
        <v>360</v>
      </c>
      <c r="I62" s="341">
        <v>90000</v>
      </c>
      <c r="J62" s="336">
        <f t="shared" si="3"/>
        <v>1800000</v>
      </c>
      <c r="K62" s="305"/>
    </row>
    <row r="63" spans="2:11" s="304" customFormat="1" ht="31.5">
      <c r="B63" s="305"/>
      <c r="C63" s="305"/>
      <c r="D63" s="316" t="s">
        <v>316</v>
      </c>
      <c r="E63" s="318">
        <v>500</v>
      </c>
      <c r="F63" s="353"/>
      <c r="G63" s="318">
        <f t="shared" si="2"/>
        <v>500</v>
      </c>
      <c r="H63" s="319" t="s">
        <v>362</v>
      </c>
      <c r="I63" s="341">
        <v>1200</v>
      </c>
      <c r="J63" s="336">
        <f t="shared" si="3"/>
        <v>600000</v>
      </c>
      <c r="K63" s="305"/>
    </row>
    <row r="64" spans="2:11" s="304" customFormat="1" ht="31.5">
      <c r="B64" s="305"/>
      <c r="C64" s="305"/>
      <c r="D64" s="316" t="s">
        <v>317</v>
      </c>
      <c r="E64" s="318">
        <v>100</v>
      </c>
      <c r="F64" s="353"/>
      <c r="G64" s="318">
        <f t="shared" si="2"/>
        <v>100</v>
      </c>
      <c r="H64" s="319" t="s">
        <v>361</v>
      </c>
      <c r="I64" s="341">
        <v>15000</v>
      </c>
      <c r="J64" s="336">
        <f t="shared" si="3"/>
        <v>1500000</v>
      </c>
      <c r="K64" s="305"/>
    </row>
    <row r="65" spans="2:11" s="312" customFormat="1" ht="31.5">
      <c r="B65" s="305"/>
      <c r="C65" s="305"/>
      <c r="D65" s="365" t="s">
        <v>311</v>
      </c>
      <c r="E65" s="318">
        <v>10000</v>
      </c>
      <c r="F65" s="353"/>
      <c r="G65" s="318">
        <f t="shared" si="2"/>
        <v>10000</v>
      </c>
      <c r="H65" s="319" t="s">
        <v>359</v>
      </c>
      <c r="I65" s="341">
        <v>350</v>
      </c>
      <c r="J65" s="336">
        <f>G65*I65</f>
        <v>3500000</v>
      </c>
      <c r="K65" s="305"/>
    </row>
    <row r="66" spans="2:11" s="312" customFormat="1" ht="31.5">
      <c r="B66" s="305"/>
      <c r="C66" s="305"/>
      <c r="D66" s="316" t="s">
        <v>318</v>
      </c>
      <c r="E66" s="318">
        <v>2000</v>
      </c>
      <c r="F66" s="353"/>
      <c r="G66" s="318">
        <f t="shared" si="2"/>
        <v>2000</v>
      </c>
      <c r="H66" s="319" t="s">
        <v>349</v>
      </c>
      <c r="I66" s="341">
        <v>8000</v>
      </c>
      <c r="J66" s="336">
        <f t="shared" si="3"/>
        <v>16000000</v>
      </c>
      <c r="K66" s="305"/>
    </row>
    <row r="67" spans="2:11" s="312" customFormat="1" ht="31.5">
      <c r="B67" s="305"/>
      <c r="C67" s="305"/>
      <c r="D67" s="316" t="s">
        <v>319</v>
      </c>
      <c r="E67" s="318">
        <v>50</v>
      </c>
      <c r="F67" s="353"/>
      <c r="G67" s="318">
        <f t="shared" si="2"/>
        <v>50</v>
      </c>
      <c r="H67" s="319" t="s">
        <v>360</v>
      </c>
      <c r="I67" s="341">
        <v>90000</v>
      </c>
      <c r="J67" s="336">
        <f t="shared" si="3"/>
        <v>4500000</v>
      </c>
      <c r="K67" s="305"/>
    </row>
    <row r="68" spans="2:11" s="312" customFormat="1" ht="31.5">
      <c r="B68" s="305"/>
      <c r="C68" s="305"/>
      <c r="D68" s="316" t="s">
        <v>320</v>
      </c>
      <c r="E68" s="318">
        <v>40</v>
      </c>
      <c r="F68" s="353"/>
      <c r="G68" s="318">
        <f t="shared" si="2"/>
        <v>40</v>
      </c>
      <c r="H68" s="319" t="s">
        <v>361</v>
      </c>
      <c r="I68" s="341">
        <v>125000</v>
      </c>
      <c r="J68" s="336">
        <f t="shared" si="3"/>
        <v>5000000</v>
      </c>
      <c r="K68" s="305"/>
    </row>
    <row r="69" spans="2:11" s="312" customFormat="1"/>
    <row r="70" spans="2:11" s="312" customFormat="1">
      <c r="D70" s="352" t="s">
        <v>363</v>
      </c>
    </row>
    <row r="71" spans="2:11" s="312" customFormat="1">
      <c r="D71" s="352" t="s">
        <v>364</v>
      </c>
    </row>
    <row r="72" spans="2:11" s="312" customFormat="1"/>
    <row r="73" spans="2:11" s="312" customFormat="1" ht="31.5">
      <c r="D73" s="354" t="s">
        <v>38</v>
      </c>
      <c r="E73" s="355"/>
      <c r="F73" s="319"/>
      <c r="G73" s="355"/>
      <c r="H73" s="319"/>
      <c r="I73" s="341"/>
      <c r="J73" s="356">
        <f>J74+J76+J78</f>
        <v>17250000</v>
      </c>
    </row>
    <row r="74" spans="2:11" s="312" customFormat="1" ht="47.25">
      <c r="D74" s="339" t="s">
        <v>302</v>
      </c>
      <c r="E74" s="318"/>
      <c r="F74" s="319"/>
      <c r="G74" s="318"/>
      <c r="H74" s="319"/>
      <c r="I74" s="341"/>
      <c r="J74" s="338">
        <f>J75</f>
        <v>6000000</v>
      </c>
    </row>
    <row r="75" spans="2:11" s="312" customFormat="1">
      <c r="D75" s="316" t="s">
        <v>303</v>
      </c>
      <c r="E75" s="318">
        <v>40</v>
      </c>
      <c r="F75" s="319"/>
      <c r="G75" s="318">
        <f>E75-F75</f>
        <v>40</v>
      </c>
      <c r="H75" s="319" t="s">
        <v>349</v>
      </c>
      <c r="I75" s="341">
        <v>150000</v>
      </c>
      <c r="J75" s="335">
        <f>G75*I75</f>
        <v>6000000</v>
      </c>
    </row>
    <row r="76" spans="2:11" s="312" customFormat="1" ht="63">
      <c r="D76" s="339" t="s">
        <v>304</v>
      </c>
      <c r="E76" s="318"/>
      <c r="F76" s="319"/>
      <c r="G76" s="318">
        <f>E76-F76</f>
        <v>0</v>
      </c>
      <c r="H76" s="319"/>
      <c r="I76" s="341"/>
      <c r="J76" s="338">
        <f>J77</f>
        <v>3750000</v>
      </c>
    </row>
    <row r="77" spans="2:11" s="312" customFormat="1" ht="47.25">
      <c r="D77" s="316" t="s">
        <v>305</v>
      </c>
      <c r="E77" s="318">
        <v>25</v>
      </c>
      <c r="F77" s="319"/>
      <c r="G77" s="318">
        <f>E77-F77</f>
        <v>25</v>
      </c>
      <c r="H77" s="319" t="s">
        <v>349</v>
      </c>
      <c r="I77" s="341">
        <v>150000</v>
      </c>
      <c r="J77" s="335">
        <f>I77*G77</f>
        <v>3750000</v>
      </c>
    </row>
    <row r="78" spans="2:11" s="312" customFormat="1" ht="63">
      <c r="D78" s="339" t="s">
        <v>306</v>
      </c>
      <c r="E78" s="318"/>
      <c r="F78" s="319"/>
      <c r="G78" s="318">
        <f>E78-F78</f>
        <v>0</v>
      </c>
      <c r="H78" s="319"/>
      <c r="I78" s="341"/>
      <c r="J78" s="338">
        <f>J79</f>
        <v>7500000</v>
      </c>
    </row>
    <row r="79" spans="2:11" s="312" customFormat="1" ht="31.5">
      <c r="D79" s="316" t="s">
        <v>307</v>
      </c>
      <c r="E79" s="318">
        <v>50</v>
      </c>
      <c r="F79" s="319"/>
      <c r="G79" s="318">
        <f>E79-F79</f>
        <v>50</v>
      </c>
      <c r="H79" s="319" t="s">
        <v>357</v>
      </c>
      <c r="I79" s="341">
        <v>150000</v>
      </c>
      <c r="J79" s="335">
        <f>I79*G79</f>
        <v>7500000</v>
      </c>
    </row>
    <row r="80" spans="2:11" s="312" customFormat="1"/>
    <row r="81" spans="4:10" s="312" customFormat="1">
      <c r="J81" s="311">
        <f>J54+G56+J73</f>
        <v>17500000</v>
      </c>
    </row>
    <row r="82" spans="4:10" s="312" customFormat="1"/>
    <row r="83" spans="4:10" s="312" customFormat="1" ht="47.25">
      <c r="D83" s="354" t="s">
        <v>298</v>
      </c>
      <c r="E83" s="357"/>
      <c r="F83" s="344"/>
      <c r="G83" s="357"/>
      <c r="H83" s="344"/>
      <c r="I83" s="343"/>
      <c r="J83" s="356">
        <f>SUM(J84:J86)</f>
        <v>1300000</v>
      </c>
    </row>
    <row r="84" spans="4:10" s="312" customFormat="1">
      <c r="D84" s="358" t="s">
        <v>299</v>
      </c>
      <c r="E84" s="359">
        <v>2</v>
      </c>
      <c r="F84" s="337"/>
      <c r="G84" s="318">
        <f>E84-F84</f>
        <v>2</v>
      </c>
      <c r="H84" s="337" t="s">
        <v>357</v>
      </c>
      <c r="I84" s="336">
        <v>350000</v>
      </c>
      <c r="J84" s="335">
        <f>G84*I84</f>
        <v>700000</v>
      </c>
    </row>
    <row r="85" spans="4:10" s="312" customFormat="1">
      <c r="D85" s="358" t="s">
        <v>300</v>
      </c>
      <c r="E85" s="359">
        <v>6</v>
      </c>
      <c r="F85" s="337"/>
      <c r="G85" s="318">
        <f>E85-F85</f>
        <v>6</v>
      </c>
      <c r="H85" s="337" t="s">
        <v>349</v>
      </c>
      <c r="I85" s="336">
        <v>100000</v>
      </c>
      <c r="J85" s="335">
        <f>G85*I85</f>
        <v>600000</v>
      </c>
    </row>
    <row r="86" spans="4:10">
      <c r="D86" s="358" t="s">
        <v>301</v>
      </c>
      <c r="E86" s="359">
        <v>24000</v>
      </c>
      <c r="F86" s="359">
        <v>24000</v>
      </c>
      <c r="G86" s="318">
        <f>E86-F86</f>
        <v>0</v>
      </c>
      <c r="H86" s="337" t="s">
        <v>349</v>
      </c>
      <c r="I86" s="336">
        <v>200</v>
      </c>
      <c r="J86" s="335">
        <f>G86*I86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selection activeCell="E10" sqref="E10"/>
    </sheetView>
  </sheetViews>
  <sheetFormatPr defaultRowHeight="15.75"/>
  <cols>
    <col min="1" max="1" width="5.5703125" style="379" bestFit="1" customWidth="1"/>
    <col min="2" max="2" width="13.42578125" style="387" bestFit="1" customWidth="1"/>
    <col min="3" max="3" width="56.5703125" style="379" customWidth="1"/>
    <col min="4" max="4" width="17.28515625" style="379" bestFit="1" customWidth="1"/>
    <col min="5" max="5" width="23" style="379" bestFit="1" customWidth="1"/>
    <col min="6" max="6" width="23" style="379" customWidth="1"/>
    <col min="7" max="7" width="11.5703125" style="379" bestFit="1" customWidth="1"/>
    <col min="8" max="8" width="14.28515625" style="379" bestFit="1" customWidth="1"/>
    <col min="9" max="16384" width="9.140625" style="379"/>
  </cols>
  <sheetData>
    <row r="1" spans="1:6" ht="18.75">
      <c r="A1" s="911" t="s">
        <v>387</v>
      </c>
      <c r="B1" s="911"/>
      <c r="C1" s="911"/>
      <c r="D1" s="911"/>
      <c r="E1" s="911"/>
      <c r="F1" s="911"/>
    </row>
    <row r="3" spans="1:6" ht="20.25" customHeight="1">
      <c r="A3" s="380" t="s">
        <v>85</v>
      </c>
      <c r="B3" s="380" t="s">
        <v>379</v>
      </c>
      <c r="C3" s="380" t="s">
        <v>281</v>
      </c>
      <c r="D3" s="382" t="s">
        <v>378</v>
      </c>
      <c r="E3" s="380" t="s">
        <v>388</v>
      </c>
      <c r="F3" s="380" t="s">
        <v>391</v>
      </c>
    </row>
    <row r="4" spans="1:6">
      <c r="A4" s="383">
        <v>1</v>
      </c>
      <c r="B4" s="383"/>
      <c r="C4" s="290" t="s">
        <v>504</v>
      </c>
      <c r="D4" s="384">
        <v>19000000</v>
      </c>
      <c r="E4" s="383" t="s">
        <v>389</v>
      </c>
      <c r="F4" s="383"/>
    </row>
    <row r="5" spans="1:6">
      <c r="A5" s="383">
        <v>2</v>
      </c>
      <c r="B5" s="383"/>
      <c r="C5" s="290"/>
      <c r="D5" s="384">
        <v>10000000</v>
      </c>
      <c r="E5" s="383" t="s">
        <v>389</v>
      </c>
      <c r="F5" s="383"/>
    </row>
    <row r="6" spans="1:6">
      <c r="A6" s="383">
        <v>3</v>
      </c>
      <c r="B6" s="383"/>
      <c r="C6" s="290"/>
      <c r="D6" s="384">
        <v>41454150</v>
      </c>
      <c r="E6" s="383" t="s">
        <v>389</v>
      </c>
      <c r="F6" s="383"/>
    </row>
    <row r="7" spans="1:6">
      <c r="A7" s="383">
        <v>4</v>
      </c>
      <c r="B7" s="383"/>
      <c r="C7" s="290"/>
      <c r="D7" s="384">
        <v>10500000</v>
      </c>
      <c r="E7" s="383" t="s">
        <v>389</v>
      </c>
      <c r="F7" s="383"/>
    </row>
    <row r="8" spans="1:6">
      <c r="A8" s="383">
        <v>5</v>
      </c>
      <c r="B8" s="383"/>
      <c r="C8" s="386"/>
      <c r="D8" s="383" t="e">
        <f>#REF!</f>
        <v>#REF!</v>
      </c>
      <c r="E8" s="383" t="s">
        <v>389</v>
      </c>
      <c r="F8" s="383"/>
    </row>
    <row r="9" spans="1:6">
      <c r="A9" s="383">
        <v>6</v>
      </c>
      <c r="B9" s="383"/>
      <c r="C9" s="386"/>
      <c r="D9" s="383" t="e">
        <f>#REF!</f>
        <v>#REF!</v>
      </c>
      <c r="E9" s="383" t="s">
        <v>389</v>
      </c>
      <c r="F9" s="383"/>
    </row>
    <row r="10" spans="1:6">
      <c r="A10" s="383">
        <v>7</v>
      </c>
      <c r="B10" s="383"/>
      <c r="C10" s="386"/>
      <c r="D10" s="383" t="e">
        <f>#REF!</f>
        <v>#REF!</v>
      </c>
      <c r="E10" s="383" t="s">
        <v>389</v>
      </c>
      <c r="F10" s="383" t="s">
        <v>390</v>
      </c>
    </row>
    <row r="11" spans="1:6">
      <c r="A11" s="383">
        <v>8</v>
      </c>
      <c r="B11" s="383"/>
      <c r="C11" s="386"/>
      <c r="D11" s="383">
        <v>46764300</v>
      </c>
      <c r="E11" s="383" t="s">
        <v>389</v>
      </c>
      <c r="F11" s="383"/>
    </row>
    <row r="12" spans="1:6">
      <c r="A12" s="383">
        <v>9</v>
      </c>
      <c r="B12" s="383"/>
      <c r="C12" s="386"/>
      <c r="D12" s="383">
        <v>44600600</v>
      </c>
      <c r="E12" s="383" t="s">
        <v>389</v>
      </c>
      <c r="F12" s="383"/>
    </row>
    <row r="13" spans="1:6">
      <c r="A13" s="383">
        <v>10</v>
      </c>
      <c r="B13" s="383"/>
      <c r="C13" s="386"/>
      <c r="D13" s="383">
        <v>1500000</v>
      </c>
      <c r="E13" s="383" t="s">
        <v>389</v>
      </c>
      <c r="F13" s="383"/>
    </row>
    <row r="14" spans="1:6">
      <c r="A14" s="383">
        <v>11</v>
      </c>
      <c r="B14" s="383"/>
      <c r="C14" s="386"/>
      <c r="D14" s="383">
        <v>7000000</v>
      </c>
      <c r="E14" s="383" t="s">
        <v>389</v>
      </c>
      <c r="F14" s="383"/>
    </row>
    <row r="15" spans="1:6">
      <c r="A15" s="383">
        <v>12</v>
      </c>
      <c r="B15" s="383"/>
      <c r="C15" s="386"/>
      <c r="D15" s="303">
        <f>6150000</f>
        <v>6150000</v>
      </c>
      <c r="E15" s="383" t="s">
        <v>389</v>
      </c>
      <c r="F15" s="383"/>
    </row>
    <row r="16" spans="1:6">
      <c r="A16" s="383">
        <v>13</v>
      </c>
      <c r="B16" s="383"/>
      <c r="C16" s="386"/>
      <c r="D16" s="303">
        <f>870000</f>
        <v>870000</v>
      </c>
      <c r="E16" s="383" t="s">
        <v>389</v>
      </c>
      <c r="F16" s="383"/>
    </row>
    <row r="17" spans="1:6">
      <c r="A17" s="383">
        <v>14</v>
      </c>
      <c r="B17" s="383"/>
      <c r="C17" s="381"/>
      <c r="D17" s="377">
        <f>53000000+4353405</f>
        <v>57353405</v>
      </c>
      <c r="E17" s="388" t="s">
        <v>392</v>
      </c>
      <c r="F17" s="383" t="s">
        <v>390</v>
      </c>
    </row>
    <row r="18" spans="1:6">
      <c r="A18" s="383">
        <v>15</v>
      </c>
      <c r="B18" s="383"/>
      <c r="C18" s="381"/>
      <c r="D18" s="377">
        <v>48192650</v>
      </c>
      <c r="E18" s="383" t="s">
        <v>389</v>
      </c>
      <c r="F18" s="383"/>
    </row>
    <row r="19" spans="1:6">
      <c r="A19" s="383">
        <v>16</v>
      </c>
      <c r="B19" s="383"/>
      <c r="C19" s="381"/>
      <c r="D19" s="383" t="e">
        <f>#REF!</f>
        <v>#REF!</v>
      </c>
      <c r="E19" s="383" t="s">
        <v>389</v>
      </c>
      <c r="F19" s="383"/>
    </row>
    <row r="20" spans="1:6">
      <c r="A20" s="383">
        <v>17</v>
      </c>
      <c r="B20" s="383"/>
      <c r="C20" s="381"/>
      <c r="D20" s="383">
        <v>1980000</v>
      </c>
      <c r="E20" s="383" t="s">
        <v>389</v>
      </c>
      <c r="F20" s="383"/>
    </row>
    <row r="21" spans="1:6">
      <c r="A21" s="383">
        <v>18</v>
      </c>
      <c r="B21" s="383"/>
      <c r="C21" s="381"/>
      <c r="D21" s="383" t="e">
        <f>#REF!</f>
        <v>#REF!</v>
      </c>
      <c r="E21" s="383" t="s">
        <v>389</v>
      </c>
      <c r="F21" s="383"/>
    </row>
    <row r="22" spans="1:6">
      <c r="A22" s="383">
        <v>19</v>
      </c>
      <c r="B22" s="383"/>
      <c r="C22" s="386"/>
      <c r="D22" s="303">
        <f>34606000</f>
        <v>34606000</v>
      </c>
      <c r="E22" s="383" t="s">
        <v>389</v>
      </c>
      <c r="F22" s="383" t="s">
        <v>390</v>
      </c>
    </row>
    <row r="23" spans="1:6">
      <c r="A23" s="383">
        <v>20</v>
      </c>
      <c r="B23" s="383"/>
      <c r="C23" s="386"/>
      <c r="D23" s="303">
        <f>14223000</f>
        <v>14223000</v>
      </c>
      <c r="E23" s="383" t="s">
        <v>389</v>
      </c>
      <c r="F23" s="383" t="s">
        <v>390</v>
      </c>
    </row>
    <row r="24" spans="1:6">
      <c r="A24" s="385"/>
      <c r="B24" s="383"/>
      <c r="C24" s="386"/>
      <c r="D24" s="303">
        <f>3575000</f>
        <v>3575000</v>
      </c>
      <c r="E24" s="383"/>
      <c r="F24" s="383"/>
    </row>
    <row r="25" spans="1:6">
      <c r="C25" s="378"/>
      <c r="D25" s="387"/>
      <c r="E25" s="387"/>
      <c r="F25" s="387"/>
    </row>
    <row r="26" spans="1:6" ht="168.75" customHeight="1">
      <c r="C26" s="378"/>
      <c r="D26" s="387"/>
      <c r="E26" s="387"/>
      <c r="F26" s="387"/>
    </row>
    <row r="27" spans="1:6">
      <c r="C27" s="378"/>
      <c r="D27" s="387"/>
      <c r="E27" s="387"/>
      <c r="F27" s="387"/>
    </row>
    <row r="28" spans="1:6">
      <c r="C28" s="378"/>
      <c r="D28" s="387"/>
      <c r="E28" s="387"/>
      <c r="F28" s="387"/>
    </row>
    <row r="29" spans="1:6">
      <c r="C29" s="378"/>
      <c r="D29" s="387"/>
      <c r="E29" s="387"/>
      <c r="F29" s="387"/>
    </row>
    <row r="30" spans="1:6">
      <c r="C30" s="378"/>
      <c r="D30" s="387"/>
      <c r="E30" s="387"/>
      <c r="F30" s="387"/>
    </row>
    <row r="31" spans="1:6">
      <c r="C31" s="378"/>
      <c r="D31" s="387"/>
      <c r="E31" s="387"/>
      <c r="F31" s="387"/>
    </row>
    <row r="32" spans="1:6">
      <c r="C32" s="378"/>
      <c r="D32" s="387"/>
      <c r="E32" s="387"/>
      <c r="F32" s="387"/>
    </row>
    <row r="33" spans="3:8">
      <c r="C33" s="378"/>
      <c r="D33" s="379" t="e">
        <f>C36+E40+#REF!</f>
        <v>#REF!</v>
      </c>
      <c r="E33" s="379" t="e">
        <f>D33*0.1</f>
        <v>#REF!</v>
      </c>
      <c r="F33" s="379" t="e">
        <f>D33-E33</f>
        <v>#REF!</v>
      </c>
    </row>
    <row r="34" spans="3:8">
      <c r="D34" s="379" t="e">
        <f>C37+E41+#REF!</f>
        <v>#REF!</v>
      </c>
      <c r="E34" s="379" t="e">
        <f>D34*0.1</f>
        <v>#REF!</v>
      </c>
      <c r="F34" s="379" t="e">
        <f>D34-E34</f>
        <v>#REF!</v>
      </c>
    </row>
    <row r="35" spans="3:8">
      <c r="D35" s="379" t="e">
        <f>SUM(D33:D34)</f>
        <v>#REF!</v>
      </c>
      <c r="E35" s="379" t="e">
        <f>SUM(E33:E34)</f>
        <v>#REF!</v>
      </c>
      <c r="F35" s="379" t="e">
        <f>SUM(F33:F34)</f>
        <v>#REF!</v>
      </c>
    </row>
    <row r="36" spans="3:8">
      <c r="C36" s="379">
        <v>41000000</v>
      </c>
    </row>
    <row r="37" spans="3:8">
      <c r="C37" s="379">
        <v>3500000</v>
      </c>
    </row>
    <row r="38" spans="3:8">
      <c r="C38" s="379">
        <f>SUM(C36:C37)</f>
        <v>44500000</v>
      </c>
    </row>
    <row r="39" spans="3:8">
      <c r="E39" s="379" t="s">
        <v>373</v>
      </c>
    </row>
    <row r="40" spans="3:8">
      <c r="E40" s="379">
        <f>C36*0.1</f>
        <v>4100000</v>
      </c>
      <c r="F40" s="379">
        <f>C36-E40</f>
        <v>36900000</v>
      </c>
      <c r="H40" s="379" t="e">
        <f>F44-#REF!-G44</f>
        <v>#REF!</v>
      </c>
    </row>
    <row r="41" spans="3:8">
      <c r="E41" s="379">
        <f>C37*0.1</f>
        <v>350000</v>
      </c>
      <c r="F41" s="379">
        <f>C37-E41</f>
        <v>3150000</v>
      </c>
      <c r="H41" s="379" t="e">
        <f>F45-#REF!-G45</f>
        <v>#REF!</v>
      </c>
    </row>
    <row r="42" spans="3:8">
      <c r="E42" s="379">
        <f>SUM(E40:E41)</f>
        <v>4450000</v>
      </c>
      <c r="F42" s="379">
        <f>SUM(F40:F41)</f>
        <v>40050000</v>
      </c>
      <c r="H42" s="379" t="e">
        <f>SUM(H40:H41)</f>
        <v>#REF!</v>
      </c>
    </row>
    <row r="43" spans="3:8">
      <c r="G43" s="379" t="s">
        <v>374</v>
      </c>
    </row>
    <row r="44" spans="3:8">
      <c r="G44" s="379" t="e">
        <f>#REF!*0.015</f>
        <v>#REF!</v>
      </c>
    </row>
    <row r="45" spans="3:8">
      <c r="G45" s="379" t="e">
        <f>#REF!*0.015</f>
        <v>#REF!</v>
      </c>
    </row>
    <row r="46" spans="3:8">
      <c r="G46" s="379" t="e">
        <f>SUM(G44:G45)</f>
        <v>#REF!</v>
      </c>
    </row>
    <row r="47" spans="3:8">
      <c r="H47" s="379" t="e">
        <f>F51-#REF!-G51</f>
        <v>#REF!</v>
      </c>
    </row>
    <row r="48" spans="3:8">
      <c r="H48" s="379" t="e">
        <f>F52-#REF!-G52</f>
        <v>#REF!</v>
      </c>
    </row>
    <row r="49" spans="6:8">
      <c r="H49" s="379" t="e">
        <f>SUM(H47:H48)</f>
        <v>#REF!</v>
      </c>
    </row>
    <row r="50" spans="6:8">
      <c r="G50" s="379" t="s">
        <v>374</v>
      </c>
    </row>
    <row r="51" spans="6:8">
      <c r="F51" s="379">
        <v>41000000</v>
      </c>
      <c r="G51" s="379">
        <f>F51*0.015</f>
        <v>615000</v>
      </c>
    </row>
    <row r="52" spans="6:8">
      <c r="F52" s="379">
        <v>3500000</v>
      </c>
      <c r="G52" s="379">
        <f>F52*0.015</f>
        <v>52500</v>
      </c>
    </row>
    <row r="53" spans="6:8">
      <c r="F53" s="379">
        <f>SUM(F51:F52)</f>
        <v>44500000</v>
      </c>
      <c r="G53" s="379">
        <f>SUM(G51:G52)</f>
        <v>667500</v>
      </c>
    </row>
  </sheetData>
  <mergeCells count="1">
    <mergeCell ref="A1:F1"/>
  </mergeCells>
  <pageMargins left="0.7" right="0.7" top="0.25" bottom="0" header="0.3" footer="0.3"/>
  <pageSetup paperSize="14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selection activeCell="C4" sqref="C4"/>
    </sheetView>
  </sheetViews>
  <sheetFormatPr defaultRowHeight="15.75"/>
  <cols>
    <col min="1" max="1" width="5.5703125" style="379" bestFit="1" customWidth="1"/>
    <col min="2" max="2" width="13.42578125" style="387" bestFit="1" customWidth="1"/>
    <col min="3" max="3" width="56.5703125" style="379" customWidth="1"/>
    <col min="4" max="4" width="17.28515625" style="379" bestFit="1" customWidth="1"/>
    <col min="5" max="5" width="23" style="379" bestFit="1" customWidth="1"/>
    <col min="6" max="6" width="23" style="379" customWidth="1"/>
    <col min="7" max="7" width="11.5703125" style="379" bestFit="1" customWidth="1"/>
    <col min="8" max="8" width="14.28515625" style="379" bestFit="1" customWidth="1"/>
    <col min="9" max="16384" width="9.140625" style="379"/>
  </cols>
  <sheetData>
    <row r="1" spans="1:6" ht="18.75">
      <c r="A1" s="911" t="s">
        <v>387</v>
      </c>
      <c r="B1" s="911"/>
      <c r="C1" s="911"/>
      <c r="D1" s="911"/>
      <c r="E1" s="911"/>
      <c r="F1" s="911"/>
    </row>
    <row r="3" spans="1:6" ht="20.25" customHeight="1">
      <c r="A3" s="380" t="s">
        <v>85</v>
      </c>
      <c r="B3" s="380" t="s">
        <v>379</v>
      </c>
      <c r="C3" s="380" t="s">
        <v>281</v>
      </c>
      <c r="D3" s="382" t="s">
        <v>378</v>
      </c>
      <c r="E3" s="380" t="s">
        <v>388</v>
      </c>
      <c r="F3" s="380" t="s">
        <v>391</v>
      </c>
    </row>
    <row r="4" spans="1:6">
      <c r="A4" s="383">
        <v>1</v>
      </c>
      <c r="B4" s="383" t="s">
        <v>94</v>
      </c>
      <c r="C4" s="290" t="s">
        <v>398</v>
      </c>
      <c r="D4" s="384">
        <v>19000000</v>
      </c>
      <c r="E4" s="383" t="s">
        <v>389</v>
      </c>
      <c r="F4" s="383"/>
    </row>
    <row r="5" spans="1:6">
      <c r="A5" s="383">
        <v>2</v>
      </c>
      <c r="B5" s="383" t="s">
        <v>117</v>
      </c>
      <c r="C5" s="290" t="s">
        <v>397</v>
      </c>
      <c r="D5" s="384">
        <v>10000000</v>
      </c>
      <c r="E5" s="383" t="s">
        <v>389</v>
      </c>
      <c r="F5" s="383"/>
    </row>
    <row r="6" spans="1:6" ht="31.5">
      <c r="A6" s="383">
        <v>3</v>
      </c>
      <c r="B6" s="383" t="s">
        <v>396</v>
      </c>
      <c r="C6" s="290" t="s">
        <v>69</v>
      </c>
      <c r="D6" s="384">
        <v>41454150</v>
      </c>
      <c r="E6" s="383" t="s">
        <v>389</v>
      </c>
      <c r="F6" s="383"/>
    </row>
    <row r="7" spans="1:6">
      <c r="A7" s="383">
        <v>4</v>
      </c>
      <c r="B7" s="383" t="s">
        <v>127</v>
      </c>
      <c r="C7" s="290" t="s">
        <v>334</v>
      </c>
      <c r="D7" s="384">
        <v>10500000</v>
      </c>
      <c r="E7" s="383" t="s">
        <v>389</v>
      </c>
      <c r="F7" s="383"/>
    </row>
    <row r="8" spans="1:6">
      <c r="A8" s="383">
        <v>5</v>
      </c>
      <c r="B8" s="383" t="s">
        <v>127</v>
      </c>
      <c r="C8" s="386" t="e">
        <f>#REF!</f>
        <v>#REF!</v>
      </c>
      <c r="D8" s="383" t="e">
        <f>#REF!</f>
        <v>#REF!</v>
      </c>
      <c r="E8" s="383" t="s">
        <v>389</v>
      </c>
      <c r="F8" s="383"/>
    </row>
    <row r="9" spans="1:6">
      <c r="A9" s="383">
        <v>6</v>
      </c>
      <c r="B9" s="383" t="s">
        <v>127</v>
      </c>
      <c r="C9" s="386" t="e">
        <f>#REF!</f>
        <v>#REF!</v>
      </c>
      <c r="D9" s="383" t="e">
        <f>#REF!</f>
        <v>#REF!</v>
      </c>
      <c r="E9" s="383" t="s">
        <v>389</v>
      </c>
      <c r="F9" s="383"/>
    </row>
    <row r="10" spans="1:6">
      <c r="A10" s="383">
        <v>7</v>
      </c>
      <c r="B10" s="383" t="s">
        <v>380</v>
      </c>
      <c r="C10" s="386" t="e">
        <f>#REF!</f>
        <v>#REF!</v>
      </c>
      <c r="D10" s="383" t="e">
        <f>#REF!</f>
        <v>#REF!</v>
      </c>
      <c r="E10" s="383" t="s">
        <v>389</v>
      </c>
      <c r="F10" s="383" t="s">
        <v>390</v>
      </c>
    </row>
    <row r="11" spans="1:6">
      <c r="A11" s="383">
        <v>8</v>
      </c>
      <c r="B11" s="383" t="s">
        <v>380</v>
      </c>
      <c r="C11" s="386" t="e">
        <f>#REF!</f>
        <v>#REF!</v>
      </c>
      <c r="D11" s="383">
        <v>46764300</v>
      </c>
      <c r="E11" s="383" t="s">
        <v>389</v>
      </c>
      <c r="F11" s="383"/>
    </row>
    <row r="12" spans="1:6">
      <c r="A12" s="383">
        <v>9</v>
      </c>
      <c r="B12" s="383" t="s">
        <v>380</v>
      </c>
      <c r="C12" s="386" t="e">
        <f>#REF!</f>
        <v>#REF!</v>
      </c>
      <c r="D12" s="383">
        <v>44600600</v>
      </c>
      <c r="E12" s="383" t="s">
        <v>389</v>
      </c>
      <c r="F12" s="383"/>
    </row>
    <row r="13" spans="1:6">
      <c r="A13" s="383">
        <v>10</v>
      </c>
      <c r="B13" s="383" t="s">
        <v>380</v>
      </c>
      <c r="C13" s="386" t="s">
        <v>382</v>
      </c>
      <c r="D13" s="383">
        <v>1500000</v>
      </c>
      <c r="E13" s="383" t="s">
        <v>389</v>
      </c>
      <c r="F13" s="383"/>
    </row>
    <row r="14" spans="1:6">
      <c r="A14" s="383">
        <v>11</v>
      </c>
      <c r="B14" s="383" t="s">
        <v>380</v>
      </c>
      <c r="C14" s="386" t="s">
        <v>383</v>
      </c>
      <c r="D14" s="383">
        <v>7000000</v>
      </c>
      <c r="E14" s="383" t="s">
        <v>389</v>
      </c>
      <c r="F14" s="383"/>
    </row>
    <row r="15" spans="1:6">
      <c r="A15" s="383">
        <v>12</v>
      </c>
      <c r="B15" s="383" t="s">
        <v>380</v>
      </c>
      <c r="C15" s="386" t="s">
        <v>385</v>
      </c>
      <c r="D15" s="303">
        <f>6150000</f>
        <v>6150000</v>
      </c>
      <c r="E15" s="383" t="s">
        <v>389</v>
      </c>
      <c r="F15" s="383"/>
    </row>
    <row r="16" spans="1:6">
      <c r="A16" s="383">
        <v>13</v>
      </c>
      <c r="B16" s="383" t="s">
        <v>380</v>
      </c>
      <c r="C16" s="386" t="s">
        <v>386</v>
      </c>
      <c r="D16" s="303">
        <f>870000</f>
        <v>870000</v>
      </c>
      <c r="E16" s="383" t="s">
        <v>389</v>
      </c>
      <c r="F16" s="383"/>
    </row>
    <row r="17" spans="1:6" ht="31.5">
      <c r="A17" s="383">
        <v>14</v>
      </c>
      <c r="B17" s="383" t="s">
        <v>380</v>
      </c>
      <c r="C17" s="381" t="s">
        <v>399</v>
      </c>
      <c r="D17" s="377">
        <f>53000000+4353405</f>
        <v>57353405</v>
      </c>
      <c r="E17" s="388" t="s">
        <v>392</v>
      </c>
      <c r="F17" s="383" t="s">
        <v>390</v>
      </c>
    </row>
    <row r="18" spans="1:6">
      <c r="A18" s="383">
        <v>15</v>
      </c>
      <c r="B18" s="383" t="s">
        <v>380</v>
      </c>
      <c r="C18" s="381" t="e">
        <f>#REF!</f>
        <v>#REF!</v>
      </c>
      <c r="D18" s="377">
        <v>48192650</v>
      </c>
      <c r="E18" s="383" t="s">
        <v>389</v>
      </c>
      <c r="F18" s="383"/>
    </row>
    <row r="19" spans="1:6">
      <c r="A19" s="383">
        <v>16</v>
      </c>
      <c r="B19" s="383" t="s">
        <v>380</v>
      </c>
      <c r="C19" s="381" t="e">
        <f>#REF!</f>
        <v>#REF!</v>
      </c>
      <c r="D19" s="383" t="e">
        <f>#REF!</f>
        <v>#REF!</v>
      </c>
      <c r="E19" s="383" t="s">
        <v>389</v>
      </c>
      <c r="F19" s="383"/>
    </row>
    <row r="20" spans="1:6">
      <c r="A20" s="383">
        <v>17</v>
      </c>
      <c r="B20" s="383" t="s">
        <v>380</v>
      </c>
      <c r="C20" s="381" t="e">
        <f>#REF!</f>
        <v>#REF!</v>
      </c>
      <c r="D20" s="383">
        <v>1980000</v>
      </c>
      <c r="E20" s="383" t="s">
        <v>389</v>
      </c>
      <c r="F20" s="383"/>
    </row>
    <row r="21" spans="1:6">
      <c r="A21" s="383">
        <v>18</v>
      </c>
      <c r="B21" s="383" t="s">
        <v>380</v>
      </c>
      <c r="C21" s="381" t="e">
        <f>#REF!</f>
        <v>#REF!</v>
      </c>
      <c r="D21" s="383" t="e">
        <f>#REF!</f>
        <v>#REF!</v>
      </c>
      <c r="E21" s="383" t="s">
        <v>389</v>
      </c>
      <c r="F21" s="383"/>
    </row>
    <row r="22" spans="1:6">
      <c r="A22" s="383">
        <v>19</v>
      </c>
      <c r="B22" s="383" t="s">
        <v>401</v>
      </c>
      <c r="C22" s="386" t="s">
        <v>384</v>
      </c>
      <c r="D22" s="303">
        <f>34606000</f>
        <v>34606000</v>
      </c>
      <c r="E22" s="383" t="s">
        <v>389</v>
      </c>
      <c r="F22" s="383" t="s">
        <v>390</v>
      </c>
    </row>
    <row r="23" spans="1:6">
      <c r="A23" s="383">
        <v>20</v>
      </c>
      <c r="B23" s="383" t="s">
        <v>401</v>
      </c>
      <c r="C23" s="386" t="s">
        <v>394</v>
      </c>
      <c r="D23" s="303">
        <f>14223000</f>
        <v>14223000</v>
      </c>
      <c r="E23" s="383" t="s">
        <v>389</v>
      </c>
      <c r="F23" s="383" t="s">
        <v>390</v>
      </c>
    </row>
    <row r="24" spans="1:6" ht="31.5">
      <c r="A24" s="385"/>
      <c r="B24" s="383"/>
      <c r="C24" s="386" t="s">
        <v>393</v>
      </c>
      <c r="D24" s="303">
        <f>3575000</f>
        <v>3575000</v>
      </c>
      <c r="E24" s="383"/>
      <c r="F24" s="383"/>
    </row>
    <row r="25" spans="1:6">
      <c r="C25" s="378"/>
      <c r="D25" s="387"/>
      <c r="E25" s="387"/>
      <c r="F25" s="387"/>
    </row>
    <row r="26" spans="1:6" ht="168.75" customHeight="1">
      <c r="C26" s="378"/>
      <c r="D26" s="387"/>
      <c r="E26" s="387"/>
      <c r="F26" s="387"/>
    </row>
    <row r="27" spans="1:6">
      <c r="C27" s="378"/>
      <c r="D27" s="387"/>
      <c r="E27" s="387"/>
      <c r="F27" s="387"/>
    </row>
    <row r="28" spans="1:6">
      <c r="C28" s="378"/>
      <c r="D28" s="387"/>
      <c r="E28" s="387"/>
      <c r="F28" s="387"/>
    </row>
    <row r="29" spans="1:6">
      <c r="C29" s="378"/>
      <c r="D29" s="387"/>
      <c r="E29" s="387"/>
      <c r="F29" s="387"/>
    </row>
    <row r="30" spans="1:6">
      <c r="C30" s="378"/>
      <c r="D30" s="387"/>
      <c r="E30" s="387"/>
      <c r="F30" s="387"/>
    </row>
    <row r="31" spans="1:6">
      <c r="C31" s="378"/>
      <c r="D31" s="387"/>
      <c r="E31" s="387"/>
      <c r="F31" s="387"/>
    </row>
    <row r="32" spans="1:6">
      <c r="C32" s="378"/>
      <c r="D32" s="387"/>
      <c r="E32" s="387"/>
      <c r="F32" s="387"/>
    </row>
    <row r="33" spans="3:8">
      <c r="C33" s="378"/>
      <c r="D33" s="379" t="e">
        <f>C36+E40+#REF!</f>
        <v>#REF!</v>
      </c>
      <c r="E33" s="379" t="e">
        <f>D33*0.1</f>
        <v>#REF!</v>
      </c>
      <c r="F33" s="379" t="e">
        <f>D33-E33</f>
        <v>#REF!</v>
      </c>
    </row>
    <row r="34" spans="3:8">
      <c r="D34" s="379" t="e">
        <f>C37+E41+#REF!</f>
        <v>#REF!</v>
      </c>
      <c r="E34" s="379" t="e">
        <f>D34*0.1</f>
        <v>#REF!</v>
      </c>
      <c r="F34" s="379" t="e">
        <f>D34-E34</f>
        <v>#REF!</v>
      </c>
    </row>
    <row r="35" spans="3:8">
      <c r="D35" s="379" t="e">
        <f>SUM(D33:D34)</f>
        <v>#REF!</v>
      </c>
      <c r="E35" s="379" t="e">
        <f>SUM(E33:E34)</f>
        <v>#REF!</v>
      </c>
      <c r="F35" s="379" t="e">
        <f>SUM(F33:F34)</f>
        <v>#REF!</v>
      </c>
    </row>
    <row r="36" spans="3:8">
      <c r="C36" s="379">
        <v>41000000</v>
      </c>
    </row>
    <row r="37" spans="3:8">
      <c r="C37" s="379">
        <v>3500000</v>
      </c>
    </row>
    <row r="38" spans="3:8">
      <c r="C38" s="379">
        <f>SUM(C36:C37)</f>
        <v>44500000</v>
      </c>
    </row>
    <row r="39" spans="3:8">
      <c r="E39" s="379" t="s">
        <v>373</v>
      </c>
    </row>
    <row r="40" spans="3:8">
      <c r="E40" s="379">
        <f>C36*0.1</f>
        <v>4100000</v>
      </c>
      <c r="F40" s="379">
        <f>C36-E40</f>
        <v>36900000</v>
      </c>
      <c r="H40" s="379" t="e">
        <f>F44-#REF!-G44</f>
        <v>#REF!</v>
      </c>
    </row>
    <row r="41" spans="3:8">
      <c r="E41" s="379">
        <f>C37*0.1</f>
        <v>350000</v>
      </c>
      <c r="F41" s="379">
        <f>C37-E41</f>
        <v>3150000</v>
      </c>
      <c r="H41" s="379" t="e">
        <f>F45-#REF!-G45</f>
        <v>#REF!</v>
      </c>
    </row>
    <row r="42" spans="3:8">
      <c r="E42" s="379">
        <f>SUM(E40:E41)</f>
        <v>4450000</v>
      </c>
      <c r="F42" s="379">
        <f>SUM(F40:F41)</f>
        <v>40050000</v>
      </c>
      <c r="H42" s="379" t="e">
        <f>SUM(H40:H41)</f>
        <v>#REF!</v>
      </c>
    </row>
    <row r="43" spans="3:8">
      <c r="G43" s="379" t="s">
        <v>374</v>
      </c>
    </row>
    <row r="44" spans="3:8">
      <c r="G44" s="379" t="e">
        <f>#REF!*0.015</f>
        <v>#REF!</v>
      </c>
    </row>
    <row r="45" spans="3:8">
      <c r="G45" s="379" t="e">
        <f>#REF!*0.015</f>
        <v>#REF!</v>
      </c>
    </row>
    <row r="46" spans="3:8">
      <c r="G46" s="379" t="e">
        <f>SUM(G44:G45)</f>
        <v>#REF!</v>
      </c>
    </row>
    <row r="47" spans="3:8">
      <c r="H47" s="379" t="e">
        <f>F51-#REF!-G51</f>
        <v>#REF!</v>
      </c>
    </row>
    <row r="48" spans="3:8">
      <c r="H48" s="379" t="e">
        <f>F52-#REF!-G52</f>
        <v>#REF!</v>
      </c>
    </row>
    <row r="49" spans="6:8">
      <c r="H49" s="379" t="e">
        <f>SUM(H47:H48)</f>
        <v>#REF!</v>
      </c>
    </row>
    <row r="50" spans="6:8">
      <c r="G50" s="379" t="s">
        <v>374</v>
      </c>
    </row>
    <row r="51" spans="6:8">
      <c r="F51" s="379">
        <v>41000000</v>
      </c>
      <c r="G51" s="379">
        <f>F51*0.015</f>
        <v>615000</v>
      </c>
    </row>
    <row r="52" spans="6:8">
      <c r="F52" s="379">
        <v>3500000</v>
      </c>
      <c r="G52" s="379">
        <f>F52*0.015</f>
        <v>52500</v>
      </c>
    </row>
    <row r="53" spans="6:8">
      <c r="F53" s="379">
        <f>SUM(F51:F52)</f>
        <v>44500000</v>
      </c>
      <c r="G53" s="379">
        <f>SUM(G51:G52)</f>
        <v>667500</v>
      </c>
    </row>
  </sheetData>
  <mergeCells count="1">
    <mergeCell ref="A1:F1"/>
  </mergeCells>
  <pageMargins left="0.7" right="0.7" top="0.25" bottom="0" header="0.3" footer="0.3"/>
  <pageSetup paperSize="14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Q38"/>
  <sheetViews>
    <sheetView topLeftCell="A16" workbookViewId="0">
      <selection activeCell="O21" sqref="O21"/>
    </sheetView>
  </sheetViews>
  <sheetFormatPr defaultRowHeight="15.75"/>
  <cols>
    <col min="1" max="1" width="5.28515625" style="391" customWidth="1"/>
    <col min="2" max="2" width="12.42578125" style="391" customWidth="1"/>
    <col min="3" max="3" width="38" style="391" customWidth="1"/>
    <col min="4" max="4" width="17.28515625" style="391" bestFit="1" customWidth="1"/>
    <col min="5" max="5" width="14.5703125" style="391" bestFit="1" customWidth="1"/>
    <col min="6" max="6" width="14" style="391" bestFit="1" customWidth="1"/>
    <col min="7" max="7" width="11.5703125" style="391" bestFit="1" customWidth="1"/>
    <col min="8" max="8" width="11.5703125" style="391" customWidth="1"/>
    <col min="9" max="9" width="12.7109375" style="392" bestFit="1" customWidth="1"/>
    <col min="10" max="10" width="14.140625" style="391" customWidth="1"/>
    <col min="11" max="11" width="9" style="404" bestFit="1" customWidth="1"/>
    <col min="12" max="12" width="9.85546875" style="391" bestFit="1" customWidth="1"/>
    <col min="13" max="14" width="11.5703125" style="391" bestFit="1" customWidth="1"/>
    <col min="15" max="16" width="9.140625" style="391"/>
    <col min="17" max="17" width="9.85546875" style="391" bestFit="1" customWidth="1"/>
    <col min="18" max="16384" width="9.140625" style="391"/>
  </cols>
  <sheetData>
    <row r="1" spans="1:11" ht="18.75">
      <c r="A1" s="866" t="s">
        <v>375</v>
      </c>
      <c r="B1" s="866"/>
      <c r="C1" s="866"/>
      <c r="D1" s="866"/>
      <c r="E1" s="866"/>
      <c r="F1" s="866"/>
      <c r="G1" s="866"/>
      <c r="H1" s="866"/>
      <c r="I1" s="866"/>
      <c r="J1" s="866"/>
      <c r="K1" s="866"/>
    </row>
    <row r="3" spans="1:11" ht="30.75" customHeight="1">
      <c r="A3" s="394" t="s">
        <v>85</v>
      </c>
      <c r="B3" s="394" t="s">
        <v>379</v>
      </c>
      <c r="C3" s="394" t="s">
        <v>281</v>
      </c>
      <c r="D3" s="406" t="s">
        <v>378</v>
      </c>
      <c r="E3" s="394" t="s">
        <v>376</v>
      </c>
      <c r="F3" s="399"/>
      <c r="G3" s="394" t="s">
        <v>406</v>
      </c>
      <c r="H3" s="394" t="s">
        <v>407</v>
      </c>
      <c r="I3" s="393" t="s">
        <v>405</v>
      </c>
      <c r="J3" s="406" t="s">
        <v>377</v>
      </c>
      <c r="K3" s="394" t="s">
        <v>402</v>
      </c>
    </row>
    <row r="4" spans="1:11">
      <c r="A4" s="395"/>
      <c r="B4" s="395" t="s">
        <v>127</v>
      </c>
      <c r="C4" s="396" t="e">
        <f>#REF!</f>
        <v>#REF!</v>
      </c>
      <c r="D4" s="390" t="e">
        <f>#REF!</f>
        <v>#REF!</v>
      </c>
      <c r="E4" s="397" t="e">
        <f>D4/11</f>
        <v>#REF!</v>
      </c>
      <c r="F4" s="390" t="e">
        <f t="shared" ref="F4:F9" si="0">D4-E4</f>
        <v>#REF!</v>
      </c>
      <c r="G4" s="397" t="e">
        <f t="shared" ref="G4:G9" si="1">0.015*F4</f>
        <v>#REF!</v>
      </c>
      <c r="H4" s="397"/>
      <c r="I4" s="393" t="e">
        <f t="shared" ref="I4:I9" si="2">E4+G4</f>
        <v>#REF!</v>
      </c>
      <c r="J4" s="398" t="e">
        <f t="shared" ref="J4:J9" si="3">D4-E4-G4</f>
        <v>#REF!</v>
      </c>
      <c r="K4" s="399" t="s">
        <v>355</v>
      </c>
    </row>
    <row r="5" spans="1:11">
      <c r="A5" s="395"/>
      <c r="B5" s="395" t="s">
        <v>127</v>
      </c>
      <c r="C5" s="396" t="e">
        <f>#REF!</f>
        <v>#REF!</v>
      </c>
      <c r="D5" s="390" t="e">
        <f>#REF!</f>
        <v>#REF!</v>
      </c>
      <c r="E5" s="397" t="e">
        <f t="shared" ref="E5:E19" si="4">D5/11</f>
        <v>#REF!</v>
      </c>
      <c r="F5" s="390" t="e">
        <f t="shared" si="0"/>
        <v>#REF!</v>
      </c>
      <c r="G5" s="397" t="e">
        <f t="shared" si="1"/>
        <v>#REF!</v>
      </c>
      <c r="H5" s="397"/>
      <c r="I5" s="393" t="e">
        <f t="shared" si="2"/>
        <v>#REF!</v>
      </c>
      <c r="J5" s="398" t="e">
        <f t="shared" si="3"/>
        <v>#REF!</v>
      </c>
      <c r="K5" s="399" t="s">
        <v>355</v>
      </c>
    </row>
    <row r="6" spans="1:11">
      <c r="A6" s="399">
        <v>1</v>
      </c>
      <c r="B6" s="395" t="s">
        <v>404</v>
      </c>
      <c r="C6" s="95" t="s">
        <v>400</v>
      </c>
      <c r="D6" s="390">
        <f>50*150000</f>
        <v>7500000</v>
      </c>
      <c r="E6" s="397">
        <f t="shared" si="4"/>
        <v>681818.18181818177</v>
      </c>
      <c r="F6" s="390">
        <f t="shared" si="0"/>
        <v>6818181.8181818184</v>
      </c>
      <c r="G6" s="397">
        <f t="shared" si="1"/>
        <v>102272.72727272726</v>
      </c>
      <c r="H6" s="397"/>
      <c r="I6" s="393">
        <f t="shared" si="2"/>
        <v>784090.90909090906</v>
      </c>
      <c r="J6" s="398">
        <f t="shared" si="3"/>
        <v>6715909.0909090908</v>
      </c>
      <c r="K6" s="399"/>
    </row>
    <row r="7" spans="1:11" ht="31.5">
      <c r="A7" s="399">
        <v>2</v>
      </c>
      <c r="B7" s="395" t="s">
        <v>403</v>
      </c>
      <c r="C7" s="396" t="s">
        <v>385</v>
      </c>
      <c r="D7" s="390">
        <f>6150000</f>
        <v>6150000</v>
      </c>
      <c r="E7" s="397">
        <f>D7/11</f>
        <v>559090.90909090906</v>
      </c>
      <c r="F7" s="390">
        <f t="shared" si="0"/>
        <v>5590909.0909090908</v>
      </c>
      <c r="G7" s="397">
        <f t="shared" si="1"/>
        <v>83863.636363636353</v>
      </c>
      <c r="H7" s="397"/>
      <c r="I7" s="393">
        <f t="shared" si="2"/>
        <v>642954.54545454541</v>
      </c>
      <c r="J7" s="398">
        <f t="shared" si="3"/>
        <v>5507045.4545454541</v>
      </c>
      <c r="K7" s="399" t="s">
        <v>355</v>
      </c>
    </row>
    <row r="8" spans="1:11" ht="31.5">
      <c r="A8" s="399">
        <v>3</v>
      </c>
      <c r="B8" s="395" t="s">
        <v>403</v>
      </c>
      <c r="C8" s="396" t="s">
        <v>386</v>
      </c>
      <c r="D8" s="390">
        <f>870000</f>
        <v>870000</v>
      </c>
      <c r="E8" s="397">
        <f>D8/11</f>
        <v>79090.909090909088</v>
      </c>
      <c r="F8" s="390">
        <f t="shared" si="0"/>
        <v>790909.09090909094</v>
      </c>
      <c r="G8" s="397">
        <f t="shared" si="1"/>
        <v>11863.636363636364</v>
      </c>
      <c r="H8" s="397"/>
      <c r="I8" s="393">
        <f t="shared" si="2"/>
        <v>90954.545454545456</v>
      </c>
      <c r="J8" s="398">
        <f t="shared" si="3"/>
        <v>779045.45454545459</v>
      </c>
      <c r="K8" s="399" t="s">
        <v>355</v>
      </c>
    </row>
    <row r="9" spans="1:11">
      <c r="A9" s="399">
        <v>4</v>
      </c>
      <c r="B9" s="395" t="s">
        <v>380</v>
      </c>
      <c r="C9" s="400" t="e">
        <f>#REF!</f>
        <v>#REF!</v>
      </c>
      <c r="D9" s="408" t="e">
        <f>#REF!</f>
        <v>#REF!</v>
      </c>
      <c r="E9" s="397" t="e">
        <f>D9/11</f>
        <v>#REF!</v>
      </c>
      <c r="F9" s="390" t="e">
        <f t="shared" si="0"/>
        <v>#REF!</v>
      </c>
      <c r="G9" s="397" t="e">
        <f t="shared" si="1"/>
        <v>#REF!</v>
      </c>
      <c r="H9" s="397"/>
      <c r="I9" s="393" t="e">
        <f t="shared" si="2"/>
        <v>#REF!</v>
      </c>
      <c r="J9" s="398" t="e">
        <f t="shared" si="3"/>
        <v>#REF!</v>
      </c>
      <c r="K9" s="399"/>
    </row>
    <row r="10" spans="1:11">
      <c r="A10" s="399">
        <v>5</v>
      </c>
      <c r="B10" s="395" t="s">
        <v>380</v>
      </c>
      <c r="C10" s="400" t="s">
        <v>408</v>
      </c>
      <c r="D10" s="408">
        <v>645000</v>
      </c>
      <c r="E10" s="397"/>
      <c r="F10" s="390"/>
      <c r="G10" s="397"/>
      <c r="H10" s="397"/>
      <c r="I10" s="393"/>
      <c r="J10" s="398"/>
      <c r="K10" s="399" t="s">
        <v>409</v>
      </c>
    </row>
    <row r="11" spans="1:11">
      <c r="A11" s="399">
        <v>6</v>
      </c>
      <c r="B11" s="395" t="s">
        <v>380</v>
      </c>
      <c r="C11" s="400" t="e">
        <f>#REF!</f>
        <v>#REF!</v>
      </c>
      <c r="D11" s="390">
        <v>2000000</v>
      </c>
      <c r="E11" s="397">
        <f>D11/11</f>
        <v>181818.18181818182</v>
      </c>
      <c r="F11" s="390">
        <f t="shared" ref="F11:F24" si="5">D11-E11</f>
        <v>1818181.8181818181</v>
      </c>
      <c r="G11" s="397"/>
      <c r="H11" s="397">
        <f>0.02*F11</f>
        <v>36363.63636363636</v>
      </c>
      <c r="I11" s="393">
        <f t="shared" ref="I11:I24" si="6">E11+G11</f>
        <v>181818.18181818182</v>
      </c>
      <c r="J11" s="398">
        <f t="shared" ref="J11:J24" si="7">D11-E11-G11</f>
        <v>1818181.8181818181</v>
      </c>
      <c r="K11" s="399" t="s">
        <v>355</v>
      </c>
    </row>
    <row r="12" spans="1:11">
      <c r="A12" s="399">
        <v>7</v>
      </c>
      <c r="B12" s="395" t="s">
        <v>380</v>
      </c>
      <c r="C12" s="396" t="e">
        <f>#REF!</f>
        <v>#REF!</v>
      </c>
      <c r="D12" s="390" t="e">
        <f>#REF!</f>
        <v>#REF!</v>
      </c>
      <c r="E12" s="397" t="e">
        <f>D12/11</f>
        <v>#REF!</v>
      </c>
      <c r="F12" s="390" t="e">
        <f t="shared" si="5"/>
        <v>#REF!</v>
      </c>
      <c r="G12" s="397"/>
      <c r="H12" s="397" t="e">
        <f>0.02*F12</f>
        <v>#REF!</v>
      </c>
      <c r="I12" s="393" t="e">
        <f t="shared" si="6"/>
        <v>#REF!</v>
      </c>
      <c r="J12" s="398" t="e">
        <f t="shared" si="7"/>
        <v>#REF!</v>
      </c>
      <c r="K12" s="399" t="s">
        <v>355</v>
      </c>
    </row>
    <row r="13" spans="1:11">
      <c r="A13" s="399">
        <v>8</v>
      </c>
      <c r="B13" s="395" t="s">
        <v>380</v>
      </c>
      <c r="C13" s="396" t="e">
        <f>#REF!</f>
        <v>#REF!</v>
      </c>
      <c r="D13" s="390">
        <v>46764300</v>
      </c>
      <c r="E13" s="397">
        <f t="shared" si="4"/>
        <v>4251300</v>
      </c>
      <c r="F13" s="390">
        <f t="shared" si="5"/>
        <v>42513000</v>
      </c>
      <c r="G13" s="397">
        <f>0.015*F13</f>
        <v>637695</v>
      </c>
      <c r="H13" s="397"/>
      <c r="I13" s="393">
        <f t="shared" si="6"/>
        <v>4888995</v>
      </c>
      <c r="J13" s="398">
        <f t="shared" si="7"/>
        <v>41875305</v>
      </c>
      <c r="K13" s="399" t="s">
        <v>355</v>
      </c>
    </row>
    <row r="14" spans="1:11">
      <c r="A14" s="399">
        <v>9</v>
      </c>
      <c r="B14" s="395" t="s">
        <v>380</v>
      </c>
      <c r="C14" s="396" t="s">
        <v>395</v>
      </c>
      <c r="D14" s="390">
        <v>44600600</v>
      </c>
      <c r="E14" s="397">
        <f t="shared" si="4"/>
        <v>4054600</v>
      </c>
      <c r="F14" s="390">
        <f t="shared" si="5"/>
        <v>40546000</v>
      </c>
      <c r="G14" s="397"/>
      <c r="H14" s="397">
        <f>0.005*F14</f>
        <v>202730</v>
      </c>
      <c r="I14" s="393">
        <f t="shared" si="6"/>
        <v>4054600</v>
      </c>
      <c r="J14" s="398">
        <f t="shared" si="7"/>
        <v>40546000</v>
      </c>
      <c r="K14" s="399" t="s">
        <v>355</v>
      </c>
    </row>
    <row r="15" spans="1:11">
      <c r="A15" s="399">
        <v>10</v>
      </c>
      <c r="B15" s="395" t="s">
        <v>380</v>
      </c>
      <c r="C15" s="396" t="s">
        <v>382</v>
      </c>
      <c r="D15" s="390">
        <v>1500000</v>
      </c>
      <c r="E15" s="397">
        <f t="shared" si="4"/>
        <v>136363.63636363635</v>
      </c>
      <c r="F15" s="390">
        <f t="shared" si="5"/>
        <v>1363636.3636363638</v>
      </c>
      <c r="G15" s="397"/>
      <c r="H15" s="397">
        <f>0.02*F15</f>
        <v>27272.727272727276</v>
      </c>
      <c r="I15" s="393">
        <f t="shared" si="6"/>
        <v>136363.63636363635</v>
      </c>
      <c r="J15" s="398">
        <f t="shared" si="7"/>
        <v>1363636.3636363638</v>
      </c>
      <c r="K15" s="399" t="s">
        <v>355</v>
      </c>
    </row>
    <row r="16" spans="1:11">
      <c r="A16" s="399">
        <v>11</v>
      </c>
      <c r="B16" s="395" t="s">
        <v>380</v>
      </c>
      <c r="C16" s="396" t="s">
        <v>383</v>
      </c>
      <c r="D16" s="390">
        <v>7000000</v>
      </c>
      <c r="E16" s="397">
        <f t="shared" si="4"/>
        <v>636363.63636363635</v>
      </c>
      <c r="F16" s="390">
        <f t="shared" si="5"/>
        <v>6363636.3636363633</v>
      </c>
      <c r="G16" s="397"/>
      <c r="H16" s="397">
        <f>0.02*F16</f>
        <v>127272.72727272726</v>
      </c>
      <c r="I16" s="393">
        <f t="shared" si="6"/>
        <v>636363.63636363635</v>
      </c>
      <c r="J16" s="398">
        <f t="shared" si="7"/>
        <v>6363636.3636363633</v>
      </c>
      <c r="K16" s="399" t="s">
        <v>355</v>
      </c>
    </row>
    <row r="17" spans="1:17" ht="31.5">
      <c r="A17" s="399">
        <v>12</v>
      </c>
      <c r="B17" s="395" t="s">
        <v>380</v>
      </c>
      <c r="C17" s="396" t="s">
        <v>384</v>
      </c>
      <c r="D17" s="389">
        <f>34606000</f>
        <v>34606000</v>
      </c>
      <c r="E17" s="397">
        <f>10/110*D17</f>
        <v>3146000</v>
      </c>
      <c r="F17" s="390">
        <f t="shared" si="5"/>
        <v>31460000</v>
      </c>
      <c r="G17" s="397">
        <f>0.015*F17</f>
        <v>471900</v>
      </c>
      <c r="H17" s="397"/>
      <c r="I17" s="393">
        <f t="shared" si="6"/>
        <v>3617900</v>
      </c>
      <c r="J17" s="398">
        <f t="shared" si="7"/>
        <v>30988100</v>
      </c>
      <c r="K17" s="399"/>
    </row>
    <row r="18" spans="1:17" ht="31.5">
      <c r="A18" s="399">
        <v>13</v>
      </c>
      <c r="B18" s="395" t="s">
        <v>380</v>
      </c>
      <c r="C18" s="396" t="s">
        <v>394</v>
      </c>
      <c r="D18" s="389">
        <f>14223000</f>
        <v>14223000</v>
      </c>
      <c r="E18" s="397">
        <f t="shared" si="4"/>
        <v>1293000</v>
      </c>
      <c r="F18" s="390">
        <f t="shared" si="5"/>
        <v>12930000</v>
      </c>
      <c r="G18" s="397">
        <f>0.015*F18</f>
        <v>193950</v>
      </c>
      <c r="H18" s="397"/>
      <c r="I18" s="393">
        <f t="shared" si="6"/>
        <v>1486950</v>
      </c>
      <c r="J18" s="398">
        <f t="shared" si="7"/>
        <v>12736050</v>
      </c>
      <c r="K18" s="399"/>
    </row>
    <row r="19" spans="1:17" ht="47.25">
      <c r="A19" s="399">
        <v>14</v>
      </c>
      <c r="B19" s="395" t="s">
        <v>380</v>
      </c>
      <c r="C19" s="396" t="s">
        <v>393</v>
      </c>
      <c r="D19" s="389">
        <f>3575000</f>
        <v>3575000</v>
      </c>
      <c r="E19" s="397">
        <f t="shared" si="4"/>
        <v>325000</v>
      </c>
      <c r="F19" s="390">
        <f t="shared" si="5"/>
        <v>3250000</v>
      </c>
      <c r="G19" s="397"/>
      <c r="H19" s="397">
        <f>0.04*F19</f>
        <v>130000</v>
      </c>
      <c r="I19" s="393">
        <f t="shared" si="6"/>
        <v>325000</v>
      </c>
      <c r="J19" s="398">
        <f t="shared" si="7"/>
        <v>3250000</v>
      </c>
      <c r="K19" s="399"/>
    </row>
    <row r="20" spans="1:17" ht="31.5">
      <c r="A20" s="399">
        <v>15</v>
      </c>
      <c r="B20" s="395" t="s">
        <v>380</v>
      </c>
      <c r="C20" s="400" t="s">
        <v>381</v>
      </c>
      <c r="D20" s="390">
        <f>53000000+4353405</f>
        <v>57353405</v>
      </c>
      <c r="E20" s="397">
        <f t="shared" ref="E20:E28" si="8">D20/11</f>
        <v>5213945.9090909092</v>
      </c>
      <c r="F20" s="390">
        <f t="shared" si="5"/>
        <v>52139459.090909094</v>
      </c>
      <c r="G20" s="397">
        <f t="shared" ref="G20:G26" si="9">0.015*F20</f>
        <v>782091.88636363635</v>
      </c>
      <c r="H20" s="397"/>
      <c r="I20" s="393">
        <f t="shared" si="6"/>
        <v>5996037.7954545459</v>
      </c>
      <c r="J20" s="398">
        <f t="shared" si="7"/>
        <v>51357367.204545461</v>
      </c>
      <c r="K20" s="399" t="s">
        <v>355</v>
      </c>
    </row>
    <row r="21" spans="1:17">
      <c r="A21" s="399">
        <v>16</v>
      </c>
      <c r="B21" s="395" t="s">
        <v>380</v>
      </c>
      <c r="C21" s="400" t="e">
        <f>#REF!</f>
        <v>#REF!</v>
      </c>
      <c r="D21" s="390">
        <v>48192650</v>
      </c>
      <c r="E21" s="397">
        <f t="shared" si="8"/>
        <v>4381150</v>
      </c>
      <c r="F21" s="390">
        <f t="shared" si="5"/>
        <v>43811500</v>
      </c>
      <c r="G21" s="397">
        <f t="shared" si="9"/>
        <v>657172.5</v>
      </c>
      <c r="H21" s="397"/>
      <c r="I21" s="393">
        <f t="shared" si="6"/>
        <v>5038322.5</v>
      </c>
      <c r="J21" s="398">
        <f t="shared" si="7"/>
        <v>43154327.5</v>
      </c>
      <c r="K21" s="399" t="s">
        <v>355</v>
      </c>
    </row>
    <row r="22" spans="1:17">
      <c r="A22" s="399">
        <v>17</v>
      </c>
      <c r="B22" s="395" t="s">
        <v>380</v>
      </c>
      <c r="C22" s="400" t="e">
        <f>#REF!</f>
        <v>#REF!</v>
      </c>
      <c r="D22" s="390" t="e">
        <f>#REF!</f>
        <v>#REF!</v>
      </c>
      <c r="E22" s="397" t="e">
        <f t="shared" si="8"/>
        <v>#REF!</v>
      </c>
      <c r="F22" s="390" t="e">
        <f t="shared" si="5"/>
        <v>#REF!</v>
      </c>
      <c r="G22" s="397" t="e">
        <f t="shared" si="9"/>
        <v>#REF!</v>
      </c>
      <c r="H22" s="397"/>
      <c r="I22" s="393" t="e">
        <f t="shared" si="6"/>
        <v>#REF!</v>
      </c>
      <c r="J22" s="398" t="e">
        <f t="shared" si="7"/>
        <v>#REF!</v>
      </c>
      <c r="K22" s="399" t="s">
        <v>355</v>
      </c>
    </row>
    <row r="23" spans="1:17">
      <c r="A23" s="399">
        <v>18</v>
      </c>
      <c r="B23" s="395" t="s">
        <v>380</v>
      </c>
      <c r="C23" s="400" t="e">
        <f>#REF!</f>
        <v>#REF!</v>
      </c>
      <c r="D23" s="390">
        <v>1980000</v>
      </c>
      <c r="E23" s="397">
        <f t="shared" si="8"/>
        <v>180000</v>
      </c>
      <c r="F23" s="390">
        <f t="shared" si="5"/>
        <v>1800000</v>
      </c>
      <c r="G23" s="397">
        <f t="shared" si="9"/>
        <v>27000</v>
      </c>
      <c r="H23" s="397"/>
      <c r="I23" s="393">
        <f t="shared" si="6"/>
        <v>207000</v>
      </c>
      <c r="J23" s="398">
        <f t="shared" si="7"/>
        <v>1773000</v>
      </c>
      <c r="K23" s="399" t="s">
        <v>355</v>
      </c>
    </row>
    <row r="24" spans="1:17">
      <c r="A24" s="399">
        <v>19</v>
      </c>
      <c r="B24" s="395" t="s">
        <v>380</v>
      </c>
      <c r="C24" s="400" t="e">
        <f>#REF!</f>
        <v>#REF!</v>
      </c>
      <c r="D24" s="390" t="e">
        <f>#REF!</f>
        <v>#REF!</v>
      </c>
      <c r="E24" s="397" t="e">
        <f t="shared" si="8"/>
        <v>#REF!</v>
      </c>
      <c r="F24" s="390" t="e">
        <f t="shared" si="5"/>
        <v>#REF!</v>
      </c>
      <c r="G24" s="397" t="e">
        <f t="shared" si="9"/>
        <v>#REF!</v>
      </c>
      <c r="H24" s="397"/>
      <c r="I24" s="393" t="e">
        <f t="shared" si="6"/>
        <v>#REF!</v>
      </c>
      <c r="J24" s="398" t="e">
        <f t="shared" si="7"/>
        <v>#REF!</v>
      </c>
      <c r="K24" s="399" t="s">
        <v>355</v>
      </c>
    </row>
    <row r="25" spans="1:17">
      <c r="A25" s="399"/>
      <c r="B25" s="395"/>
      <c r="C25" s="400" t="s">
        <v>588</v>
      </c>
      <c r="D25" s="390">
        <v>7895000</v>
      </c>
      <c r="E25" s="397">
        <f t="shared" si="8"/>
        <v>717727.27272727271</v>
      </c>
      <c r="F25" s="390">
        <f t="shared" ref="F25:F30" si="10">D25-E25</f>
        <v>7177272.7272727275</v>
      </c>
      <c r="G25" s="397">
        <f t="shared" si="9"/>
        <v>107659.09090909091</v>
      </c>
      <c r="H25" s="738">
        <f>0.02*F25</f>
        <v>143545.45454545456</v>
      </c>
      <c r="I25" s="393">
        <f t="shared" ref="I25:I30" si="11">E25+G25</f>
        <v>825386.36363636365</v>
      </c>
      <c r="J25" s="398">
        <f t="shared" ref="J25:J30" si="12">D25-E25-G25</f>
        <v>7069613.6363636367</v>
      </c>
      <c r="K25" s="399" t="s">
        <v>355</v>
      </c>
    </row>
    <row r="26" spans="1:17">
      <c r="A26" s="399"/>
      <c r="B26" s="395"/>
      <c r="C26" s="400" t="s">
        <v>510</v>
      </c>
      <c r="D26" s="390">
        <v>4000000</v>
      </c>
      <c r="E26" s="397">
        <f t="shared" si="8"/>
        <v>363636.36363636365</v>
      </c>
      <c r="F26" s="390">
        <f t="shared" si="10"/>
        <v>3636363.6363636362</v>
      </c>
      <c r="G26" s="397">
        <f t="shared" si="9"/>
        <v>54545.454545454544</v>
      </c>
      <c r="H26" s="397"/>
      <c r="I26" s="393">
        <f t="shared" si="11"/>
        <v>418181.81818181818</v>
      </c>
      <c r="J26" s="398">
        <f t="shared" si="12"/>
        <v>3581818.1818181816</v>
      </c>
      <c r="K26" s="399" t="s">
        <v>355</v>
      </c>
    </row>
    <row r="27" spans="1:17">
      <c r="A27" s="399"/>
      <c r="B27" s="395"/>
      <c r="C27" s="400" t="s">
        <v>582</v>
      </c>
      <c r="D27" s="390">
        <v>1000000</v>
      </c>
      <c r="E27" s="397">
        <f t="shared" si="8"/>
        <v>90909.090909090912</v>
      </c>
      <c r="F27" s="390">
        <f t="shared" si="10"/>
        <v>909090.90909090906</v>
      </c>
      <c r="G27" s="397"/>
      <c r="H27" s="738">
        <f>0.02*F27</f>
        <v>18181.81818181818</v>
      </c>
      <c r="I27" s="393">
        <f t="shared" si="11"/>
        <v>90909.090909090912</v>
      </c>
      <c r="J27" s="398">
        <f t="shared" si="12"/>
        <v>909090.90909090906</v>
      </c>
      <c r="K27" s="399" t="s">
        <v>355</v>
      </c>
    </row>
    <row r="28" spans="1:17">
      <c r="A28" s="399"/>
      <c r="B28" s="395"/>
      <c r="C28" s="400" t="s">
        <v>582</v>
      </c>
      <c r="D28" s="390">
        <v>3000000</v>
      </c>
      <c r="E28" s="397">
        <f t="shared" si="8"/>
        <v>272727.27272727271</v>
      </c>
      <c r="F28" s="390">
        <f t="shared" ref="F28" si="13">D28-E28</f>
        <v>2727272.7272727275</v>
      </c>
      <c r="G28" s="397"/>
      <c r="H28" s="738">
        <f>0.02*F28</f>
        <v>54545.454545454551</v>
      </c>
      <c r="I28" s="393">
        <f t="shared" ref="I28" si="14">E28+G28</f>
        <v>272727.27272727271</v>
      </c>
      <c r="J28" s="398">
        <f t="shared" ref="J28" si="15">D28-E28-G28</f>
        <v>2727272.7272727275</v>
      </c>
      <c r="K28" s="399" t="s">
        <v>355</v>
      </c>
      <c r="L28" s="391">
        <f>0.05*J28</f>
        <v>136363.63636363638</v>
      </c>
      <c r="M28" s="391">
        <f>D28-I28-L28</f>
        <v>2590909.0909090913</v>
      </c>
      <c r="N28" s="391">
        <f>M28-1500000</f>
        <v>1090909.0909090913</v>
      </c>
    </row>
    <row r="29" spans="1:17">
      <c r="A29" s="399"/>
      <c r="B29" s="395"/>
      <c r="C29" s="400"/>
      <c r="D29" s="390">
        <v>1980000</v>
      </c>
      <c r="E29" s="397">
        <f>D29/11</f>
        <v>180000</v>
      </c>
      <c r="F29" s="390">
        <f t="shared" si="10"/>
        <v>1800000</v>
      </c>
      <c r="G29" s="397">
        <f>0.015*F29</f>
        <v>27000</v>
      </c>
      <c r="H29" s="397"/>
      <c r="I29" s="393">
        <f t="shared" si="11"/>
        <v>207000</v>
      </c>
      <c r="J29" s="398">
        <f t="shared" si="12"/>
        <v>1773000</v>
      </c>
      <c r="K29" s="399" t="s">
        <v>355</v>
      </c>
    </row>
    <row r="30" spans="1:17">
      <c r="A30" s="399"/>
      <c r="B30" s="395"/>
      <c r="C30" s="400"/>
      <c r="D30" s="390" t="e">
        <f>#REF!</f>
        <v>#REF!</v>
      </c>
      <c r="E30" s="397" t="e">
        <f>D30/11</f>
        <v>#REF!</v>
      </c>
      <c r="F30" s="390" t="e">
        <f t="shared" si="10"/>
        <v>#REF!</v>
      </c>
      <c r="G30" s="397" t="e">
        <f>0.015*F30</f>
        <v>#REF!</v>
      </c>
      <c r="H30" s="397"/>
      <c r="I30" s="393" t="e">
        <f t="shared" si="11"/>
        <v>#REF!</v>
      </c>
      <c r="J30" s="398" t="e">
        <f t="shared" si="12"/>
        <v>#REF!</v>
      </c>
      <c r="K30" s="399" t="s">
        <v>355</v>
      </c>
    </row>
    <row r="31" spans="1:17" s="402" customFormat="1">
      <c r="A31" s="393"/>
      <c r="B31" s="393"/>
      <c r="C31" s="401" t="s">
        <v>208</v>
      </c>
      <c r="D31" s="397" t="e">
        <f>SUM(D6:D24)</f>
        <v>#REF!</v>
      </c>
      <c r="E31" s="397" t="e">
        <f t="shared" ref="E31:J31" si="16">SUM(E6:E24)</f>
        <v>#REF!</v>
      </c>
      <c r="F31" s="397" t="e">
        <f t="shared" si="16"/>
        <v>#REF!</v>
      </c>
      <c r="G31" s="397" t="e">
        <f t="shared" si="16"/>
        <v>#REF!</v>
      </c>
      <c r="H31" s="397" t="e">
        <f t="shared" si="16"/>
        <v>#REF!</v>
      </c>
      <c r="I31" s="397" t="e">
        <f t="shared" si="16"/>
        <v>#REF!</v>
      </c>
      <c r="J31" s="397" t="e">
        <f t="shared" si="16"/>
        <v>#REF!</v>
      </c>
      <c r="K31" s="394"/>
      <c r="Q31" s="402">
        <v>90000</v>
      </c>
    </row>
    <row r="32" spans="1:17">
      <c r="C32" s="403"/>
      <c r="D32" s="404"/>
      <c r="E32" s="404"/>
      <c r="F32" s="404"/>
      <c r="G32" s="404"/>
      <c r="H32" s="404"/>
      <c r="J32" s="405"/>
      <c r="Q32" s="391">
        <v>90000</v>
      </c>
    </row>
    <row r="33" spans="3:17">
      <c r="D33" s="404"/>
      <c r="E33" s="404"/>
      <c r="F33" s="404"/>
      <c r="G33" s="404"/>
      <c r="H33" s="404"/>
      <c r="J33" s="405"/>
      <c r="Q33" s="391">
        <v>75000</v>
      </c>
    </row>
    <row r="34" spans="3:17">
      <c r="C34" s="403"/>
      <c r="D34" s="404"/>
      <c r="E34" s="404"/>
      <c r="F34" s="404"/>
      <c r="G34" s="404"/>
      <c r="H34" s="404"/>
      <c r="J34" s="405"/>
      <c r="Q34" s="391">
        <f>SUM(Q31:Q33)</f>
        <v>255000</v>
      </c>
    </row>
    <row r="35" spans="3:17">
      <c r="C35" s="403"/>
      <c r="D35" s="404"/>
      <c r="E35" s="404"/>
      <c r="F35" s="404"/>
      <c r="G35" s="404"/>
      <c r="H35" s="404"/>
      <c r="J35" s="405"/>
      <c r="Q35" s="391">
        <f>Q34+10000</f>
        <v>265000</v>
      </c>
    </row>
    <row r="37" spans="3:17">
      <c r="D37" s="391">
        <v>8000000</v>
      </c>
    </row>
    <row r="38" spans="3:17">
      <c r="D38" s="391">
        <f>D37/6</f>
        <v>1333333.3333333333</v>
      </c>
    </row>
  </sheetData>
  <mergeCells count="1">
    <mergeCell ref="A1:K1"/>
  </mergeCells>
  <pageMargins left="0.45" right="0.45" top="0.25" bottom="0" header="0.3" footer="0.3"/>
  <pageSetup paperSize="14" scale="9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2"/>
  <sheetViews>
    <sheetView view="pageBreakPreview" topLeftCell="I1" zoomScale="60" workbookViewId="0">
      <selection activeCell="N129" sqref="N129"/>
    </sheetView>
  </sheetViews>
  <sheetFormatPr defaultRowHeight="16.5"/>
  <cols>
    <col min="1" max="1" width="2.140625" style="24" bestFit="1" customWidth="1"/>
    <col min="2" max="5" width="3.28515625" style="24" bestFit="1" customWidth="1"/>
    <col min="6" max="8" width="2.140625" style="24" bestFit="1" customWidth="1"/>
    <col min="9" max="9" width="3.28515625" style="24" bestFit="1" customWidth="1"/>
    <col min="10" max="10" width="4" style="24" bestFit="1" customWidth="1"/>
    <col min="11" max="11" width="68.42578125" style="24" customWidth="1"/>
    <col min="12" max="12" width="10.85546875" style="24" customWidth="1"/>
    <col min="13" max="13" width="17.140625" style="24" customWidth="1"/>
    <col min="14" max="14" width="17.28515625" style="24" customWidth="1"/>
    <col min="15" max="15" width="8.5703125" style="24" customWidth="1"/>
    <col min="16" max="16" width="17.85546875" style="117" customWidth="1"/>
    <col min="17" max="17" width="10.140625" style="24" customWidth="1"/>
    <col min="18" max="18" width="17.5703125" style="24" customWidth="1"/>
    <col min="19" max="19" width="8.5703125" style="24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684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660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2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791" t="s">
        <v>15</v>
      </c>
      <c r="O9" s="791" t="s">
        <v>16</v>
      </c>
      <c r="P9" s="791" t="s">
        <v>15</v>
      </c>
      <c r="Q9" s="791" t="s">
        <v>16</v>
      </c>
      <c r="R9" s="794" t="s">
        <v>15</v>
      </c>
      <c r="S9" s="794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795" t="s">
        <v>685</v>
      </c>
      <c r="M10" s="796"/>
      <c r="N10" s="796"/>
      <c r="O10" s="796"/>
      <c r="P10" s="794"/>
      <c r="Q10" s="794"/>
      <c r="R10" s="794"/>
      <c r="S10" s="794"/>
      <c r="T10" s="799"/>
      <c r="U10" s="794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795" t="s">
        <v>19</v>
      </c>
      <c r="M11" s="796"/>
      <c r="N11" s="796"/>
      <c r="O11" s="796"/>
      <c r="P11" s="794"/>
      <c r="Q11" s="794"/>
      <c r="R11" s="794"/>
      <c r="S11" s="794"/>
      <c r="T11" s="799"/>
      <c r="U11" s="794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M13+M18+M76</f>
        <v>1836864000</v>
      </c>
      <c r="N12" s="5">
        <f>N13+N18+N76</f>
        <v>97074920</v>
      </c>
      <c r="O12" s="6">
        <f>N12/M12*100</f>
        <v>5.2848180376990346</v>
      </c>
      <c r="P12" s="5">
        <f>P13+P18+P76</f>
        <v>231017616</v>
      </c>
      <c r="Q12" s="285">
        <f>P12/M12*100</f>
        <v>12.576740357478833</v>
      </c>
      <c r="R12" s="5">
        <f>R13+R18+R76</f>
        <v>328092536</v>
      </c>
      <c r="S12" s="285">
        <f>R12/M12*100</f>
        <v>17.861558395177866</v>
      </c>
      <c r="T12" s="800">
        <f>T13+T18+T76/3</f>
        <v>34.576800232288036</v>
      </c>
      <c r="U12" s="12"/>
      <c r="V12" s="11"/>
    </row>
    <row r="13" spans="1:26">
      <c r="A13" s="561">
        <v>1</v>
      </c>
      <c r="B13" s="291" t="s">
        <v>17</v>
      </c>
      <c r="C13" s="291" t="s">
        <v>18</v>
      </c>
      <c r="D13" s="292">
        <v>38</v>
      </c>
      <c r="E13" s="291" t="s">
        <v>25</v>
      </c>
      <c r="F13" s="292">
        <v>5</v>
      </c>
      <c r="G13" s="292">
        <v>2</v>
      </c>
      <c r="H13" s="292">
        <v>1</v>
      </c>
      <c r="I13" s="292"/>
      <c r="J13" s="293"/>
      <c r="K13" s="295" t="s">
        <v>22</v>
      </c>
      <c r="L13" s="7"/>
      <c r="M13" s="5">
        <f>M15</f>
        <v>1102118400</v>
      </c>
      <c r="N13" s="5">
        <f>N15</f>
        <v>78253020</v>
      </c>
      <c r="O13" s="6">
        <f>N13/M13*100</f>
        <v>7.1002371433051117</v>
      </c>
      <c r="P13" s="5">
        <f>P15</f>
        <v>156276900</v>
      </c>
      <c r="Q13" s="285">
        <f>P13/M13*100</f>
        <v>14.179683416954115</v>
      </c>
      <c r="R13" s="5">
        <f>R15</f>
        <v>234529920</v>
      </c>
      <c r="S13" s="285">
        <f>R13/M13*100</f>
        <v>21.279920560259225</v>
      </c>
      <c r="T13" s="800">
        <f>T15</f>
        <v>25</v>
      </c>
      <c r="U13" s="296"/>
      <c r="V13" s="11"/>
    </row>
    <row r="14" spans="1:26" ht="7.5" customHeight="1">
      <c r="A14" s="561"/>
      <c r="B14" s="291"/>
      <c r="C14" s="291"/>
      <c r="D14" s="291"/>
      <c r="E14" s="291"/>
      <c r="F14" s="291"/>
      <c r="G14" s="292"/>
      <c r="H14" s="292"/>
      <c r="I14" s="292"/>
      <c r="J14" s="293"/>
      <c r="K14" s="295"/>
      <c r="L14" s="4"/>
      <c r="M14" s="5"/>
      <c r="N14" s="5"/>
      <c r="O14" s="5"/>
      <c r="P14" s="5"/>
      <c r="Q14" s="286"/>
      <c r="R14" s="5"/>
      <c r="S14" s="285"/>
      <c r="T14" s="800"/>
      <c r="U14" s="11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78253020</v>
      </c>
      <c r="O15" s="6">
        <f t="shared" ref="O15:O85" si="0">N15/M15*100</f>
        <v>7.1002371433051117</v>
      </c>
      <c r="P15" s="5">
        <f>P16</f>
        <v>156276900</v>
      </c>
      <c r="Q15" s="285">
        <f t="shared" ref="Q15:Q85" si="1">P15/M15*100</f>
        <v>14.179683416954115</v>
      </c>
      <c r="R15" s="17">
        <f t="shared" ref="R15:R85" si="2">N15+P15</f>
        <v>234529920</v>
      </c>
      <c r="S15" s="285">
        <f t="shared" ref="S15:S85" si="3">R15/M15*100</f>
        <v>21.279920560259225</v>
      </c>
      <c r="T15" s="800">
        <f>T16</f>
        <v>25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f>feb!R16</f>
        <v>78253020</v>
      </c>
      <c r="O16" s="111">
        <f t="shared" si="0"/>
        <v>7.1002371433051117</v>
      </c>
      <c r="P16" s="9">
        <v>156276900</v>
      </c>
      <c r="Q16" s="286">
        <f t="shared" si="1"/>
        <v>14.179683416954115</v>
      </c>
      <c r="R16" s="19">
        <f t="shared" si="2"/>
        <v>234529920</v>
      </c>
      <c r="S16" s="286">
        <f t="shared" si="3"/>
        <v>21.279920560259225</v>
      </c>
      <c r="T16" s="801">
        <f>3/12*100</f>
        <v>25</v>
      </c>
      <c r="U16" s="11"/>
      <c r="V16" s="11"/>
    </row>
    <row r="17" spans="1:22" ht="7.5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6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N19+N32+N35+N46+N52+N54+N57+N59+N64+N68+N73+N50+N40+N42+N71</f>
        <v>18821900</v>
      </c>
      <c r="O18" s="6">
        <f t="shared" si="0"/>
        <v>3.0949268876778273</v>
      </c>
      <c r="P18" s="5">
        <f>P19+P32+P35+P46+P52+P54+P57+P59+P64+P68+P73+P50</f>
        <v>39868216</v>
      </c>
      <c r="Q18" s="285">
        <f t="shared" si="1"/>
        <v>6.5556194466099251</v>
      </c>
      <c r="R18" s="17">
        <f t="shared" si="2"/>
        <v>58690116</v>
      </c>
      <c r="S18" s="285">
        <f t="shared" si="3"/>
        <v>9.6505463342877533</v>
      </c>
      <c r="T18" s="800">
        <f>SUM(T20:T74)/41</f>
        <v>1.451800232288037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15344900</v>
      </c>
      <c r="O19" s="6">
        <f t="shared" si="0"/>
        <v>6.2465296831163082</v>
      </c>
      <c r="P19" s="5">
        <f>SUM(P20:P31)</f>
        <v>1988000</v>
      </c>
      <c r="Q19" s="285">
        <f t="shared" si="1"/>
        <v>0.80926568501816365</v>
      </c>
      <c r="R19" s="17">
        <f>N19+P19</f>
        <v>17332900</v>
      </c>
      <c r="S19" s="285">
        <f t="shared" si="3"/>
        <v>7.0557953681344712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f>feb!R20</f>
        <v>13994900</v>
      </c>
      <c r="O20" s="111">
        <f t="shared" si="0"/>
        <v>50.107412154759437</v>
      </c>
      <c r="P20" s="115"/>
      <c r="Q20" s="286">
        <f t="shared" si="1"/>
        <v>0</v>
      </c>
      <c r="R20" s="19">
        <f t="shared" si="2"/>
        <v>13994900</v>
      </c>
      <c r="S20" s="286">
        <f t="shared" si="3"/>
        <v>50.107412154759437</v>
      </c>
      <c r="T20" s="801">
        <v>0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f>feb!R21</f>
        <v>0</v>
      </c>
      <c r="O21" s="111">
        <f t="shared" si="0"/>
        <v>0</v>
      </c>
      <c r="P21" s="115">
        <v>1698000</v>
      </c>
      <c r="Q21" s="286">
        <f t="shared" si="1"/>
        <v>97.028571428571425</v>
      </c>
      <c r="R21" s="19">
        <f t="shared" si="2"/>
        <v>1698000</v>
      </c>
      <c r="S21" s="286">
        <f t="shared" si="3"/>
        <v>97.028571428571425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f>feb!R22</f>
        <v>900000</v>
      </c>
      <c r="O22" s="111">
        <f t="shared" si="0"/>
        <v>42.857142857142854</v>
      </c>
      <c r="P22" s="115"/>
      <c r="Q22" s="286">
        <f t="shared" si="1"/>
        <v>0</v>
      </c>
      <c r="R22" s="19">
        <f t="shared" si="2"/>
        <v>900000</v>
      </c>
      <c r="S22" s="286">
        <f t="shared" si="3"/>
        <v>42.857142857142854</v>
      </c>
      <c r="T22" s="801">
        <f>S22</f>
        <v>42.857142857142854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>
        <f>feb!R23</f>
        <v>0</v>
      </c>
      <c r="O23" s="111">
        <f t="shared" si="0"/>
        <v>0</v>
      </c>
      <c r="P23" s="115"/>
      <c r="Q23" s="286">
        <f t="shared" si="1"/>
        <v>0</v>
      </c>
      <c r="R23" s="19">
        <f t="shared" si="2"/>
        <v>0</v>
      </c>
      <c r="S23" s="286">
        <f t="shared" si="3"/>
        <v>0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>
        <f>feb!R24</f>
        <v>0</v>
      </c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>
        <f>feb!R25</f>
        <v>0</v>
      </c>
      <c r="O25" s="111">
        <f t="shared" si="0"/>
        <v>0</v>
      </c>
      <c r="P25" s="115">
        <v>30000</v>
      </c>
      <c r="Q25" s="286">
        <f t="shared" si="1"/>
        <v>3</v>
      </c>
      <c r="R25" s="19">
        <f t="shared" si="2"/>
        <v>30000</v>
      </c>
      <c r="S25" s="286">
        <f t="shared" si="3"/>
        <v>3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f>feb!R26</f>
        <v>200000</v>
      </c>
      <c r="O26" s="111">
        <f t="shared" si="0"/>
        <v>1.1173184357541899</v>
      </c>
      <c r="P26" s="115">
        <v>260000</v>
      </c>
      <c r="Q26" s="286">
        <f t="shared" si="1"/>
        <v>1.4525139664804469</v>
      </c>
      <c r="R26" s="19">
        <f t="shared" si="2"/>
        <v>460000</v>
      </c>
      <c r="S26" s="286">
        <f t="shared" si="3"/>
        <v>2.569832402234637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>
        <f>feb!R27</f>
        <v>0</v>
      </c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>
        <f>feb!R28</f>
        <v>250000</v>
      </c>
      <c r="O28" s="111">
        <f t="shared" si="0"/>
        <v>3.90625</v>
      </c>
      <c r="P28" s="564"/>
      <c r="Q28" s="286">
        <f t="shared" si="1"/>
        <v>0</v>
      </c>
      <c r="R28" s="19">
        <f t="shared" si="2"/>
        <v>250000</v>
      </c>
      <c r="S28" s="286">
        <f t="shared" si="3"/>
        <v>3.90625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>
        <f>feb!R29</f>
        <v>0</v>
      </c>
      <c r="O29" s="111">
        <f t="shared" si="0"/>
        <v>0</v>
      </c>
      <c r="P29" s="564"/>
      <c r="Q29" s="286">
        <f t="shared" si="1"/>
        <v>0</v>
      </c>
      <c r="R29" s="19"/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>
        <f>feb!R30</f>
        <v>0</v>
      </c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>
        <f>feb!R31</f>
        <v>0</v>
      </c>
      <c r="O31" s="111">
        <f t="shared" si="0"/>
        <v>0</v>
      </c>
      <c r="P31" s="115"/>
      <c r="Q31" s="286">
        <f t="shared" si="1"/>
        <v>0</v>
      </c>
      <c r="R31" s="19">
        <f t="shared" si="2"/>
        <v>0</v>
      </c>
      <c r="S31" s="286">
        <f t="shared" si="3"/>
        <v>0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SUM(N33:N34)</f>
        <v>1970000</v>
      </c>
      <c r="O32" s="6">
        <f t="shared" si="0"/>
        <v>3.2422646477946016</v>
      </c>
      <c r="P32" s="5">
        <f>SUM(P34:P34)</f>
        <v>1010000</v>
      </c>
      <c r="Q32" s="285">
        <f t="shared" si="1"/>
        <v>1.6622778143515471</v>
      </c>
      <c r="R32" s="17">
        <f t="shared" si="2"/>
        <v>2980000</v>
      </c>
      <c r="S32" s="285">
        <f t="shared" si="3"/>
        <v>4.9045424621461491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9">
        <f>feb!R33</f>
        <v>0</v>
      </c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f>feb!R34</f>
        <v>1970000</v>
      </c>
      <c r="O34" s="111">
        <f t="shared" si="0"/>
        <v>13.346883468834688</v>
      </c>
      <c r="P34" s="115">
        <v>1010000</v>
      </c>
      <c r="Q34" s="286">
        <f t="shared" si="1"/>
        <v>6.8428184281842812</v>
      </c>
      <c r="R34" s="19">
        <f t="shared" si="2"/>
        <v>2980000</v>
      </c>
      <c r="S34" s="286">
        <f t="shared" si="3"/>
        <v>20.189701897018971</v>
      </c>
      <c r="T34" s="801">
        <f>1/12*100</f>
        <v>8.3333333333333321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7000</v>
      </c>
      <c r="O35" s="6">
        <f t="shared" si="0"/>
        <v>1.883745963401507E-2</v>
      </c>
      <c r="P35" s="5">
        <f>SUM(P36:P39)</f>
        <v>923500</v>
      </c>
      <c r="Q35" s="285">
        <f t="shared" si="1"/>
        <v>2.4851991388589885</v>
      </c>
      <c r="R35" s="17">
        <f t="shared" si="2"/>
        <v>930500</v>
      </c>
      <c r="S35" s="285">
        <f t="shared" si="3"/>
        <v>2.5040365984930033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f>feb!R36</f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f>feb!R37</f>
        <v>7000</v>
      </c>
      <c r="O37" s="111">
        <f t="shared" si="0"/>
        <v>1.25</v>
      </c>
      <c r="P37" s="115">
        <v>3500</v>
      </c>
      <c r="Q37" s="286">
        <f t="shared" si="1"/>
        <v>0.625</v>
      </c>
      <c r="R37" s="19">
        <f t="shared" si="2"/>
        <v>10500</v>
      </c>
      <c r="S37" s="286">
        <f t="shared" si="3"/>
        <v>1.875</v>
      </c>
      <c r="T37" s="801">
        <v>0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f>feb!R38</f>
        <v>0</v>
      </c>
      <c r="O38" s="111">
        <f t="shared" si="0"/>
        <v>0</v>
      </c>
      <c r="P38" s="115">
        <v>920000</v>
      </c>
      <c r="Q38" s="286">
        <f t="shared" si="1"/>
        <v>9.1999999999999993</v>
      </c>
      <c r="R38" s="19">
        <f t="shared" si="2"/>
        <v>920000</v>
      </c>
      <c r="S38" s="286">
        <f t="shared" si="3"/>
        <v>9.1999999999999993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f>feb!R39</f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</f>
        <v>0</v>
      </c>
      <c r="O40" s="6">
        <f t="shared" si="0"/>
        <v>0</v>
      </c>
      <c r="P40" s="5">
        <f>P41+P42+P43</f>
        <v>0</v>
      </c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>
        <f>feb!R41</f>
        <v>0</v>
      </c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0</v>
      </c>
      <c r="O42" s="6">
        <f t="shared" si="0"/>
        <v>0</v>
      </c>
      <c r="P42" s="5">
        <f>P43+P44+P45</f>
        <v>0</v>
      </c>
      <c r="Q42" s="285">
        <f t="shared" si="1"/>
        <v>0</v>
      </c>
      <c r="R42" s="17">
        <f t="shared" si="2"/>
        <v>0</v>
      </c>
      <c r="S42" s="285">
        <f t="shared" si="3"/>
        <v>0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>
        <f>feb!R43</f>
        <v>0</v>
      </c>
      <c r="O43" s="111">
        <f t="shared" si="0"/>
        <v>0</v>
      </c>
      <c r="P43" s="115"/>
      <c r="Q43" s="286">
        <f t="shared" si="1"/>
        <v>0</v>
      </c>
      <c r="R43" s="19">
        <f t="shared" si="2"/>
        <v>0</v>
      </c>
      <c r="S43" s="286">
        <f t="shared" si="3"/>
        <v>0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f>feb!R44</f>
        <v>0</v>
      </c>
      <c r="O44" s="111">
        <f t="shared" si="0"/>
        <v>0</v>
      </c>
      <c r="P44" s="116"/>
      <c r="Q44" s="286">
        <f t="shared" si="1"/>
        <v>0</v>
      </c>
      <c r="R44" s="19">
        <f t="shared" si="2"/>
        <v>0</v>
      </c>
      <c r="S44" s="286">
        <f t="shared" si="3"/>
        <v>0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f>feb!R45</f>
        <v>0</v>
      </c>
      <c r="O45" s="111">
        <f t="shared" si="0"/>
        <v>0</v>
      </c>
      <c r="P45" s="116"/>
      <c r="Q45" s="286">
        <f t="shared" si="1"/>
        <v>0</v>
      </c>
      <c r="R45" s="19">
        <f t="shared" si="2"/>
        <v>0</v>
      </c>
      <c r="S45" s="286">
        <f t="shared" si="3"/>
        <v>0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500000</v>
      </c>
      <c r="O46" s="6">
        <f t="shared" si="0"/>
        <v>0.66110894414290522</v>
      </c>
      <c r="P46" s="5">
        <f>P47+P48+P49</f>
        <v>0</v>
      </c>
      <c r="Q46" s="285">
        <f t="shared" si="1"/>
        <v>0</v>
      </c>
      <c r="R46" s="17">
        <f t="shared" si="2"/>
        <v>500000</v>
      </c>
      <c r="S46" s="285">
        <f t="shared" si="3"/>
        <v>0.66110894414290522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>
        <f>feb!R47</f>
        <v>0</v>
      </c>
      <c r="O47" s="111">
        <f t="shared" si="0"/>
        <v>0</v>
      </c>
      <c r="P47" s="115"/>
      <c r="Q47" s="286">
        <f t="shared" si="1"/>
        <v>0</v>
      </c>
      <c r="R47" s="19">
        <f t="shared" si="2"/>
        <v>0</v>
      </c>
      <c r="S47" s="286">
        <f t="shared" si="3"/>
        <v>0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f>feb!R48</f>
        <v>500000</v>
      </c>
      <c r="O48" s="111">
        <f t="shared" si="0"/>
        <v>5.9523809523809517</v>
      </c>
      <c r="P48" s="116"/>
      <c r="Q48" s="286">
        <f t="shared" si="1"/>
        <v>0</v>
      </c>
      <c r="R48" s="19">
        <f t="shared" si="2"/>
        <v>500000</v>
      </c>
      <c r="S48" s="286">
        <f t="shared" si="3"/>
        <v>5.9523809523809517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f>feb!R49</f>
        <v>0</v>
      </c>
      <c r="O49" s="111">
        <f t="shared" si="0"/>
        <v>0</v>
      </c>
      <c r="P49" s="116"/>
      <c r="Q49" s="286">
        <f t="shared" si="1"/>
        <v>0</v>
      </c>
      <c r="R49" s="19">
        <f t="shared" si="2"/>
        <v>0</v>
      </c>
      <c r="S49" s="286">
        <f t="shared" si="3"/>
        <v>0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750000</v>
      </c>
      <c r="O50" s="6">
        <f t="shared" si="0"/>
        <v>2.8790786948176583</v>
      </c>
      <c r="P50" s="114">
        <f>P51</f>
        <v>750000</v>
      </c>
      <c r="Q50" s="285">
        <f t="shared" si="1"/>
        <v>2.8790786948176583</v>
      </c>
      <c r="R50" s="17">
        <f t="shared" si="2"/>
        <v>1500000</v>
      </c>
      <c r="S50" s="285">
        <f t="shared" si="3"/>
        <v>5.7581573896353166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f>feb!R51</f>
        <v>750000</v>
      </c>
      <c r="O51" s="111">
        <f t="shared" si="0"/>
        <v>2.8790786948176583</v>
      </c>
      <c r="P51" s="113">
        <v>750000</v>
      </c>
      <c r="Q51" s="286">
        <f t="shared" si="1"/>
        <v>2.8790786948176583</v>
      </c>
      <c r="R51" s="19">
        <f t="shared" si="2"/>
        <v>1500000</v>
      </c>
      <c r="S51" s="286">
        <f t="shared" si="3"/>
        <v>5.7581573896353166</v>
      </c>
      <c r="T51" s="802">
        <v>0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f>feb!R53</f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0</v>
      </c>
      <c r="O54" s="6">
        <f t="shared" si="0"/>
        <v>0</v>
      </c>
      <c r="P54" s="17">
        <f>P55+P56</f>
        <v>6196716</v>
      </c>
      <c r="Q54" s="285">
        <f t="shared" si="1"/>
        <v>29.510981998285551</v>
      </c>
      <c r="R54" s="17">
        <f t="shared" si="2"/>
        <v>6196716</v>
      </c>
      <c r="S54" s="285">
        <f t="shared" si="3"/>
        <v>29.510981998285551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f>feb!R55</f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f>feb!R56</f>
        <v>0</v>
      </c>
      <c r="O56" s="111">
        <f t="shared" si="0"/>
        <v>0</v>
      </c>
      <c r="P56" s="19">
        <v>6196716</v>
      </c>
      <c r="Q56" s="286">
        <f t="shared" si="1"/>
        <v>37.56040732209965</v>
      </c>
      <c r="R56" s="19">
        <f t="shared" si="2"/>
        <v>6196716</v>
      </c>
      <c r="S56" s="286">
        <f t="shared" si="3"/>
        <v>37.56040732209965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0</v>
      </c>
      <c r="O57" s="6">
        <f t="shared" si="0"/>
        <v>0</v>
      </c>
      <c r="P57" s="17">
        <f>P58</f>
        <v>10000000</v>
      </c>
      <c r="Q57" s="285">
        <f t="shared" si="1"/>
        <v>35.714285714285715</v>
      </c>
      <c r="R57" s="17">
        <f t="shared" si="2"/>
        <v>10000000</v>
      </c>
      <c r="S57" s="285">
        <f t="shared" si="3"/>
        <v>35.714285714285715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f>feb!R58</f>
        <v>0</v>
      </c>
      <c r="O58" s="111">
        <f t="shared" si="0"/>
        <v>0</v>
      </c>
      <c r="P58" s="19">
        <v>10000000</v>
      </c>
      <c r="Q58" s="286">
        <f t="shared" si="1"/>
        <v>35.714285714285715</v>
      </c>
      <c r="R58" s="19">
        <f t="shared" si="2"/>
        <v>10000000</v>
      </c>
      <c r="S58" s="286">
        <f t="shared" si="3"/>
        <v>35.714285714285715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367</v>
      </c>
      <c r="L59" s="12"/>
      <c r="M59" s="17">
        <f>SUM(M60:M63)</f>
        <v>33500000</v>
      </c>
      <c r="N59" s="17">
        <f>SUM(N60:N63)</f>
        <v>0</v>
      </c>
      <c r="O59" s="6">
        <f t="shared" si="0"/>
        <v>0</v>
      </c>
      <c r="P59" s="17">
        <f>SUM(P60:P63)</f>
        <v>11950000</v>
      </c>
      <c r="Q59" s="285">
        <f t="shared" si="1"/>
        <v>35.671641791044777</v>
      </c>
      <c r="R59" s="17">
        <f t="shared" si="2"/>
        <v>11950000</v>
      </c>
      <c r="S59" s="285">
        <f t="shared" si="3"/>
        <v>35.671641791044777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f>feb!R60</f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>
        <f>feb!R61</f>
        <v>0</v>
      </c>
      <c r="O61" s="111">
        <f t="shared" si="0"/>
        <v>0</v>
      </c>
      <c r="P61" s="19">
        <v>10450000</v>
      </c>
      <c r="Q61" s="286">
        <f t="shared" si="1"/>
        <v>99.523809523809518</v>
      </c>
      <c r="R61" s="19">
        <f t="shared" si="2"/>
        <v>10450000</v>
      </c>
      <c r="S61" s="286">
        <f t="shared" si="3"/>
        <v>99.523809523809518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>
        <f>feb!R62</f>
        <v>0</v>
      </c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f>feb!R63</f>
        <v>0</v>
      </c>
      <c r="O63" s="111">
        <f t="shared" si="0"/>
        <v>0</v>
      </c>
      <c r="P63" s="19">
        <v>1500000</v>
      </c>
      <c r="Q63" s="286">
        <f t="shared" si="1"/>
        <v>13.636363636363635</v>
      </c>
      <c r="R63" s="19">
        <f t="shared" si="2"/>
        <v>1500000</v>
      </c>
      <c r="S63" s="286">
        <f t="shared" si="3"/>
        <v>13.636363636363635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SUM(N65:N67)</f>
        <v>0</v>
      </c>
      <c r="O64" s="6">
        <f t="shared" si="0"/>
        <v>0</v>
      </c>
      <c r="P64" s="17">
        <f>SUM(P65:P67)</f>
        <v>6300000</v>
      </c>
      <c r="Q64" s="285">
        <f t="shared" si="1"/>
        <v>66.315789473684205</v>
      </c>
      <c r="R64" s="17">
        <f t="shared" si="2"/>
        <v>6300000</v>
      </c>
      <c r="S64" s="285">
        <f t="shared" si="3"/>
        <v>66.315789473684205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>
        <f>feb!R65</f>
        <v>0</v>
      </c>
      <c r="O65" s="111">
        <f t="shared" si="0"/>
        <v>0</v>
      </c>
      <c r="P65" s="19">
        <v>1300000</v>
      </c>
      <c r="Q65" s="286">
        <f t="shared" si="1"/>
        <v>43.333333333333336</v>
      </c>
      <c r="R65" s="19">
        <f t="shared" si="2"/>
        <v>1300000</v>
      </c>
      <c r="S65" s="286">
        <f t="shared" si="3"/>
        <v>43.333333333333336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>
        <f>feb!R66</f>
        <v>0</v>
      </c>
      <c r="O66" s="111">
        <f t="shared" si="0"/>
        <v>0</v>
      </c>
      <c r="P66" s="19">
        <v>5000000</v>
      </c>
      <c r="Q66" s="286">
        <f t="shared" si="1"/>
        <v>100</v>
      </c>
      <c r="R66" s="19">
        <f t="shared" si="2"/>
        <v>5000000</v>
      </c>
      <c r="S66" s="286">
        <f t="shared" si="3"/>
        <v>100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>
        <f>feb!R67</f>
        <v>0</v>
      </c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250000</v>
      </c>
      <c r="O68" s="6">
        <f t="shared" si="0"/>
        <v>0.73529411764705876</v>
      </c>
      <c r="P68" s="17">
        <f>P69+P70</f>
        <v>250000</v>
      </c>
      <c r="Q68" s="285">
        <f t="shared" si="1"/>
        <v>0.73529411764705876</v>
      </c>
      <c r="R68" s="17">
        <f t="shared" si="2"/>
        <v>500000</v>
      </c>
      <c r="S68" s="285">
        <f t="shared" si="3"/>
        <v>1.4705882352941175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f>feb!R69</f>
        <v>250000</v>
      </c>
      <c r="O69" s="111">
        <f t="shared" si="0"/>
        <v>1.7361111111111112</v>
      </c>
      <c r="P69" s="19">
        <v>250000</v>
      </c>
      <c r="Q69" s="286">
        <f t="shared" si="1"/>
        <v>1.7361111111111112</v>
      </c>
      <c r="R69" s="19">
        <f t="shared" si="2"/>
        <v>500000</v>
      </c>
      <c r="S69" s="286">
        <f t="shared" si="3"/>
        <v>3.4722222222222223</v>
      </c>
      <c r="T69" s="801">
        <v>0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f>feb!R70</f>
        <v>0</v>
      </c>
      <c r="O70" s="111">
        <f t="shared" si="0"/>
        <v>0</v>
      </c>
      <c r="P70" s="19"/>
      <c r="Q70" s="286">
        <f t="shared" si="1"/>
        <v>0</v>
      </c>
      <c r="R70" s="19">
        <f t="shared" si="2"/>
        <v>0</v>
      </c>
      <c r="S70" s="286">
        <f t="shared" si="3"/>
        <v>0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0</v>
      </c>
      <c r="O71" s="6">
        <f t="shared" si="0"/>
        <v>0</v>
      </c>
      <c r="P71" s="17">
        <f>P72</f>
        <v>0</v>
      </c>
      <c r="Q71" s="285">
        <f t="shared" si="1"/>
        <v>0</v>
      </c>
      <c r="R71" s="17">
        <f t="shared" si="2"/>
        <v>0</v>
      </c>
      <c r="S71" s="285">
        <f t="shared" si="3"/>
        <v>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f>feb!R72</f>
        <v>0</v>
      </c>
      <c r="O72" s="111">
        <f t="shared" si="0"/>
        <v>0</v>
      </c>
      <c r="P72" s="19"/>
      <c r="Q72" s="286">
        <f t="shared" si="1"/>
        <v>0</v>
      </c>
      <c r="R72" s="19">
        <f t="shared" si="2"/>
        <v>0</v>
      </c>
      <c r="S72" s="286">
        <f t="shared" si="3"/>
        <v>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0</v>
      </c>
      <c r="O73" s="6">
        <f t="shared" si="0"/>
        <v>0</v>
      </c>
      <c r="P73" s="17">
        <f>P74</f>
        <v>500000</v>
      </c>
      <c r="Q73" s="285">
        <f t="shared" si="1"/>
        <v>100</v>
      </c>
      <c r="R73" s="17">
        <f t="shared" si="2"/>
        <v>500000</v>
      </c>
      <c r="S73" s="285">
        <f t="shared" si="3"/>
        <v>100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f>feb!R74</f>
        <v>0</v>
      </c>
      <c r="O74" s="111">
        <f t="shared" si="0"/>
        <v>0</v>
      </c>
      <c r="P74" s="19">
        <v>500000</v>
      </c>
      <c r="Q74" s="286">
        <f t="shared" si="1"/>
        <v>100</v>
      </c>
      <c r="R74" s="19">
        <f t="shared" si="2"/>
        <v>500000</v>
      </c>
      <c r="S74" s="286">
        <f t="shared" si="3"/>
        <v>100</v>
      </c>
      <c r="T74" s="801">
        <v>0</v>
      </c>
      <c r="U74" s="11"/>
      <c r="V74" s="11"/>
    </row>
    <row r="75" spans="1:22" ht="7.5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9">
        <f>feb!R75</f>
        <v>0</v>
      </c>
      <c r="O75" s="5"/>
      <c r="P75" s="5"/>
      <c r="Q75" s="286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0</v>
      </c>
      <c r="O76" s="6">
        <f t="shared" si="0"/>
        <v>0</v>
      </c>
      <c r="P76" s="17">
        <f>P77+P79+P82+P84+P86</f>
        <v>34872500</v>
      </c>
      <c r="Q76" s="285">
        <f t="shared" si="1"/>
        <v>27.547094096560375</v>
      </c>
      <c r="R76" s="17">
        <f t="shared" si="2"/>
        <v>34872500</v>
      </c>
      <c r="S76" s="285">
        <f t="shared" si="3"/>
        <v>27.547094096560375</v>
      </c>
      <c r="T76" s="800">
        <f>SUM(T78:T89)/8</f>
        <v>24.375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0</v>
      </c>
      <c r="O77" s="6">
        <f t="shared" si="0"/>
        <v>0</v>
      </c>
      <c r="P77" s="17">
        <f>P78</f>
        <v>9985000</v>
      </c>
      <c r="Q77" s="285">
        <f t="shared" si="1"/>
        <v>90.772727272727266</v>
      </c>
      <c r="R77" s="17">
        <f t="shared" si="2"/>
        <v>9985000</v>
      </c>
      <c r="S77" s="285">
        <f t="shared" si="3"/>
        <v>90.772727272727266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f>feb!R78</f>
        <v>0</v>
      </c>
      <c r="O78" s="111">
        <f t="shared" si="0"/>
        <v>0</v>
      </c>
      <c r="P78" s="19">
        <v>9985000</v>
      </c>
      <c r="Q78" s="286">
        <f t="shared" si="1"/>
        <v>90.772727272727266</v>
      </c>
      <c r="R78" s="19">
        <f t="shared" si="2"/>
        <v>9985000</v>
      </c>
      <c r="S78" s="286">
        <f t="shared" si="3"/>
        <v>90.772727272727266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0</v>
      </c>
      <c r="O79" s="6">
        <f t="shared" si="0"/>
        <v>0</v>
      </c>
      <c r="P79" s="17">
        <f>SUM(P80:P81)</f>
        <v>15000000</v>
      </c>
      <c r="Q79" s="285">
        <f t="shared" si="1"/>
        <v>73.170731707317074</v>
      </c>
      <c r="R79" s="17">
        <f t="shared" si="2"/>
        <v>15000000</v>
      </c>
      <c r="S79" s="285">
        <f t="shared" si="3"/>
        <v>73.170731707317074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f>feb!R80</f>
        <v>0</v>
      </c>
      <c r="O80" s="111">
        <f t="shared" si="0"/>
        <v>0</v>
      </c>
      <c r="P80" s="19">
        <v>15000000</v>
      </c>
      <c r="Q80" s="286">
        <f t="shared" si="1"/>
        <v>100</v>
      </c>
      <c r="R80" s="19">
        <f t="shared" si="2"/>
        <v>15000000</v>
      </c>
      <c r="S80" s="286">
        <f t="shared" si="3"/>
        <v>100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>
        <f>feb!R81</f>
        <v>0</v>
      </c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>
        <f>feb!R83</f>
        <v>0</v>
      </c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>
        <f>feb!R85</f>
        <v>0</v>
      </c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SUM(N87:N89)</f>
        <v>0</v>
      </c>
      <c r="O86" s="6">
        <f>N86/M86*100</f>
        <v>0</v>
      </c>
      <c r="P86" s="17">
        <f>SUM(P87:P89)</f>
        <v>9887500</v>
      </c>
      <c r="Q86" s="285">
        <f>P86/M86*100</f>
        <v>39.294272872148063</v>
      </c>
      <c r="R86" s="17">
        <f>N86+P86</f>
        <v>9887500</v>
      </c>
      <c r="S86" s="285">
        <f>R86/M86*100</f>
        <v>39.294272872148063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>
        <f>feb!R87</f>
        <v>0</v>
      </c>
      <c r="O87" s="111">
        <f t="shared" ref="O87:O88" si="4">N87/M87*100</f>
        <v>0</v>
      </c>
      <c r="P87" s="19">
        <v>7987500</v>
      </c>
      <c r="Q87" s="286">
        <f t="shared" ref="Q87:Q88" si="5">P87/M87*100</f>
        <v>97.853651365357052</v>
      </c>
      <c r="R87" s="19">
        <f t="shared" ref="R87:R88" si="6">N87+P87</f>
        <v>7987500</v>
      </c>
      <c r="S87" s="286">
        <f t="shared" ref="S87:S88" si="7">R87/M87*100</f>
        <v>97.853651365357052</v>
      </c>
      <c r="T87" s="803">
        <v>100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>
        <f>feb!R88</f>
        <v>0</v>
      </c>
      <c r="O88" s="111">
        <f t="shared" si="4"/>
        <v>0</v>
      </c>
      <c r="P88" s="19"/>
      <c r="Q88" s="286">
        <f t="shared" si="5"/>
        <v>0</v>
      </c>
      <c r="R88" s="19">
        <f t="shared" si="6"/>
        <v>0</v>
      </c>
      <c r="S88" s="286">
        <f t="shared" si="7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>
        <f>feb!R89</f>
        <v>0</v>
      </c>
      <c r="O89" s="111">
        <f>N89/M89*100</f>
        <v>0</v>
      </c>
      <c r="P89" s="19">
        <v>1900000</v>
      </c>
      <c r="Q89" s="286">
        <f>P89/M89*100</f>
        <v>95</v>
      </c>
      <c r="R89" s="19">
        <f>N89+P89</f>
        <v>1900000</v>
      </c>
      <c r="S89" s="286">
        <f>R89/M89*100</f>
        <v>95</v>
      </c>
      <c r="T89" s="803">
        <f>S89</f>
        <v>95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674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21.7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21.7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</mergeCells>
  <pageMargins left="0.45" right="0.25" top="0.75" bottom="0.25" header="0.3" footer="0.3"/>
  <pageSetup paperSize="5" scale="57" orientation="landscape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2:N26"/>
  <sheetViews>
    <sheetView workbookViewId="0">
      <selection activeCell="K29" sqref="K29"/>
    </sheetView>
  </sheetViews>
  <sheetFormatPr defaultRowHeight="15"/>
  <cols>
    <col min="2" max="2" width="14.140625" customWidth="1"/>
    <col min="3" max="3" width="20.28515625" customWidth="1"/>
    <col min="4" max="4" width="12.7109375" customWidth="1"/>
    <col min="5" max="5" width="12.5703125" customWidth="1"/>
    <col min="10" max="10" width="12" customWidth="1"/>
    <col min="11" max="12" width="16.85546875" bestFit="1" customWidth="1"/>
  </cols>
  <sheetData>
    <row r="2" spans="1:14" ht="15.75" thickBot="1"/>
    <row r="3" spans="1:14" ht="30.75" thickBot="1">
      <c r="A3" s="37" t="s">
        <v>85</v>
      </c>
      <c r="B3" s="38" t="s">
        <v>86</v>
      </c>
      <c r="C3" s="38" t="s">
        <v>87</v>
      </c>
      <c r="D3" s="38" t="s">
        <v>88</v>
      </c>
      <c r="E3" s="38" t="s">
        <v>16</v>
      </c>
      <c r="F3" s="38" t="s">
        <v>89</v>
      </c>
      <c r="G3" s="39"/>
      <c r="I3" s="37" t="s">
        <v>85</v>
      </c>
      <c r="J3" s="38" t="s">
        <v>86</v>
      </c>
      <c r="K3" s="38" t="s">
        <v>87</v>
      </c>
      <c r="L3" s="38" t="s">
        <v>88</v>
      </c>
      <c r="M3" s="38" t="s">
        <v>16</v>
      </c>
      <c r="N3" s="38" t="s">
        <v>89</v>
      </c>
    </row>
    <row r="4" spans="1:14" ht="15.75" thickBot="1">
      <c r="A4" s="40">
        <v>-1</v>
      </c>
      <c r="B4" s="41">
        <v>-2</v>
      </c>
      <c r="C4" s="41">
        <v>-3</v>
      </c>
      <c r="D4" s="41">
        <v>-4</v>
      </c>
      <c r="E4" s="41">
        <v>-5</v>
      </c>
      <c r="F4" s="41">
        <v>-6</v>
      </c>
      <c r="G4" s="39"/>
      <c r="I4" s="46">
        <v>-1</v>
      </c>
      <c r="J4" s="47">
        <v>-2</v>
      </c>
      <c r="K4" s="47">
        <v>-3</v>
      </c>
      <c r="L4" s="47">
        <v>-4</v>
      </c>
      <c r="M4" s="47">
        <v>-5</v>
      </c>
      <c r="N4" s="47">
        <v>-6</v>
      </c>
    </row>
    <row r="5" spans="1:14">
      <c r="A5" s="920">
        <v>1</v>
      </c>
      <c r="B5" s="922" t="s">
        <v>90</v>
      </c>
      <c r="C5" s="42" t="s">
        <v>91</v>
      </c>
      <c r="D5" s="920" t="s">
        <v>92</v>
      </c>
      <c r="E5" s="924">
        <v>0.81</v>
      </c>
      <c r="F5" s="920" t="s">
        <v>93</v>
      </c>
      <c r="G5" s="39"/>
      <c r="I5" s="51">
        <v>1</v>
      </c>
      <c r="J5" s="52" t="s">
        <v>90</v>
      </c>
      <c r="K5" s="53">
        <v>146694000</v>
      </c>
      <c r="L5" s="53">
        <v>118495900</v>
      </c>
      <c r="M5" s="54">
        <f>L5/K5</f>
        <v>0.8077760508268913</v>
      </c>
      <c r="N5" s="60">
        <v>0</v>
      </c>
    </row>
    <row r="6" spans="1:14" ht="15.75" thickBot="1">
      <c r="A6" s="921"/>
      <c r="B6" s="923"/>
      <c r="C6" s="41"/>
      <c r="D6" s="921"/>
      <c r="E6" s="925"/>
      <c r="F6" s="921"/>
      <c r="G6" s="39"/>
      <c r="I6" s="55">
        <v>2</v>
      </c>
      <c r="J6" s="48" t="s">
        <v>94</v>
      </c>
      <c r="K6" s="49">
        <v>145890000</v>
      </c>
      <c r="L6" s="49">
        <v>205100741</v>
      </c>
      <c r="M6" s="50">
        <f t="shared" ref="M6:M17" si="0">L6/K6</f>
        <v>1.4058588045787923</v>
      </c>
      <c r="N6" s="61">
        <v>0</v>
      </c>
    </row>
    <row r="7" spans="1:14" ht="30" customHeight="1">
      <c r="A7" s="920">
        <v>2</v>
      </c>
      <c r="B7" s="922" t="s">
        <v>94</v>
      </c>
      <c r="C7" s="42" t="s">
        <v>95</v>
      </c>
      <c r="D7" s="920" t="s">
        <v>96</v>
      </c>
      <c r="E7" s="920" t="s">
        <v>97</v>
      </c>
      <c r="F7" s="920" t="s">
        <v>93</v>
      </c>
      <c r="G7" s="39"/>
      <c r="I7" s="55">
        <v>3</v>
      </c>
      <c r="J7" s="48" t="s">
        <v>98</v>
      </c>
      <c r="K7" s="49">
        <v>145044000</v>
      </c>
      <c r="L7" s="49">
        <v>244508985</v>
      </c>
      <c r="M7" s="50">
        <f t="shared" si="0"/>
        <v>1.6857573219161082</v>
      </c>
      <c r="N7" s="61">
        <v>0</v>
      </c>
    </row>
    <row r="8" spans="1:14" ht="15.75" thickBot="1">
      <c r="A8" s="921"/>
      <c r="B8" s="923"/>
      <c r="C8" s="41"/>
      <c r="D8" s="921"/>
      <c r="E8" s="921"/>
      <c r="F8" s="921"/>
      <c r="G8" s="39"/>
      <c r="I8" s="55">
        <v>4</v>
      </c>
      <c r="J8" s="48" t="s">
        <v>102</v>
      </c>
      <c r="K8" s="49">
        <v>145988000</v>
      </c>
      <c r="L8" s="49">
        <v>157358200</v>
      </c>
      <c r="M8" s="50">
        <f t="shared" si="0"/>
        <v>1.0778844836561909</v>
      </c>
      <c r="N8" s="61">
        <v>0</v>
      </c>
    </row>
    <row r="9" spans="1:14" ht="15.75" thickBot="1">
      <c r="A9" s="920">
        <v>3</v>
      </c>
      <c r="B9" s="922" t="s">
        <v>98</v>
      </c>
      <c r="C9" s="41" t="s">
        <v>99</v>
      </c>
      <c r="D9" s="920" t="s">
        <v>100</v>
      </c>
      <c r="E9" s="920" t="s">
        <v>101</v>
      </c>
      <c r="F9" s="920" t="s">
        <v>93</v>
      </c>
      <c r="G9" s="39"/>
      <c r="I9" s="55">
        <v>5</v>
      </c>
      <c r="J9" s="48" t="s">
        <v>106</v>
      </c>
      <c r="K9" s="49">
        <v>145692000</v>
      </c>
      <c r="L9" s="49">
        <v>153441260</v>
      </c>
      <c r="M9" s="50">
        <f t="shared" si="0"/>
        <v>1.0531893309172775</v>
      </c>
      <c r="N9" s="61">
        <v>0</v>
      </c>
    </row>
    <row r="10" spans="1:14" ht="15.75" thickBot="1">
      <c r="A10" s="921"/>
      <c r="B10" s="923"/>
      <c r="C10" s="41"/>
      <c r="D10" s="921"/>
      <c r="E10" s="921"/>
      <c r="F10" s="921"/>
      <c r="G10" s="39"/>
      <c r="I10" s="55">
        <v>6</v>
      </c>
      <c r="J10" s="48" t="s">
        <v>110</v>
      </c>
      <c r="K10" s="49">
        <v>146418000</v>
      </c>
      <c r="L10" s="49">
        <v>769500</v>
      </c>
      <c r="M10" s="50">
        <f t="shared" si="0"/>
        <v>5.2555013727820354E-3</v>
      </c>
      <c r="N10" s="61">
        <v>0</v>
      </c>
    </row>
    <row r="11" spans="1:14">
      <c r="A11" s="920">
        <v>4</v>
      </c>
      <c r="B11" s="922" t="s">
        <v>102</v>
      </c>
      <c r="C11" s="42" t="s">
        <v>103</v>
      </c>
      <c r="D11" s="920" t="s">
        <v>104</v>
      </c>
      <c r="E11" s="920" t="s">
        <v>105</v>
      </c>
      <c r="F11" s="920" t="s">
        <v>93</v>
      </c>
      <c r="G11" s="39"/>
      <c r="I11" s="55">
        <v>7</v>
      </c>
      <c r="J11" s="48" t="s">
        <v>113</v>
      </c>
      <c r="K11" s="49">
        <v>145398000</v>
      </c>
      <c r="L11" s="49">
        <v>175592700</v>
      </c>
      <c r="M11" s="50">
        <f t="shared" si="0"/>
        <v>1.2076692939380185</v>
      </c>
      <c r="N11" s="61">
        <v>0</v>
      </c>
    </row>
    <row r="12" spans="1:14" ht="15.75" thickBot="1">
      <c r="A12" s="921"/>
      <c r="B12" s="923"/>
      <c r="C12" s="41"/>
      <c r="D12" s="921"/>
      <c r="E12" s="921"/>
      <c r="F12" s="921"/>
      <c r="G12" s="39"/>
      <c r="I12" s="55">
        <v>8</v>
      </c>
      <c r="J12" s="48" t="s">
        <v>117</v>
      </c>
      <c r="K12" s="49">
        <v>144480000</v>
      </c>
      <c r="L12" s="49">
        <v>115384609</v>
      </c>
      <c r="M12" s="50">
        <f t="shared" si="0"/>
        <v>0.79861994047619045</v>
      </c>
      <c r="N12" s="61">
        <v>0</v>
      </c>
    </row>
    <row r="13" spans="1:14" ht="15.75" thickBot="1">
      <c r="A13" s="40">
        <v>5</v>
      </c>
      <c r="B13" s="43" t="s">
        <v>106</v>
      </c>
      <c r="C13" s="41" t="s">
        <v>107</v>
      </c>
      <c r="D13" s="44" t="s">
        <v>108</v>
      </c>
      <c r="E13" s="41" t="s">
        <v>109</v>
      </c>
      <c r="F13" s="41" t="s">
        <v>93</v>
      </c>
      <c r="G13" s="39"/>
      <c r="I13" s="55">
        <v>9</v>
      </c>
      <c r="J13" s="48" t="s">
        <v>120</v>
      </c>
      <c r="K13" s="49">
        <v>142626000</v>
      </c>
      <c r="L13" s="49">
        <v>124131642</v>
      </c>
      <c r="M13" s="50">
        <f t="shared" si="0"/>
        <v>0.87032968743426864</v>
      </c>
      <c r="N13" s="61">
        <v>0</v>
      </c>
    </row>
    <row r="14" spans="1:14" ht="15.75" thickBot="1">
      <c r="A14" s="40">
        <v>6</v>
      </c>
      <c r="B14" s="43" t="s">
        <v>110</v>
      </c>
      <c r="C14" s="41" t="s">
        <v>111</v>
      </c>
      <c r="D14" s="45">
        <v>769.5</v>
      </c>
      <c r="E14" s="41" t="s">
        <v>112</v>
      </c>
      <c r="F14" s="41" t="s">
        <v>93</v>
      </c>
      <c r="G14" s="39"/>
      <c r="I14" s="55">
        <v>10</v>
      </c>
      <c r="J14" s="48" t="s">
        <v>124</v>
      </c>
      <c r="K14" s="49">
        <v>142626000</v>
      </c>
      <c r="L14" s="49">
        <v>165017300</v>
      </c>
      <c r="M14" s="50">
        <f t="shared" si="0"/>
        <v>1.1569931148598431</v>
      </c>
      <c r="N14" s="61">
        <v>0</v>
      </c>
    </row>
    <row r="15" spans="1:14">
      <c r="A15" s="920">
        <v>7</v>
      </c>
      <c r="B15" s="922" t="s">
        <v>113</v>
      </c>
      <c r="C15" s="42"/>
      <c r="D15" s="920" t="s">
        <v>114</v>
      </c>
      <c r="E15" s="920" t="s">
        <v>115</v>
      </c>
      <c r="F15" s="920" t="s">
        <v>93</v>
      </c>
      <c r="G15" s="39"/>
      <c r="I15" s="55">
        <v>11</v>
      </c>
      <c r="J15" s="48" t="s">
        <v>127</v>
      </c>
      <c r="K15" s="49">
        <v>139560000</v>
      </c>
      <c r="L15" s="49">
        <v>343306950</v>
      </c>
      <c r="M15" s="50">
        <f t="shared" si="0"/>
        <v>2.4599236887360276</v>
      </c>
      <c r="N15" s="61">
        <v>0</v>
      </c>
    </row>
    <row r="16" spans="1:14" ht="15.75" thickBot="1">
      <c r="A16" s="921"/>
      <c r="B16" s="923"/>
      <c r="C16" s="41" t="s">
        <v>116</v>
      </c>
      <c r="D16" s="921"/>
      <c r="E16" s="921"/>
      <c r="F16" s="921"/>
      <c r="G16" s="39"/>
      <c r="I16" s="55">
        <v>12</v>
      </c>
      <c r="J16" s="48" t="s">
        <v>131</v>
      </c>
      <c r="K16" s="49">
        <v>141594000</v>
      </c>
      <c r="L16" s="49">
        <v>247219756</v>
      </c>
      <c r="M16" s="50">
        <f t="shared" si="0"/>
        <v>1.7459762136813706</v>
      </c>
      <c r="N16" s="61">
        <v>0</v>
      </c>
    </row>
    <row r="17" spans="1:14" ht="15.75" thickBot="1">
      <c r="A17" s="920">
        <v>8</v>
      </c>
      <c r="B17" s="922" t="s">
        <v>117</v>
      </c>
      <c r="C17" s="42" t="s">
        <v>118</v>
      </c>
      <c r="D17" s="920" t="s">
        <v>119</v>
      </c>
      <c r="E17" s="920" t="s">
        <v>115</v>
      </c>
      <c r="F17" s="920" t="s">
        <v>93</v>
      </c>
      <c r="G17" s="39"/>
      <c r="I17" s="56"/>
      <c r="J17" s="57" t="s">
        <v>138</v>
      </c>
      <c r="K17" s="58">
        <f>SUM(K5:K16)</f>
        <v>1732010000</v>
      </c>
      <c r="L17" s="58">
        <f>SUM(L5:L16)</f>
        <v>2050327543</v>
      </c>
      <c r="M17" s="50">
        <f t="shared" si="0"/>
        <v>1.1837850491625337</v>
      </c>
      <c r="N17" s="59"/>
    </row>
    <row r="18" spans="1:14" ht="15.75" thickBot="1">
      <c r="A18" s="921"/>
      <c r="B18" s="923"/>
      <c r="C18" s="41"/>
      <c r="D18" s="921"/>
      <c r="E18" s="921"/>
      <c r="F18" s="921"/>
      <c r="G18" s="39"/>
    </row>
    <row r="19" spans="1:14">
      <c r="A19" s="920">
        <v>9</v>
      </c>
      <c r="B19" s="922" t="s">
        <v>120</v>
      </c>
      <c r="C19" s="42" t="s">
        <v>121</v>
      </c>
      <c r="D19" s="920" t="s">
        <v>122</v>
      </c>
      <c r="E19" s="920" t="s">
        <v>123</v>
      </c>
      <c r="F19" s="920" t="s">
        <v>93</v>
      </c>
      <c r="G19" s="39"/>
    </row>
    <row r="20" spans="1:14" ht="15.75" thickBot="1">
      <c r="A20" s="921"/>
      <c r="B20" s="923"/>
      <c r="C20" s="41"/>
      <c r="D20" s="921"/>
      <c r="E20" s="921"/>
      <c r="F20" s="921"/>
      <c r="G20" s="39"/>
    </row>
    <row r="21" spans="1:14">
      <c r="A21" s="920">
        <v>10</v>
      </c>
      <c r="B21" s="922" t="s">
        <v>124</v>
      </c>
      <c r="C21" s="42" t="s">
        <v>121</v>
      </c>
      <c r="D21" s="920" t="s">
        <v>125</v>
      </c>
      <c r="E21" s="920" t="s">
        <v>126</v>
      </c>
      <c r="F21" s="920" t="s">
        <v>93</v>
      </c>
      <c r="G21" s="39"/>
    </row>
    <row r="22" spans="1:14" ht="15.75" thickBot="1">
      <c r="A22" s="921"/>
      <c r="B22" s="923"/>
      <c r="C22" s="41"/>
      <c r="D22" s="921"/>
      <c r="E22" s="921"/>
      <c r="F22" s="921"/>
      <c r="G22" s="39"/>
    </row>
    <row r="23" spans="1:14" ht="15.75" thickBot="1">
      <c r="A23" s="40">
        <v>11</v>
      </c>
      <c r="B23" s="43" t="s">
        <v>127</v>
      </c>
      <c r="C23" s="41" t="s">
        <v>128</v>
      </c>
      <c r="D23" s="41" t="s">
        <v>129</v>
      </c>
      <c r="E23" s="41" t="s">
        <v>130</v>
      </c>
      <c r="F23" s="41" t="s">
        <v>93</v>
      </c>
      <c r="G23" s="39"/>
    </row>
    <row r="24" spans="1:14" ht="15.75" thickBot="1">
      <c r="A24" s="40">
        <v>12</v>
      </c>
      <c r="B24" s="43" t="s">
        <v>131</v>
      </c>
      <c r="C24" s="41" t="s">
        <v>132</v>
      </c>
      <c r="D24" s="41" t="s">
        <v>133</v>
      </c>
      <c r="E24" s="41" t="s">
        <v>134</v>
      </c>
      <c r="F24" s="41" t="s">
        <v>93</v>
      </c>
      <c r="G24" s="39"/>
    </row>
    <row r="25" spans="1:14">
      <c r="A25" s="912" t="s">
        <v>135</v>
      </c>
      <c r="B25" s="913"/>
      <c r="C25" s="916" t="s">
        <v>136</v>
      </c>
      <c r="D25" s="916" t="s">
        <v>137</v>
      </c>
      <c r="E25" s="918">
        <v>1.18</v>
      </c>
      <c r="F25" s="920"/>
      <c r="G25" s="39"/>
    </row>
    <row r="26" spans="1:14" ht="15.75" thickBot="1">
      <c r="A26" s="914"/>
      <c r="B26" s="915"/>
      <c r="C26" s="917"/>
      <c r="D26" s="917"/>
      <c r="E26" s="919"/>
      <c r="F26" s="921"/>
      <c r="G26" s="39"/>
    </row>
  </sheetData>
  <mergeCells count="45">
    <mergeCell ref="A7:A8"/>
    <mergeCell ref="B7:B8"/>
    <mergeCell ref="D7:D8"/>
    <mergeCell ref="E7:E8"/>
    <mergeCell ref="F7:F8"/>
    <mergeCell ref="A5:A6"/>
    <mergeCell ref="B5:B6"/>
    <mergeCell ref="D5:D6"/>
    <mergeCell ref="E5:E6"/>
    <mergeCell ref="F5:F6"/>
    <mergeCell ref="A11:A12"/>
    <mergeCell ref="B11:B12"/>
    <mergeCell ref="D11:D12"/>
    <mergeCell ref="E11:E12"/>
    <mergeCell ref="F11:F12"/>
    <mergeCell ref="A9:A10"/>
    <mergeCell ref="B9:B10"/>
    <mergeCell ref="D9:D10"/>
    <mergeCell ref="E9:E10"/>
    <mergeCell ref="F9:F10"/>
    <mergeCell ref="A17:A18"/>
    <mergeCell ref="B17:B18"/>
    <mergeCell ref="D17:D18"/>
    <mergeCell ref="E17:E18"/>
    <mergeCell ref="F17:F18"/>
    <mergeCell ref="A15:A16"/>
    <mergeCell ref="B15:B16"/>
    <mergeCell ref="D15:D16"/>
    <mergeCell ref="E15:E16"/>
    <mergeCell ref="F15:F16"/>
    <mergeCell ref="A21:A22"/>
    <mergeCell ref="B21:B22"/>
    <mergeCell ref="D21:D22"/>
    <mergeCell ref="E21:E22"/>
    <mergeCell ref="F21:F22"/>
    <mergeCell ref="A19:A20"/>
    <mergeCell ref="B19:B20"/>
    <mergeCell ref="D19:D20"/>
    <mergeCell ref="E19:E20"/>
    <mergeCell ref="F19:F20"/>
    <mergeCell ref="A25:B26"/>
    <mergeCell ref="C25:C26"/>
    <mergeCell ref="D25:D26"/>
    <mergeCell ref="E25:E26"/>
    <mergeCell ref="F25:F26"/>
  </mergeCells>
  <pageMargins left="0.7" right="0.7" top="0.75" bottom="0.75" header="0.3" footer="0.3"/>
  <pageSetup paperSize="10000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I9" sqref="I9"/>
    </sheetView>
  </sheetViews>
  <sheetFormatPr defaultRowHeight="15"/>
  <cols>
    <col min="1" max="1" width="21.28515625" bestFit="1" customWidth="1"/>
    <col min="2" max="2" width="14.140625" bestFit="1" customWidth="1"/>
    <col min="3" max="3" width="17" bestFit="1" customWidth="1"/>
    <col min="4" max="4" width="8.42578125" bestFit="1" customWidth="1"/>
    <col min="5" max="5" width="15.42578125" bestFit="1" customWidth="1"/>
    <col min="6" max="6" width="8.42578125" bestFit="1" customWidth="1"/>
  </cols>
  <sheetData>
    <row r="1" spans="1:7" ht="23.25">
      <c r="A1" s="926" t="s">
        <v>421</v>
      </c>
      <c r="B1" s="926"/>
      <c r="C1" s="926"/>
      <c r="D1" s="926"/>
      <c r="E1" s="926"/>
      <c r="F1" s="926"/>
    </row>
    <row r="2" spans="1:7" ht="15.75" thickBot="1"/>
    <row r="3" spans="1:7" ht="15.75">
      <c r="A3" s="516" t="s">
        <v>418</v>
      </c>
      <c r="B3" s="530" t="s">
        <v>415</v>
      </c>
      <c r="C3" s="517" t="s">
        <v>416</v>
      </c>
      <c r="D3" s="517" t="s">
        <v>16</v>
      </c>
      <c r="E3" s="517" t="s">
        <v>417</v>
      </c>
      <c r="F3" s="518" t="s">
        <v>16</v>
      </c>
      <c r="G3" s="410"/>
    </row>
    <row r="4" spans="1:7" ht="15.75">
      <c r="A4" s="521" t="s">
        <v>419</v>
      </c>
      <c r="B4" s="515">
        <v>3176</v>
      </c>
      <c r="C4" s="515">
        <v>2914</v>
      </c>
      <c r="D4" s="527">
        <f>C4/B4*100</f>
        <v>91.750629722921914</v>
      </c>
      <c r="E4" s="528">
        <v>2374</v>
      </c>
      <c r="F4" s="522">
        <f>E4/C4*100</f>
        <v>81.468771448181201</v>
      </c>
      <c r="G4" s="410"/>
    </row>
    <row r="5" spans="1:7" ht="15.75">
      <c r="A5" s="521" t="s">
        <v>420</v>
      </c>
      <c r="B5" s="515">
        <v>4187</v>
      </c>
      <c r="C5" s="515">
        <v>2763</v>
      </c>
      <c r="D5" s="527">
        <f>C5/B5*100</f>
        <v>65.989968951516602</v>
      </c>
      <c r="E5" s="528">
        <v>2563</v>
      </c>
      <c r="F5" s="522">
        <f>E5/C5*100</f>
        <v>92.761491132826634</v>
      </c>
      <c r="G5" s="410"/>
    </row>
    <row r="6" spans="1:7" ht="15.75">
      <c r="A6" s="525" t="s">
        <v>165</v>
      </c>
      <c r="B6" s="514">
        <f>SUM(B4:B5)</f>
        <v>7363</v>
      </c>
      <c r="C6" s="514">
        <f>SUM(C4:C5)</f>
        <v>5677</v>
      </c>
      <c r="D6" s="529">
        <f>C6/B6*100</f>
        <v>77.101724840418314</v>
      </c>
      <c r="E6" s="514">
        <f>SUM(E4:E5)</f>
        <v>4937</v>
      </c>
      <c r="F6" s="520">
        <f>E6/C6*100</f>
        <v>86.96494627444072</v>
      </c>
      <c r="G6" s="410"/>
    </row>
    <row r="7" spans="1:7" ht="16.5" thickBot="1">
      <c r="A7" s="523"/>
      <c r="B7" s="531"/>
      <c r="C7" s="519"/>
      <c r="D7" s="519"/>
      <c r="E7" s="532"/>
      <c r="F7" s="524"/>
      <c r="G7" s="410"/>
    </row>
    <row r="8" spans="1:7" ht="15.75">
      <c r="A8" s="409"/>
      <c r="B8" s="409"/>
      <c r="C8" s="410"/>
      <c r="D8" s="410"/>
      <c r="E8" s="526"/>
      <c r="F8" s="410"/>
      <c r="G8" s="410"/>
    </row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2:H24"/>
  <sheetViews>
    <sheetView workbookViewId="0">
      <selection activeCell="G6" sqref="G6"/>
    </sheetView>
  </sheetViews>
  <sheetFormatPr defaultRowHeight="15"/>
  <cols>
    <col min="2" max="2" width="4.42578125" bestFit="1" customWidth="1"/>
    <col min="3" max="8" width="20.7109375" customWidth="1"/>
  </cols>
  <sheetData>
    <row r="2" spans="2:8" ht="15.75" thickBot="1"/>
    <row r="3" spans="2:8" ht="29.25" thickBot="1">
      <c r="B3" s="616" t="s">
        <v>85</v>
      </c>
      <c r="C3" s="616" t="s">
        <v>449</v>
      </c>
      <c r="D3" s="616" t="s">
        <v>453</v>
      </c>
      <c r="E3" s="616" t="s">
        <v>460</v>
      </c>
      <c r="F3" s="616" t="s">
        <v>461</v>
      </c>
      <c r="G3" s="616" t="s">
        <v>468</v>
      </c>
      <c r="H3" s="616" t="s">
        <v>466</v>
      </c>
    </row>
    <row r="4" spans="2:8" ht="99.75" thickBot="1">
      <c r="B4" s="617">
        <v>1</v>
      </c>
      <c r="C4" s="617" t="s">
        <v>452</v>
      </c>
      <c r="D4" s="617" t="s">
        <v>94</v>
      </c>
      <c r="E4" s="617" t="s">
        <v>465</v>
      </c>
      <c r="F4" s="617" t="s">
        <v>462</v>
      </c>
      <c r="G4" s="617" t="s">
        <v>471</v>
      </c>
      <c r="H4" s="617" t="s">
        <v>467</v>
      </c>
    </row>
    <row r="5" spans="2:8" ht="33">
      <c r="B5" s="927">
        <v>2</v>
      </c>
      <c r="C5" s="927" t="s">
        <v>454</v>
      </c>
      <c r="D5" s="927" t="s">
        <v>102</v>
      </c>
      <c r="E5" s="927" t="s">
        <v>117</v>
      </c>
      <c r="F5" s="927" t="s">
        <v>463</v>
      </c>
      <c r="G5" s="618" t="s">
        <v>478</v>
      </c>
      <c r="H5" s="927" t="s">
        <v>93</v>
      </c>
    </row>
    <row r="6" spans="2:8" ht="66.75" thickBot="1">
      <c r="B6" s="928"/>
      <c r="C6" s="928"/>
      <c r="D6" s="928"/>
      <c r="E6" s="928"/>
      <c r="F6" s="928"/>
      <c r="G6" s="619" t="s">
        <v>479</v>
      </c>
      <c r="H6" s="928"/>
    </row>
    <row r="7" spans="2:8" ht="66.75" thickBot="1">
      <c r="B7" s="617">
        <v>3</v>
      </c>
      <c r="C7" s="617" t="s">
        <v>451</v>
      </c>
      <c r="D7" s="617" t="s">
        <v>113</v>
      </c>
      <c r="E7" s="617" t="s">
        <v>465</v>
      </c>
      <c r="F7" s="617" t="s">
        <v>462</v>
      </c>
      <c r="G7" s="617" t="s">
        <v>472</v>
      </c>
      <c r="H7" s="617" t="s">
        <v>467</v>
      </c>
    </row>
    <row r="8" spans="2:8" ht="33.75" thickBot="1">
      <c r="B8" s="617">
        <v>4</v>
      </c>
      <c r="C8" s="617" t="s">
        <v>459</v>
      </c>
      <c r="D8" s="617" t="s">
        <v>113</v>
      </c>
      <c r="E8" s="617" t="s">
        <v>117</v>
      </c>
      <c r="F8" s="617" t="s">
        <v>462</v>
      </c>
      <c r="G8" s="617" t="s">
        <v>474</v>
      </c>
      <c r="H8" s="617" t="s">
        <v>467</v>
      </c>
    </row>
    <row r="9" spans="2:8" ht="49.5">
      <c r="B9" s="927">
        <v>5</v>
      </c>
      <c r="C9" s="618" t="s">
        <v>480</v>
      </c>
      <c r="D9" s="927" t="s">
        <v>117</v>
      </c>
      <c r="E9" s="927" t="s">
        <v>465</v>
      </c>
      <c r="F9" s="927" t="s">
        <v>462</v>
      </c>
      <c r="G9" s="927" t="s">
        <v>474</v>
      </c>
      <c r="H9" s="927" t="s">
        <v>467</v>
      </c>
    </row>
    <row r="10" spans="2:8" ht="17.25" thickBot="1">
      <c r="B10" s="928"/>
      <c r="C10" s="619" t="s">
        <v>481</v>
      </c>
      <c r="D10" s="928"/>
      <c r="E10" s="928"/>
      <c r="F10" s="928"/>
      <c r="G10" s="928"/>
      <c r="H10" s="928"/>
    </row>
    <row r="11" spans="2:8" ht="99.75" thickBot="1">
      <c r="B11" s="617">
        <v>6</v>
      </c>
      <c r="C11" s="617" t="s">
        <v>450</v>
      </c>
      <c r="D11" s="617" t="s">
        <v>117</v>
      </c>
      <c r="E11" s="617" t="s">
        <v>117</v>
      </c>
      <c r="F11" s="617" t="s">
        <v>462</v>
      </c>
      <c r="G11" s="617" t="s">
        <v>473</v>
      </c>
      <c r="H11" s="617" t="s">
        <v>467</v>
      </c>
    </row>
    <row r="12" spans="2:8" ht="50.25" thickBot="1">
      <c r="B12" s="617">
        <v>7</v>
      </c>
      <c r="C12" s="617" t="s">
        <v>482</v>
      </c>
      <c r="D12" s="617" t="s">
        <v>117</v>
      </c>
      <c r="E12" s="617" t="s">
        <v>117</v>
      </c>
      <c r="F12" s="617" t="s">
        <v>463</v>
      </c>
      <c r="G12" s="618" t="s">
        <v>483</v>
      </c>
      <c r="H12" s="927" t="s">
        <v>93</v>
      </c>
    </row>
    <row r="13" spans="2:8" ht="50.25" thickBot="1">
      <c r="B13" s="617">
        <v>8</v>
      </c>
      <c r="C13" s="617" t="s">
        <v>457</v>
      </c>
      <c r="D13" s="617" t="s">
        <v>117</v>
      </c>
      <c r="E13" s="617" t="s">
        <v>117</v>
      </c>
      <c r="F13" s="617" t="s">
        <v>463</v>
      </c>
      <c r="G13" s="620" t="s">
        <v>484</v>
      </c>
      <c r="H13" s="929"/>
    </row>
    <row r="14" spans="2:8" ht="33.75" thickBot="1">
      <c r="B14" s="617">
        <v>9</v>
      </c>
      <c r="C14" s="617" t="s">
        <v>456</v>
      </c>
      <c r="D14" s="617" t="s">
        <v>117</v>
      </c>
      <c r="E14" s="617" t="s">
        <v>117</v>
      </c>
      <c r="F14" s="617" t="s">
        <v>463</v>
      </c>
      <c r="G14" s="621"/>
      <c r="H14" s="929"/>
    </row>
    <row r="15" spans="2:8" ht="33.75" thickBot="1">
      <c r="B15" s="617">
        <v>10</v>
      </c>
      <c r="C15" s="617" t="s">
        <v>458</v>
      </c>
      <c r="D15" s="617" t="s">
        <v>117</v>
      </c>
      <c r="E15" s="617" t="s">
        <v>117</v>
      </c>
      <c r="F15" s="617" t="s">
        <v>463</v>
      </c>
      <c r="G15" s="622"/>
      <c r="H15" s="928"/>
    </row>
    <row r="21" spans="4:5">
      <c r="E21">
        <v>91843200</v>
      </c>
    </row>
    <row r="24" spans="4:5">
      <c r="D24" s="599">
        <f>1102118400</f>
        <v>1102118400</v>
      </c>
      <c r="E24" s="598">
        <f>D24/12</f>
        <v>91843200</v>
      </c>
    </row>
  </sheetData>
  <mergeCells count="13">
    <mergeCell ref="H12:H15"/>
    <mergeCell ref="B9:B10"/>
    <mergeCell ref="D9:D10"/>
    <mergeCell ref="E9:E10"/>
    <mergeCell ref="F9:F10"/>
    <mergeCell ref="G9:G10"/>
    <mergeCell ref="H9:H10"/>
    <mergeCell ref="H5:H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4:G14"/>
  <sheetViews>
    <sheetView workbookViewId="0">
      <selection activeCell="F6" sqref="F6"/>
    </sheetView>
  </sheetViews>
  <sheetFormatPr defaultRowHeight="15"/>
  <cols>
    <col min="1" max="1" width="3.85546875" style="600" bestFit="1" customWidth="1"/>
    <col min="2" max="2" width="20.85546875" bestFit="1" customWidth="1"/>
    <col min="3" max="3" width="17.5703125" customWidth="1"/>
    <col min="4" max="4" width="20.42578125" bestFit="1" customWidth="1"/>
    <col min="5" max="5" width="20.5703125" bestFit="1" customWidth="1"/>
    <col min="6" max="6" width="20" customWidth="1"/>
    <col min="7" max="7" width="16.140625" customWidth="1"/>
  </cols>
  <sheetData>
    <row r="4" spans="1:7" s="603" customFormat="1">
      <c r="A4" s="606" t="s">
        <v>85</v>
      </c>
      <c r="B4" s="606" t="s">
        <v>449</v>
      </c>
      <c r="C4" s="606" t="s">
        <v>453</v>
      </c>
      <c r="D4" s="606" t="s">
        <v>460</v>
      </c>
      <c r="E4" s="606" t="s">
        <v>461</v>
      </c>
      <c r="F4" s="606" t="s">
        <v>468</v>
      </c>
      <c r="G4" s="606" t="s">
        <v>466</v>
      </c>
    </row>
    <row r="5" spans="1:7" s="603" customFormat="1" ht="75">
      <c r="A5" s="605">
        <v>1</v>
      </c>
      <c r="B5" s="602" t="s">
        <v>452</v>
      </c>
      <c r="C5" s="602" t="s">
        <v>94</v>
      </c>
      <c r="D5" s="602" t="s">
        <v>465</v>
      </c>
      <c r="E5" s="602" t="s">
        <v>462</v>
      </c>
      <c r="F5" s="604" t="s">
        <v>471</v>
      </c>
      <c r="G5" s="601" t="s">
        <v>467</v>
      </c>
    </row>
    <row r="6" spans="1:7" s="603" customFormat="1" ht="75">
      <c r="A6" s="605">
        <v>2</v>
      </c>
      <c r="B6" s="602" t="s">
        <v>454</v>
      </c>
      <c r="C6" s="602" t="s">
        <v>102</v>
      </c>
      <c r="D6" s="602" t="s">
        <v>117</v>
      </c>
      <c r="E6" s="602" t="s">
        <v>463</v>
      </c>
      <c r="F6" s="604" t="s">
        <v>470</v>
      </c>
      <c r="G6" s="607" t="s">
        <v>93</v>
      </c>
    </row>
    <row r="7" spans="1:7" s="603" customFormat="1" ht="45">
      <c r="A7" s="605">
        <v>3</v>
      </c>
      <c r="B7" s="602" t="s">
        <v>451</v>
      </c>
      <c r="C7" s="602" t="s">
        <v>113</v>
      </c>
      <c r="D7" s="602" t="s">
        <v>465</v>
      </c>
      <c r="E7" s="602" t="s">
        <v>462</v>
      </c>
      <c r="F7" s="601" t="s">
        <v>472</v>
      </c>
      <c r="G7" s="601" t="s">
        <v>467</v>
      </c>
    </row>
    <row r="8" spans="1:7" s="603" customFormat="1" ht="45">
      <c r="A8" s="605">
        <v>4</v>
      </c>
      <c r="B8" s="602" t="s">
        <v>459</v>
      </c>
      <c r="C8" s="602" t="s">
        <v>113</v>
      </c>
      <c r="D8" s="602" t="s">
        <v>117</v>
      </c>
      <c r="E8" s="602" t="s">
        <v>462</v>
      </c>
      <c r="F8" s="604" t="s">
        <v>474</v>
      </c>
      <c r="G8" s="601" t="s">
        <v>467</v>
      </c>
    </row>
    <row r="9" spans="1:7" s="603" customFormat="1" ht="45">
      <c r="A9" s="605">
        <v>5</v>
      </c>
      <c r="B9" s="604" t="s">
        <v>455</v>
      </c>
      <c r="C9" s="602" t="s">
        <v>117</v>
      </c>
      <c r="D9" s="602" t="s">
        <v>465</v>
      </c>
      <c r="E9" s="602" t="s">
        <v>462</v>
      </c>
      <c r="F9" s="604" t="s">
        <v>474</v>
      </c>
      <c r="G9" s="601" t="s">
        <v>467</v>
      </c>
    </row>
    <row r="10" spans="1:7" s="603" customFormat="1" ht="76.5" customHeight="1">
      <c r="A10" s="605">
        <v>6</v>
      </c>
      <c r="B10" s="602" t="s">
        <v>450</v>
      </c>
      <c r="C10" s="602" t="s">
        <v>117</v>
      </c>
      <c r="D10" s="602" t="s">
        <v>117</v>
      </c>
      <c r="E10" s="602" t="s">
        <v>462</v>
      </c>
      <c r="F10" s="604" t="s">
        <v>473</v>
      </c>
      <c r="G10" s="601" t="s">
        <v>467</v>
      </c>
    </row>
    <row r="11" spans="1:7" s="603" customFormat="1" ht="45.75" customHeight="1">
      <c r="A11" s="605">
        <v>7</v>
      </c>
      <c r="B11" s="604" t="s">
        <v>464</v>
      </c>
      <c r="C11" s="602" t="s">
        <v>117</v>
      </c>
      <c r="D11" s="602" t="s">
        <v>117</v>
      </c>
      <c r="E11" s="602" t="s">
        <v>463</v>
      </c>
      <c r="F11" s="930" t="s">
        <v>469</v>
      </c>
      <c r="G11" s="931" t="s">
        <v>93</v>
      </c>
    </row>
    <row r="12" spans="1:7" s="603" customFormat="1">
      <c r="A12" s="605">
        <v>8</v>
      </c>
      <c r="B12" s="602" t="s">
        <v>457</v>
      </c>
      <c r="C12" s="602" t="s">
        <v>117</v>
      </c>
      <c r="D12" s="602" t="s">
        <v>117</v>
      </c>
      <c r="E12" s="602" t="s">
        <v>463</v>
      </c>
      <c r="F12" s="930"/>
      <c r="G12" s="931"/>
    </row>
    <row r="13" spans="1:7" s="603" customFormat="1">
      <c r="A13" s="605">
        <v>9</v>
      </c>
      <c r="B13" s="602" t="s">
        <v>456</v>
      </c>
      <c r="C13" s="602" t="s">
        <v>117</v>
      </c>
      <c r="D13" s="602" t="s">
        <v>117</v>
      </c>
      <c r="E13" s="602" t="s">
        <v>463</v>
      </c>
      <c r="F13" s="930"/>
      <c r="G13" s="931"/>
    </row>
    <row r="14" spans="1:7" s="603" customFormat="1">
      <c r="A14" s="605">
        <v>10</v>
      </c>
      <c r="B14" s="602" t="s">
        <v>458</v>
      </c>
      <c r="C14" s="602" t="s">
        <v>117</v>
      </c>
      <c r="D14" s="602" t="s">
        <v>117</v>
      </c>
      <c r="E14" s="602" t="s">
        <v>463</v>
      </c>
      <c r="F14" s="930"/>
      <c r="G14" s="931"/>
    </row>
  </sheetData>
  <mergeCells count="2">
    <mergeCell ref="F11:F14"/>
    <mergeCell ref="G11:G1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T122"/>
  <sheetViews>
    <sheetView topLeftCell="C1" workbookViewId="0">
      <selection activeCell="P20" sqref="P20"/>
    </sheetView>
  </sheetViews>
  <sheetFormatPr defaultRowHeight="15.75"/>
  <cols>
    <col min="1" max="1" width="4.42578125" style="189" customWidth="1"/>
    <col min="2" max="2" width="3.5703125" style="189" customWidth="1"/>
    <col min="3" max="3" width="13.7109375" style="189" customWidth="1"/>
    <col min="4" max="4" width="25.5703125" style="189" customWidth="1"/>
    <col min="5" max="5" width="6.7109375" style="189" bestFit="1" customWidth="1"/>
    <col min="6" max="6" width="5.5703125" style="189" bestFit="1" customWidth="1"/>
    <col min="7" max="7" width="8.85546875" style="189" bestFit="1" customWidth="1"/>
    <col min="8" max="8" width="3.85546875" style="189" bestFit="1" customWidth="1"/>
    <col min="9" max="9" width="31.7109375" style="189" customWidth="1"/>
    <col min="10" max="10" width="9.140625" style="244" bestFit="1" customWidth="1"/>
    <col min="11" max="11" width="14" style="254" customWidth="1"/>
    <col min="12" max="12" width="14.140625" style="255" customWidth="1"/>
    <col min="13" max="13" width="8.28515625" style="189" customWidth="1"/>
    <col min="14" max="14" width="5.28515625" style="189" bestFit="1" customWidth="1"/>
    <col min="15" max="15" width="4" style="189" customWidth="1"/>
    <col min="16" max="16" width="9.140625" style="191"/>
    <col min="17" max="17" width="10.85546875" style="191" bestFit="1" customWidth="1"/>
    <col min="18" max="18" width="30" style="191" customWidth="1"/>
    <col min="19" max="19" width="14.7109375" style="192" customWidth="1"/>
    <col min="20" max="22" width="10.42578125" style="192" bestFit="1" customWidth="1"/>
    <col min="23" max="30" width="3.140625" style="192" customWidth="1"/>
    <col min="31" max="31" width="10.42578125" style="192" bestFit="1" customWidth="1"/>
    <col min="32" max="33" width="10.7109375" style="191" bestFit="1" customWidth="1"/>
    <col min="34" max="34" width="9.28515625" style="191" bestFit="1" customWidth="1"/>
    <col min="35" max="46" width="9.140625" style="191"/>
    <col min="47" max="16384" width="9.140625" style="193"/>
  </cols>
  <sheetData>
    <row r="1" spans="1:46" ht="20.25">
      <c r="C1" s="843" t="s">
        <v>221</v>
      </c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3"/>
      <c r="O1" s="279"/>
    </row>
    <row r="2" spans="1:46" ht="20.25">
      <c r="C2" s="843" t="s">
        <v>671</v>
      </c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279"/>
    </row>
    <row r="3" spans="1:46">
      <c r="A3" s="844" t="s">
        <v>279</v>
      </c>
      <c r="B3" s="844"/>
      <c r="C3" s="844"/>
      <c r="D3" s="844"/>
      <c r="E3" s="194"/>
      <c r="F3" s="194"/>
      <c r="G3" s="194"/>
      <c r="H3" s="194"/>
      <c r="I3" s="194"/>
      <c r="J3" s="195"/>
      <c r="K3" s="196"/>
      <c r="L3" s="197"/>
      <c r="M3" s="194"/>
      <c r="N3" s="194"/>
      <c r="O3" s="194"/>
    </row>
    <row r="4" spans="1:46">
      <c r="A4" s="845" t="s">
        <v>85</v>
      </c>
      <c r="B4" s="846"/>
      <c r="C4" s="849" t="s">
        <v>222</v>
      </c>
      <c r="D4" s="850"/>
      <c r="E4" s="853" t="s">
        <v>7</v>
      </c>
      <c r="F4" s="853"/>
      <c r="G4" s="854" t="s">
        <v>221</v>
      </c>
      <c r="H4" s="855"/>
      <c r="I4" s="855"/>
      <c r="J4" s="855"/>
      <c r="K4" s="855"/>
      <c r="L4" s="855"/>
      <c r="M4" s="856"/>
      <c r="N4" s="853" t="s">
        <v>223</v>
      </c>
      <c r="O4" s="191"/>
    </row>
    <row r="5" spans="1:46" ht="63">
      <c r="A5" s="847"/>
      <c r="B5" s="848"/>
      <c r="C5" s="851"/>
      <c r="D5" s="852"/>
      <c r="E5" s="198" t="s">
        <v>224</v>
      </c>
      <c r="F5" s="198" t="s">
        <v>225</v>
      </c>
      <c r="G5" s="857" t="s">
        <v>226</v>
      </c>
      <c r="H5" s="858"/>
      <c r="I5" s="859"/>
      <c r="J5" s="198" t="s">
        <v>227</v>
      </c>
      <c r="K5" s="199" t="s">
        <v>228</v>
      </c>
      <c r="L5" s="200" t="s">
        <v>229</v>
      </c>
      <c r="M5" s="198" t="s">
        <v>230</v>
      </c>
      <c r="N5" s="853"/>
      <c r="O5" s="191"/>
    </row>
    <row r="6" spans="1:46" s="207" customFormat="1">
      <c r="A6" s="838">
        <v>1</v>
      </c>
      <c r="B6" s="838"/>
      <c r="C6" s="838">
        <v>2</v>
      </c>
      <c r="D6" s="838"/>
      <c r="E6" s="201">
        <v>3</v>
      </c>
      <c r="F6" s="201">
        <v>4</v>
      </c>
      <c r="G6" s="839">
        <v>5</v>
      </c>
      <c r="H6" s="840"/>
      <c r="I6" s="841"/>
      <c r="J6" s="201">
        <v>6</v>
      </c>
      <c r="K6" s="201">
        <v>7</v>
      </c>
      <c r="L6" s="202">
        <v>8</v>
      </c>
      <c r="M6" s="201">
        <v>9</v>
      </c>
      <c r="N6" s="203">
        <v>10</v>
      </c>
      <c r="O6" s="204"/>
      <c r="P6" s="205"/>
      <c r="Q6" s="205"/>
      <c r="R6" s="205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</row>
    <row r="7" spans="1:46" ht="66.75" customHeight="1">
      <c r="A7" s="208" t="s">
        <v>231</v>
      </c>
      <c r="B7" s="208" t="s">
        <v>232</v>
      </c>
      <c r="C7" s="209" t="s">
        <v>684</v>
      </c>
      <c r="D7" s="210" t="s">
        <v>280</v>
      </c>
      <c r="E7" s="211">
        <f>mar!T12</f>
        <v>34.576800232288036</v>
      </c>
      <c r="F7" s="212">
        <f>M8</f>
        <v>17.861558395177866</v>
      </c>
      <c r="G7" s="213"/>
      <c r="H7" s="213"/>
      <c r="I7" s="214"/>
      <c r="J7" s="215"/>
      <c r="K7" s="216"/>
      <c r="L7" s="216"/>
      <c r="M7" s="217"/>
      <c r="N7" s="214"/>
      <c r="O7" s="218"/>
    </row>
    <row r="8" spans="1:46" ht="16.5" customHeight="1">
      <c r="A8" s="219"/>
      <c r="B8" s="219"/>
      <c r="C8" s="220"/>
      <c r="D8" s="213"/>
      <c r="E8" s="213"/>
      <c r="F8" s="213"/>
      <c r="G8" s="213" t="s">
        <v>233</v>
      </c>
      <c r="H8" s="221" t="s">
        <v>234</v>
      </c>
      <c r="I8" s="222" t="s">
        <v>235</v>
      </c>
      <c r="J8" s="215" t="s">
        <v>236</v>
      </c>
      <c r="K8" s="585">
        <f>mar!M12</f>
        <v>1836864000</v>
      </c>
      <c r="L8" s="585">
        <f>mar!R12</f>
        <v>328092536</v>
      </c>
      <c r="M8" s="217">
        <f>L8/K8*100</f>
        <v>17.861558395177866</v>
      </c>
      <c r="N8" s="222"/>
      <c r="O8" s="224"/>
      <c r="Q8" s="191" t="s">
        <v>476</v>
      </c>
      <c r="R8" s="225">
        <f>L8-'[1]PKK tri B (1)'!L8</f>
        <v>74017709</v>
      </c>
    </row>
    <row r="9" spans="1:46" ht="21" customHeight="1">
      <c r="A9" s="219"/>
      <c r="B9" s="219"/>
      <c r="C9" s="220"/>
      <c r="D9" s="213"/>
      <c r="E9" s="213"/>
      <c r="F9" s="213"/>
      <c r="G9" s="213"/>
      <c r="H9" s="221" t="s">
        <v>237</v>
      </c>
      <c r="I9" s="226" t="s">
        <v>238</v>
      </c>
      <c r="J9" s="227" t="s">
        <v>239</v>
      </c>
      <c r="K9" s="586">
        <v>29</v>
      </c>
      <c r="L9" s="586">
        <v>29</v>
      </c>
      <c r="M9" s="223">
        <f>L9/K9*100</f>
        <v>100</v>
      </c>
      <c r="N9" s="222"/>
      <c r="O9" s="224"/>
      <c r="Q9" s="225" t="e">
        <f>#REF!-'[1]PKK tri new'!#REF!</f>
        <v>#REF!</v>
      </c>
    </row>
    <row r="10" spans="1:46" ht="16.5" customHeight="1">
      <c r="A10" s="219"/>
      <c r="B10" s="219"/>
      <c r="C10" s="220"/>
      <c r="D10" s="213"/>
      <c r="E10" s="213"/>
      <c r="F10" s="213"/>
      <c r="G10" s="213"/>
      <c r="H10" s="221" t="s">
        <v>240</v>
      </c>
      <c r="I10" s="226" t="s">
        <v>241</v>
      </c>
      <c r="J10" s="229" t="s">
        <v>242</v>
      </c>
      <c r="K10" s="586">
        <v>12</v>
      </c>
      <c r="L10" s="586">
        <v>3</v>
      </c>
      <c r="M10" s="223">
        <f>L10/K10*100</f>
        <v>25</v>
      </c>
      <c r="N10" s="222"/>
      <c r="O10" s="224"/>
    </row>
    <row r="11" spans="1:46" ht="16.5" customHeight="1">
      <c r="A11" s="219"/>
      <c r="B11" s="219"/>
      <c r="C11" s="220"/>
      <c r="D11" s="213"/>
      <c r="E11" s="213"/>
      <c r="F11" s="213"/>
      <c r="G11" s="213"/>
      <c r="H11" s="221" t="s">
        <v>243</v>
      </c>
      <c r="I11" s="226" t="s">
        <v>244</v>
      </c>
      <c r="J11" s="229" t="s">
        <v>245</v>
      </c>
      <c r="K11" s="586">
        <v>5</v>
      </c>
      <c r="L11" s="586">
        <v>5</v>
      </c>
      <c r="M11" s="223">
        <f>L11/K11*100</f>
        <v>100</v>
      </c>
      <c r="N11" s="222"/>
      <c r="O11" s="224"/>
    </row>
    <row r="12" spans="1:46" ht="16.5" customHeight="1">
      <c r="A12" s="219"/>
      <c r="B12" s="219"/>
      <c r="C12" s="220"/>
      <c r="D12" s="213"/>
      <c r="E12" s="213"/>
      <c r="F12" s="213"/>
      <c r="G12" s="213"/>
      <c r="H12" s="221"/>
      <c r="I12" s="226"/>
      <c r="J12" s="229"/>
      <c r="K12" s="586"/>
      <c r="L12" s="586"/>
      <c r="M12" s="223"/>
      <c r="N12" s="222"/>
      <c r="O12" s="224"/>
      <c r="Q12" s="230"/>
      <c r="R12" s="230"/>
    </row>
    <row r="13" spans="1:46" s="267" customFormat="1" ht="39" customHeight="1">
      <c r="A13" s="269"/>
      <c r="B13" s="269"/>
      <c r="C13" s="270"/>
      <c r="D13" s="271"/>
      <c r="E13" s="271"/>
      <c r="F13" s="271"/>
      <c r="G13" s="271" t="s">
        <v>246</v>
      </c>
      <c r="H13" s="272">
        <v>1</v>
      </c>
      <c r="I13" s="231" t="s">
        <v>277</v>
      </c>
      <c r="J13" s="273" t="s">
        <v>239</v>
      </c>
      <c r="K13" s="584">
        <f>L14</f>
        <v>23263</v>
      </c>
      <c r="L13" s="584">
        <v>4983</v>
      </c>
      <c r="M13" s="275">
        <f>L13/K13*100</f>
        <v>21.420281133129862</v>
      </c>
      <c r="N13" s="276"/>
      <c r="O13" s="277"/>
      <c r="P13" s="265">
        <f>7566</f>
        <v>7566</v>
      </c>
      <c r="Q13" s="278"/>
      <c r="R13" s="278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</row>
    <row r="14" spans="1:46" ht="25.5" customHeight="1">
      <c r="A14" s="219"/>
      <c r="B14" s="219"/>
      <c r="C14" s="220"/>
      <c r="D14" s="213"/>
      <c r="E14" s="213"/>
      <c r="F14" s="213"/>
      <c r="G14" s="213" t="s">
        <v>247</v>
      </c>
      <c r="H14" s="229"/>
      <c r="I14" s="268" t="s">
        <v>278</v>
      </c>
      <c r="J14" s="233" t="s">
        <v>248</v>
      </c>
      <c r="K14" s="232">
        <v>29044</v>
      </c>
      <c r="L14" s="584">
        <f>kontrol!J14</f>
        <v>23263</v>
      </c>
      <c r="M14" s="223">
        <f>L14/K14*100</f>
        <v>80.095716843410003</v>
      </c>
      <c r="N14" s="222"/>
      <c r="O14" s="224"/>
      <c r="Q14" s="842"/>
      <c r="R14" s="234"/>
      <c r="S14" s="235"/>
      <c r="U14" s="192">
        <f>87474000/6000</f>
        <v>14579</v>
      </c>
    </row>
    <row r="15" spans="1:46" ht="15" customHeight="1">
      <c r="A15" s="236"/>
      <c r="B15" s="236"/>
      <c r="C15" s="237"/>
      <c r="D15" s="238"/>
      <c r="E15" s="238"/>
      <c r="F15" s="238"/>
      <c r="G15" s="238"/>
      <c r="H15" s="239"/>
      <c r="I15" s="240"/>
      <c r="J15" s="241"/>
      <c r="K15" s="242"/>
      <c r="L15" s="242"/>
      <c r="M15" s="243"/>
      <c r="N15" s="224"/>
      <c r="O15" s="224"/>
      <c r="Q15" s="842"/>
      <c r="R15" s="234"/>
      <c r="S15" s="235"/>
    </row>
    <row r="16" spans="1:46" ht="12.75">
      <c r="A16" s="193"/>
      <c r="B16" s="193"/>
      <c r="C16" s="193"/>
      <c r="D16" s="193"/>
      <c r="E16" s="193"/>
      <c r="F16" s="193"/>
      <c r="G16" s="193"/>
      <c r="H16" s="193"/>
      <c r="I16" s="193"/>
      <c r="J16" s="565"/>
      <c r="K16" s="835" t="s">
        <v>445</v>
      </c>
      <c r="L16" s="835"/>
      <c r="M16" s="835"/>
      <c r="N16" s="835"/>
      <c r="O16" s="193"/>
      <c r="Q16" s="842"/>
      <c r="R16" s="230"/>
    </row>
    <row r="17" spans="1:46" ht="12.75">
      <c r="A17" s="193"/>
      <c r="B17" s="193"/>
      <c r="C17" s="193"/>
      <c r="D17" s="566" t="s">
        <v>182</v>
      </c>
      <c r="E17" s="193"/>
      <c r="F17" s="193"/>
      <c r="G17" s="193"/>
      <c r="H17" s="193"/>
      <c r="I17" s="193"/>
      <c r="J17" s="565"/>
      <c r="K17" s="835" t="s">
        <v>79</v>
      </c>
      <c r="L17" s="835"/>
      <c r="M17" s="835"/>
      <c r="N17" s="835"/>
      <c r="O17" s="567"/>
      <c r="Q17" s="842"/>
      <c r="R17" s="230"/>
    </row>
    <row r="18" spans="1:46" ht="12.75">
      <c r="A18" s="193"/>
      <c r="B18" s="193"/>
      <c r="C18" s="193"/>
      <c r="D18" s="566" t="s">
        <v>183</v>
      </c>
      <c r="E18" s="193"/>
      <c r="F18" s="193"/>
      <c r="G18" s="193"/>
      <c r="H18" s="193"/>
      <c r="I18" s="193"/>
      <c r="J18" s="565"/>
      <c r="K18" s="835" t="s">
        <v>80</v>
      </c>
      <c r="L18" s="835"/>
      <c r="M18" s="835"/>
      <c r="N18" s="835"/>
      <c r="O18" s="567"/>
      <c r="Q18" s="836" t="s">
        <v>249</v>
      </c>
    </row>
    <row r="19" spans="1:46" ht="12.75">
      <c r="A19" s="193"/>
      <c r="B19" s="193"/>
      <c r="C19" s="193"/>
      <c r="D19" s="566"/>
      <c r="E19" s="193"/>
      <c r="F19" s="193"/>
      <c r="G19" s="193"/>
      <c r="H19" s="193"/>
      <c r="I19" s="193"/>
      <c r="J19" s="565"/>
      <c r="K19" s="568"/>
      <c r="L19" s="568"/>
      <c r="M19" s="568"/>
      <c r="N19" s="568"/>
      <c r="O19" s="569"/>
      <c r="Q19" s="836"/>
    </row>
    <row r="20" spans="1:46" ht="12.75">
      <c r="A20" s="193"/>
      <c r="B20" s="193"/>
      <c r="C20" s="193"/>
      <c r="D20" s="566"/>
      <c r="E20" s="193"/>
      <c r="F20" s="193"/>
      <c r="G20" s="193"/>
      <c r="H20" s="193"/>
      <c r="I20" s="570"/>
      <c r="J20" s="571"/>
      <c r="K20" s="572"/>
      <c r="L20" s="573"/>
      <c r="M20" s="572"/>
      <c r="N20" s="574"/>
      <c r="O20" s="569"/>
      <c r="Q20" s="836"/>
    </row>
    <row r="21" spans="1:46" s="570" customFormat="1" ht="12.75">
      <c r="J21" s="571"/>
      <c r="K21" s="572"/>
      <c r="L21" s="573"/>
      <c r="M21" s="572"/>
      <c r="N21" s="574"/>
      <c r="O21" s="575"/>
      <c r="P21" s="576"/>
      <c r="Q21" s="836"/>
      <c r="R21" s="576"/>
      <c r="S21" s="577"/>
      <c r="T21" s="577"/>
      <c r="U21" s="577"/>
      <c r="V21" s="577"/>
      <c r="W21" s="577"/>
      <c r="X21" s="577"/>
      <c r="Y21" s="577"/>
      <c r="Z21" s="577"/>
      <c r="AA21" s="577"/>
      <c r="AB21" s="577"/>
      <c r="AC21" s="577"/>
      <c r="AD21" s="577"/>
      <c r="AE21" s="577"/>
      <c r="AF21" s="576"/>
      <c r="AG21" s="576"/>
      <c r="AH21" s="576"/>
      <c r="AI21" s="576"/>
      <c r="AJ21" s="576"/>
      <c r="AK21" s="576"/>
      <c r="AL21" s="576"/>
      <c r="AM21" s="576"/>
      <c r="AN21" s="576"/>
      <c r="AO21" s="576"/>
      <c r="AP21" s="576"/>
      <c r="AQ21" s="576"/>
      <c r="AR21" s="576"/>
      <c r="AS21" s="576"/>
      <c r="AT21" s="576"/>
    </row>
    <row r="22" spans="1:46" s="570" customFormat="1" ht="12.75">
      <c r="D22" s="578" t="s">
        <v>180</v>
      </c>
      <c r="I22" s="193"/>
      <c r="J22" s="565"/>
      <c r="K22" s="837" t="s">
        <v>177</v>
      </c>
      <c r="L22" s="837"/>
      <c r="M22" s="837"/>
      <c r="N22" s="837"/>
      <c r="O22" s="579"/>
      <c r="P22" s="576"/>
      <c r="Q22" s="836"/>
      <c r="R22" s="576"/>
      <c r="S22" s="577"/>
      <c r="T22" s="577"/>
      <c r="U22" s="577"/>
      <c r="V22" s="577"/>
      <c r="W22" s="577"/>
      <c r="X22" s="577"/>
      <c r="Y22" s="577"/>
      <c r="Z22" s="577"/>
      <c r="AA22" s="577"/>
      <c r="AB22" s="577"/>
      <c r="AC22" s="577"/>
      <c r="AD22" s="577"/>
      <c r="AE22" s="577"/>
      <c r="AF22" s="576"/>
      <c r="AG22" s="576"/>
      <c r="AH22" s="576"/>
      <c r="AI22" s="576"/>
      <c r="AJ22" s="576"/>
      <c r="AK22" s="576"/>
      <c r="AL22" s="576"/>
      <c r="AM22" s="576"/>
      <c r="AN22" s="576"/>
      <c r="AO22" s="576"/>
      <c r="AP22" s="576"/>
      <c r="AQ22" s="576"/>
      <c r="AR22" s="576"/>
      <c r="AS22" s="576"/>
      <c r="AT22" s="576"/>
    </row>
    <row r="23" spans="1:46" ht="12.75">
      <c r="A23" s="193"/>
      <c r="B23" s="193"/>
      <c r="C23" s="193"/>
      <c r="D23" s="580" t="s">
        <v>181</v>
      </c>
      <c r="E23" s="193"/>
      <c r="F23" s="193"/>
      <c r="G23" s="193"/>
      <c r="H23" s="193"/>
      <c r="I23" s="193"/>
      <c r="J23" s="565"/>
      <c r="K23" s="835" t="s">
        <v>178</v>
      </c>
      <c r="L23" s="835"/>
      <c r="M23" s="835"/>
      <c r="N23" s="835"/>
      <c r="O23" s="566"/>
      <c r="Q23" s="836"/>
    </row>
    <row r="24" spans="1:46" ht="12.75">
      <c r="A24" s="193"/>
      <c r="B24" s="193"/>
      <c r="C24" s="193"/>
      <c r="D24" s="193"/>
      <c r="E24" s="193"/>
      <c r="F24" s="193"/>
      <c r="G24" s="193"/>
      <c r="H24" s="193"/>
      <c r="I24" s="193"/>
      <c r="J24" s="565"/>
      <c r="K24" s="581"/>
      <c r="L24" s="582"/>
      <c r="M24" s="193"/>
      <c r="N24" s="193"/>
      <c r="O24" s="193"/>
      <c r="Q24" s="836"/>
    </row>
    <row r="25" spans="1:46" ht="51">
      <c r="A25" s="193"/>
      <c r="B25" s="193"/>
      <c r="C25" s="193"/>
      <c r="D25" s="193"/>
      <c r="E25" s="193"/>
      <c r="F25" s="193"/>
      <c r="G25" s="193"/>
      <c r="H25" s="193"/>
      <c r="I25" s="193"/>
      <c r="J25" s="565"/>
      <c r="K25" s="581"/>
      <c r="L25" s="582"/>
      <c r="M25" s="193"/>
      <c r="N25" s="193"/>
      <c r="O25" s="193"/>
      <c r="Q25" s="836"/>
      <c r="R25" s="563"/>
      <c r="S25" s="259"/>
      <c r="T25" s="259" t="s">
        <v>251</v>
      </c>
      <c r="U25" s="259" t="s">
        <v>252</v>
      </c>
      <c r="V25" s="259" t="s">
        <v>253</v>
      </c>
      <c r="W25" s="259" t="s">
        <v>254</v>
      </c>
      <c r="X25" s="259" t="s">
        <v>201</v>
      </c>
      <c r="Y25" s="259" t="s">
        <v>255</v>
      </c>
      <c r="Z25" s="259" t="s">
        <v>256</v>
      </c>
      <c r="AA25" s="259" t="s">
        <v>257</v>
      </c>
      <c r="AB25" s="259" t="s">
        <v>258</v>
      </c>
      <c r="AC25" s="259" t="s">
        <v>259</v>
      </c>
      <c r="AD25" s="259" t="s">
        <v>260</v>
      </c>
      <c r="AE25" s="259" t="s">
        <v>261</v>
      </c>
    </row>
    <row r="26" spans="1:46" ht="15" customHeight="1">
      <c r="Q26" s="836" t="s">
        <v>262</v>
      </c>
      <c r="T26" s="259"/>
      <c r="U26" s="259">
        <v>150000</v>
      </c>
      <c r="V26" s="259"/>
      <c r="W26" s="259"/>
      <c r="X26" s="259"/>
      <c r="Y26" s="259"/>
      <c r="Z26" s="259"/>
      <c r="AA26" s="259"/>
      <c r="AB26" s="259"/>
      <c r="AC26" s="259"/>
      <c r="AD26" s="259"/>
      <c r="AE26" s="259">
        <f t="shared" ref="AE26:AE31" si="0">SUM(T26:AD26)</f>
        <v>150000</v>
      </c>
      <c r="AG26" s="192">
        <v>374000</v>
      </c>
      <c r="AH26" s="191">
        <f>AG26/5500</f>
        <v>68</v>
      </c>
    </row>
    <row r="27" spans="1:46">
      <c r="Q27" s="836"/>
      <c r="T27" s="259"/>
      <c r="U27" s="259"/>
      <c r="V27" s="259">
        <v>600000</v>
      </c>
      <c r="W27" s="259"/>
      <c r="X27" s="259"/>
      <c r="Y27" s="259"/>
      <c r="Z27" s="259"/>
      <c r="AA27" s="259"/>
      <c r="AB27" s="259"/>
      <c r="AC27" s="259"/>
      <c r="AD27" s="259"/>
      <c r="AE27" s="259">
        <f t="shared" si="0"/>
        <v>600000</v>
      </c>
      <c r="AG27" s="192">
        <v>260000</v>
      </c>
    </row>
    <row r="28" spans="1:46">
      <c r="Q28" s="836"/>
      <c r="R28" s="260" t="s">
        <v>263</v>
      </c>
      <c r="S28" s="235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>
        <f t="shared" si="0"/>
        <v>0</v>
      </c>
      <c r="AG28" s="192">
        <v>165000</v>
      </c>
      <c r="AH28" s="191">
        <f>AG28/5500</f>
        <v>30</v>
      </c>
    </row>
    <row r="29" spans="1:46">
      <c r="Q29" s="836"/>
      <c r="R29" s="260" t="s">
        <v>264</v>
      </c>
      <c r="S29" s="235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>
        <f t="shared" si="0"/>
        <v>0</v>
      </c>
    </row>
    <row r="30" spans="1:46">
      <c r="Q30" s="836"/>
      <c r="R30" s="260" t="s">
        <v>265</v>
      </c>
      <c r="S30" s="235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59">
        <f t="shared" si="0"/>
        <v>0</v>
      </c>
    </row>
    <row r="31" spans="1:46">
      <c r="Q31" s="836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>
        <f t="shared" si="0"/>
        <v>0</v>
      </c>
    </row>
    <row r="32" spans="1:46">
      <c r="Q32" s="836"/>
      <c r="R32" s="262"/>
      <c r="S32" s="263"/>
      <c r="T32" s="263">
        <f>SUM(T26:T31)</f>
        <v>0</v>
      </c>
      <c r="U32" s="263">
        <f t="shared" ref="U32:AE32" si="1">SUM(U26:U31)</f>
        <v>150000</v>
      </c>
      <c r="V32" s="263">
        <f t="shared" si="1"/>
        <v>600000</v>
      </c>
      <c r="W32" s="263">
        <f t="shared" si="1"/>
        <v>0</v>
      </c>
      <c r="X32" s="263">
        <f t="shared" si="1"/>
        <v>0</v>
      </c>
      <c r="Y32" s="263">
        <f t="shared" si="1"/>
        <v>0</v>
      </c>
      <c r="Z32" s="263">
        <f t="shared" si="1"/>
        <v>0</v>
      </c>
      <c r="AA32" s="263">
        <f t="shared" si="1"/>
        <v>0</v>
      </c>
      <c r="AB32" s="263">
        <f t="shared" si="1"/>
        <v>0</v>
      </c>
      <c r="AC32" s="263">
        <f t="shared" si="1"/>
        <v>0</v>
      </c>
      <c r="AD32" s="263">
        <f t="shared" si="1"/>
        <v>0</v>
      </c>
      <c r="AE32" s="264">
        <f t="shared" si="1"/>
        <v>750000</v>
      </c>
    </row>
    <row r="33" spans="1:46" s="267" customFormat="1">
      <c r="A33" s="189"/>
      <c r="B33" s="189"/>
      <c r="C33" s="189"/>
      <c r="D33" s="189"/>
      <c r="E33" s="189"/>
      <c r="F33" s="189"/>
      <c r="G33" s="189"/>
      <c r="H33" s="189"/>
      <c r="I33" s="189"/>
      <c r="J33" s="244"/>
      <c r="K33" s="254"/>
      <c r="L33" s="255"/>
      <c r="M33" s="189"/>
      <c r="N33" s="189"/>
      <c r="O33" s="189"/>
      <c r="P33" s="265"/>
      <c r="Q33" s="836"/>
      <c r="R33" s="265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265"/>
      <c r="AT33" s="265"/>
    </row>
    <row r="34" spans="1:46" ht="12.75" customHeight="1">
      <c r="Q34" s="836" t="s">
        <v>266</v>
      </c>
      <c r="R34" s="280"/>
      <c r="S34" s="259"/>
      <c r="T34" s="259" t="s">
        <v>251</v>
      </c>
      <c r="U34" s="259" t="s">
        <v>252</v>
      </c>
      <c r="V34" s="259" t="s">
        <v>253</v>
      </c>
      <c r="W34" s="259" t="s">
        <v>254</v>
      </c>
      <c r="X34" s="259" t="s">
        <v>201</v>
      </c>
      <c r="Y34" s="259" t="s">
        <v>255</v>
      </c>
      <c r="Z34" s="259" t="s">
        <v>256</v>
      </c>
      <c r="AA34" s="259" t="s">
        <v>257</v>
      </c>
      <c r="AB34" s="259" t="s">
        <v>258</v>
      </c>
      <c r="AC34" s="259" t="s">
        <v>259</v>
      </c>
      <c r="AD34" s="259" t="s">
        <v>260</v>
      </c>
      <c r="AE34" s="259" t="s">
        <v>261</v>
      </c>
    </row>
    <row r="35" spans="1:46">
      <c r="Q35" s="836"/>
      <c r="R35" s="280" t="s">
        <v>267</v>
      </c>
      <c r="S35" s="259">
        <v>540000</v>
      </c>
      <c r="T35" s="259">
        <f>10*5500</f>
        <v>55000</v>
      </c>
      <c r="U35" s="259"/>
      <c r="V35" s="259">
        <f>10*5500</f>
        <v>55000</v>
      </c>
      <c r="W35" s="259"/>
      <c r="X35" s="259"/>
      <c r="Y35" s="259"/>
      <c r="Z35" s="259"/>
      <c r="AA35" s="259"/>
      <c r="AB35" s="259"/>
      <c r="AC35" s="259"/>
      <c r="AD35" s="259"/>
      <c r="AE35" s="259">
        <f t="shared" ref="AE35:AE40" si="2">SUM(T35:AD35)</f>
        <v>110000</v>
      </c>
      <c r="AF35" s="225">
        <f>AE35+AE43+AE51+AE59+AE67+AE75+AE26</f>
        <v>799000</v>
      </c>
      <c r="AG35" s="225" t="e">
        <f>#REF!</f>
        <v>#REF!</v>
      </c>
      <c r="AH35" s="225" t="e">
        <f>AF35-AG35</f>
        <v>#REF!</v>
      </c>
    </row>
    <row r="36" spans="1:46">
      <c r="Q36" s="836"/>
      <c r="R36" s="280" t="s">
        <v>268</v>
      </c>
      <c r="S36" s="259">
        <v>90000</v>
      </c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>
        <f t="shared" si="2"/>
        <v>0</v>
      </c>
      <c r="AF36" s="225">
        <f>AE36+AE44+AE52+AE60+AE68+AE76+AE27</f>
        <v>600000</v>
      </c>
      <c r="AG36" s="225" t="e">
        <f>#REF!</f>
        <v>#REF!</v>
      </c>
      <c r="AH36" s="225" t="e">
        <f>AF36-AG36</f>
        <v>#REF!</v>
      </c>
    </row>
    <row r="37" spans="1:46">
      <c r="Q37" s="836"/>
      <c r="R37" s="280" t="s">
        <v>269</v>
      </c>
      <c r="S37" s="259">
        <v>3168000</v>
      </c>
      <c r="T37" s="259">
        <v>450000</v>
      </c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>
        <f t="shared" si="2"/>
        <v>450000</v>
      </c>
      <c r="AF37" s="225">
        <f>AE37+AE45+AE53+AE61+AE69+AE77</f>
        <v>4657500</v>
      </c>
      <c r="AG37" s="225" t="e">
        <f>#REF!</f>
        <v>#REF!</v>
      </c>
      <c r="AH37" s="225" t="e">
        <f>AF37-AG37</f>
        <v>#REF!</v>
      </c>
    </row>
    <row r="38" spans="1:46">
      <c r="Q38" s="836"/>
      <c r="R38" s="280" t="s">
        <v>270</v>
      </c>
      <c r="S38" s="259">
        <v>3000000</v>
      </c>
      <c r="T38" s="259">
        <v>500000</v>
      </c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>
        <f t="shared" si="2"/>
        <v>500000</v>
      </c>
      <c r="AF38" s="225">
        <f>AE38+AE46+AE54+AE62+AE70+AE78</f>
        <v>4000000</v>
      </c>
      <c r="AG38" s="225" t="e">
        <f>#REF!</f>
        <v>#REF!</v>
      </c>
      <c r="AH38" s="225" t="e">
        <f>AF38-AG38</f>
        <v>#REF!</v>
      </c>
    </row>
    <row r="39" spans="1:46" s="191" customFormat="1">
      <c r="A39" s="189"/>
      <c r="B39" s="189"/>
      <c r="C39" s="189"/>
      <c r="D39" s="189"/>
      <c r="E39" s="189"/>
      <c r="F39" s="189"/>
      <c r="G39" s="189"/>
      <c r="H39" s="189"/>
      <c r="I39" s="189"/>
      <c r="J39" s="244"/>
      <c r="K39" s="254"/>
      <c r="L39" s="255"/>
      <c r="M39" s="189"/>
      <c r="N39" s="189"/>
      <c r="O39" s="189"/>
      <c r="Q39" s="836"/>
      <c r="R39" s="191" t="s">
        <v>271</v>
      </c>
      <c r="S39" s="192">
        <v>3000000</v>
      </c>
      <c r="T39" s="261">
        <v>500000</v>
      </c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59">
        <f t="shared" si="2"/>
        <v>500000</v>
      </c>
      <c r="AF39" s="225">
        <f>AE39+AE47+AE55+AE63+AE71+AE79</f>
        <v>4700000</v>
      </c>
      <c r="AG39" s="225" t="e">
        <f>#REF!</f>
        <v>#REF!</v>
      </c>
      <c r="AH39" s="225" t="e">
        <f>AF39-AG39</f>
        <v>#REF!</v>
      </c>
    </row>
    <row r="40" spans="1:46" s="191" customFormat="1">
      <c r="A40" s="189"/>
      <c r="B40" s="189"/>
      <c r="C40" s="189"/>
      <c r="D40" s="189"/>
      <c r="E40" s="189"/>
      <c r="F40" s="189"/>
      <c r="G40" s="189"/>
      <c r="H40" s="189"/>
      <c r="I40" s="189"/>
      <c r="J40" s="244"/>
      <c r="K40" s="254"/>
      <c r="L40" s="255"/>
      <c r="M40" s="189"/>
      <c r="N40" s="189"/>
      <c r="O40" s="189"/>
      <c r="Q40" s="836"/>
      <c r="S40" s="192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>
        <f t="shared" si="2"/>
        <v>0</v>
      </c>
    </row>
    <row r="41" spans="1:46" s="191" customFormat="1">
      <c r="A41" s="189"/>
      <c r="B41" s="189"/>
      <c r="C41" s="189"/>
      <c r="D41" s="189"/>
      <c r="E41" s="189"/>
      <c r="F41" s="189"/>
      <c r="G41" s="189"/>
      <c r="H41" s="189"/>
      <c r="I41" s="189"/>
      <c r="J41" s="244"/>
      <c r="K41" s="254"/>
      <c r="L41" s="255"/>
      <c r="M41" s="189"/>
      <c r="N41" s="189"/>
      <c r="O41" s="189"/>
      <c r="Q41" s="836"/>
      <c r="R41" s="262"/>
      <c r="S41" s="263"/>
      <c r="T41" s="263">
        <f>SUM(T35:T40)</f>
        <v>1505000</v>
      </c>
      <c r="U41" s="263">
        <f t="shared" ref="U41:AE41" si="3">SUM(U35:U40)</f>
        <v>0</v>
      </c>
      <c r="V41" s="263">
        <f t="shared" si="3"/>
        <v>55000</v>
      </c>
      <c r="W41" s="263">
        <f t="shared" si="3"/>
        <v>0</v>
      </c>
      <c r="X41" s="263">
        <f t="shared" si="3"/>
        <v>0</v>
      </c>
      <c r="Y41" s="263">
        <f t="shared" si="3"/>
        <v>0</v>
      </c>
      <c r="Z41" s="263">
        <f t="shared" si="3"/>
        <v>0</v>
      </c>
      <c r="AA41" s="263">
        <f t="shared" si="3"/>
        <v>0</v>
      </c>
      <c r="AB41" s="263">
        <f t="shared" si="3"/>
        <v>0</v>
      </c>
      <c r="AC41" s="263">
        <f t="shared" si="3"/>
        <v>0</v>
      </c>
      <c r="AD41" s="263">
        <f t="shared" si="3"/>
        <v>0</v>
      </c>
      <c r="AE41" s="264">
        <f t="shared" si="3"/>
        <v>1560000</v>
      </c>
    </row>
    <row r="42" spans="1:46" s="191" customFormat="1" ht="12.75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244"/>
      <c r="K42" s="254"/>
      <c r="L42" s="255"/>
      <c r="M42" s="189"/>
      <c r="N42" s="189"/>
      <c r="O42" s="189"/>
      <c r="Q42" s="836" t="s">
        <v>272</v>
      </c>
      <c r="R42" s="280"/>
      <c r="S42" s="259"/>
      <c r="T42" s="259" t="s">
        <v>251</v>
      </c>
      <c r="U42" s="259" t="s">
        <v>252</v>
      </c>
      <c r="V42" s="259" t="s">
        <v>253</v>
      </c>
      <c r="W42" s="259" t="s">
        <v>254</v>
      </c>
      <c r="X42" s="259" t="s">
        <v>201</v>
      </c>
      <c r="Y42" s="259" t="s">
        <v>255</v>
      </c>
      <c r="Z42" s="259" t="s">
        <v>256</v>
      </c>
      <c r="AA42" s="259" t="s">
        <v>257</v>
      </c>
      <c r="AB42" s="259" t="s">
        <v>258</v>
      </c>
      <c r="AC42" s="259" t="s">
        <v>259</v>
      </c>
      <c r="AD42" s="259" t="s">
        <v>260</v>
      </c>
      <c r="AE42" s="259" t="s">
        <v>261</v>
      </c>
    </row>
    <row r="43" spans="1:46" s="191" customFormat="1">
      <c r="A43" s="189"/>
      <c r="B43" s="189"/>
      <c r="C43" s="189"/>
      <c r="D43" s="189"/>
      <c r="E43" s="189"/>
      <c r="F43" s="189"/>
      <c r="G43" s="189"/>
      <c r="H43" s="189"/>
      <c r="I43" s="189"/>
      <c r="J43" s="244"/>
      <c r="K43" s="254"/>
      <c r="L43" s="255"/>
      <c r="M43" s="189"/>
      <c r="N43" s="189"/>
      <c r="O43" s="189"/>
      <c r="Q43" s="836"/>
      <c r="R43" s="280" t="s">
        <v>267</v>
      </c>
      <c r="S43" s="259">
        <v>540000</v>
      </c>
      <c r="T43" s="259"/>
      <c r="U43" s="259">
        <f>20*5500</f>
        <v>110000</v>
      </c>
      <c r="V43" s="259"/>
      <c r="W43" s="259"/>
      <c r="X43" s="259"/>
      <c r="Y43" s="259"/>
      <c r="Z43" s="259"/>
      <c r="AA43" s="259"/>
      <c r="AB43" s="259"/>
      <c r="AC43" s="259"/>
      <c r="AD43" s="259"/>
      <c r="AE43" s="259">
        <f t="shared" ref="AE43:AE48" si="4">SUM(T43:AD43)</f>
        <v>110000</v>
      </c>
    </row>
    <row r="44" spans="1:46" s="191" customFormat="1">
      <c r="A44" s="189"/>
      <c r="B44" s="189"/>
      <c r="C44" s="189"/>
      <c r="D44" s="189"/>
      <c r="E44" s="189"/>
      <c r="F44" s="189"/>
      <c r="G44" s="189"/>
      <c r="H44" s="189"/>
      <c r="I44" s="189"/>
      <c r="J44" s="244"/>
      <c r="K44" s="254"/>
      <c r="L44" s="255"/>
      <c r="M44" s="189"/>
      <c r="N44" s="189"/>
      <c r="O44" s="189"/>
      <c r="Q44" s="836"/>
      <c r="R44" s="280" t="s">
        <v>268</v>
      </c>
      <c r="S44" s="259">
        <v>90000</v>
      </c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>
        <f t="shared" si="4"/>
        <v>0</v>
      </c>
    </row>
    <row r="45" spans="1:46" s="191" customFormat="1">
      <c r="A45" s="189"/>
      <c r="B45" s="189"/>
      <c r="C45" s="189"/>
      <c r="D45" s="189"/>
      <c r="E45" s="189"/>
      <c r="F45" s="189"/>
      <c r="G45" s="189"/>
      <c r="H45" s="189"/>
      <c r="I45" s="189"/>
      <c r="J45" s="244"/>
      <c r="K45" s="254"/>
      <c r="L45" s="255"/>
      <c r="M45" s="189"/>
      <c r="N45" s="189"/>
      <c r="O45" s="189"/>
      <c r="Q45" s="836"/>
      <c r="R45" s="280" t="s">
        <v>269</v>
      </c>
      <c r="S45" s="259">
        <v>3168000</v>
      </c>
      <c r="T45" s="259"/>
      <c r="U45" s="259">
        <v>450000</v>
      </c>
      <c r="V45" s="259"/>
      <c r="W45" s="259"/>
      <c r="X45" s="259"/>
      <c r="Y45" s="259"/>
      <c r="Z45" s="259"/>
      <c r="AA45" s="259"/>
      <c r="AB45" s="259"/>
      <c r="AC45" s="259"/>
      <c r="AD45" s="259"/>
      <c r="AE45" s="259">
        <f t="shared" si="4"/>
        <v>450000</v>
      </c>
    </row>
    <row r="46" spans="1:46" s="191" customFormat="1">
      <c r="A46" s="189"/>
      <c r="B46" s="189"/>
      <c r="C46" s="189"/>
      <c r="D46" s="189"/>
      <c r="E46" s="189"/>
      <c r="F46" s="189"/>
      <c r="G46" s="189"/>
      <c r="H46" s="189"/>
      <c r="I46" s="189"/>
      <c r="J46" s="244"/>
      <c r="K46" s="254"/>
      <c r="L46" s="255"/>
      <c r="M46" s="189"/>
      <c r="N46" s="189"/>
      <c r="O46" s="189"/>
      <c r="Q46" s="836"/>
      <c r="R46" s="280" t="s">
        <v>270</v>
      </c>
      <c r="S46" s="259">
        <v>3000000</v>
      </c>
      <c r="T46" s="259"/>
      <c r="U46" s="259">
        <v>500000</v>
      </c>
      <c r="V46" s="259"/>
      <c r="W46" s="259"/>
      <c r="X46" s="259"/>
      <c r="Y46" s="259"/>
      <c r="Z46" s="259"/>
      <c r="AA46" s="259"/>
      <c r="AB46" s="259"/>
      <c r="AC46" s="259"/>
      <c r="AD46" s="259"/>
      <c r="AE46" s="259">
        <f t="shared" si="4"/>
        <v>500000</v>
      </c>
    </row>
    <row r="47" spans="1:46" s="191" customFormat="1">
      <c r="A47" s="189"/>
      <c r="B47" s="189"/>
      <c r="C47" s="189"/>
      <c r="D47" s="189"/>
      <c r="E47" s="189"/>
      <c r="F47" s="189"/>
      <c r="G47" s="189"/>
      <c r="H47" s="189"/>
      <c r="I47" s="189"/>
      <c r="J47" s="244"/>
      <c r="K47" s="254"/>
      <c r="L47" s="255"/>
      <c r="M47" s="189"/>
      <c r="N47" s="189"/>
      <c r="O47" s="189"/>
      <c r="Q47" s="836"/>
      <c r="R47" s="191" t="s">
        <v>271</v>
      </c>
      <c r="S47" s="192">
        <v>3000000</v>
      </c>
      <c r="T47" s="261"/>
      <c r="U47" s="261">
        <v>500000</v>
      </c>
      <c r="V47" s="261"/>
      <c r="W47" s="261"/>
      <c r="X47" s="261"/>
      <c r="Y47" s="261"/>
      <c r="Z47" s="261"/>
      <c r="AA47" s="261"/>
      <c r="AB47" s="261"/>
      <c r="AC47" s="261"/>
      <c r="AD47" s="261"/>
      <c r="AE47" s="259">
        <f t="shared" si="4"/>
        <v>500000</v>
      </c>
    </row>
    <row r="48" spans="1:46" s="191" customFormat="1">
      <c r="A48" s="189"/>
      <c r="B48" s="189"/>
      <c r="C48" s="189"/>
      <c r="D48" s="189"/>
      <c r="E48" s="189"/>
      <c r="F48" s="189"/>
      <c r="G48" s="189"/>
      <c r="H48" s="189"/>
      <c r="I48" s="189"/>
      <c r="J48" s="244"/>
      <c r="K48" s="254"/>
      <c r="L48" s="255"/>
      <c r="M48" s="189"/>
      <c r="N48" s="189"/>
      <c r="O48" s="189"/>
      <c r="Q48" s="836"/>
      <c r="S48" s="192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>
        <f t="shared" si="4"/>
        <v>0</v>
      </c>
    </row>
    <row r="49" spans="1:31" s="191" customFormat="1">
      <c r="A49" s="189"/>
      <c r="B49" s="189"/>
      <c r="C49" s="189"/>
      <c r="D49" s="189"/>
      <c r="E49" s="189"/>
      <c r="F49" s="189"/>
      <c r="G49" s="189"/>
      <c r="H49" s="189"/>
      <c r="I49" s="189"/>
      <c r="J49" s="244"/>
      <c r="K49" s="254"/>
      <c r="L49" s="255"/>
      <c r="M49" s="189"/>
      <c r="N49" s="189"/>
      <c r="O49" s="189"/>
      <c r="Q49" s="836"/>
      <c r="R49" s="280"/>
      <c r="S49" s="192"/>
      <c r="T49" s="263">
        <f>SUM(T43:T48)</f>
        <v>0</v>
      </c>
      <c r="U49" s="263">
        <f t="shared" ref="U49:AE49" si="5">SUM(U43:U48)</f>
        <v>1560000</v>
      </c>
      <c r="V49" s="263">
        <f t="shared" si="5"/>
        <v>0</v>
      </c>
      <c r="W49" s="263">
        <f t="shared" si="5"/>
        <v>0</v>
      </c>
      <c r="X49" s="263">
        <f t="shared" si="5"/>
        <v>0</v>
      </c>
      <c r="Y49" s="263">
        <f t="shared" si="5"/>
        <v>0</v>
      </c>
      <c r="Z49" s="263">
        <f t="shared" si="5"/>
        <v>0</v>
      </c>
      <c r="AA49" s="263">
        <f t="shared" si="5"/>
        <v>0</v>
      </c>
      <c r="AB49" s="263">
        <f t="shared" si="5"/>
        <v>0</v>
      </c>
      <c r="AC49" s="263">
        <f t="shared" si="5"/>
        <v>0</v>
      </c>
      <c r="AD49" s="263">
        <f t="shared" si="5"/>
        <v>0</v>
      </c>
      <c r="AE49" s="264">
        <f t="shared" si="5"/>
        <v>1560000</v>
      </c>
    </row>
    <row r="50" spans="1:31" s="191" customFormat="1" ht="51">
      <c r="A50" s="189"/>
      <c r="B50" s="189"/>
      <c r="C50" s="189"/>
      <c r="D50" s="189"/>
      <c r="E50" s="189"/>
      <c r="F50" s="189"/>
      <c r="G50" s="189"/>
      <c r="H50" s="189"/>
      <c r="I50" s="189"/>
      <c r="J50" s="244"/>
      <c r="K50" s="254"/>
      <c r="L50" s="255"/>
      <c r="M50" s="189"/>
      <c r="N50" s="189"/>
      <c r="O50" s="189"/>
      <c r="Q50" s="836" t="s">
        <v>273</v>
      </c>
      <c r="R50" s="280"/>
      <c r="S50" s="259"/>
      <c r="T50" s="259" t="s">
        <v>251</v>
      </c>
      <c r="U50" s="259" t="s">
        <v>252</v>
      </c>
      <c r="V50" s="259" t="s">
        <v>253</v>
      </c>
      <c r="W50" s="259" t="s">
        <v>254</v>
      </c>
      <c r="X50" s="259" t="s">
        <v>201</v>
      </c>
      <c r="Y50" s="259" t="s">
        <v>255</v>
      </c>
      <c r="Z50" s="259" t="s">
        <v>256</v>
      </c>
      <c r="AA50" s="259" t="s">
        <v>257</v>
      </c>
      <c r="AB50" s="259" t="s">
        <v>258</v>
      </c>
      <c r="AC50" s="259" t="s">
        <v>259</v>
      </c>
      <c r="AD50" s="259" t="s">
        <v>260</v>
      </c>
      <c r="AE50" s="259" t="s">
        <v>261</v>
      </c>
    </row>
    <row r="51" spans="1:31" s="191" customFormat="1">
      <c r="A51" s="189"/>
      <c r="B51" s="189"/>
      <c r="C51" s="189"/>
      <c r="D51" s="189"/>
      <c r="E51" s="189"/>
      <c r="F51" s="189"/>
      <c r="G51" s="189"/>
      <c r="H51" s="189"/>
      <c r="I51" s="189"/>
      <c r="J51" s="244"/>
      <c r="K51" s="254"/>
      <c r="L51" s="255"/>
      <c r="M51" s="189"/>
      <c r="N51" s="189"/>
      <c r="O51" s="189"/>
      <c r="Q51" s="836"/>
      <c r="R51" s="280" t="s">
        <v>267</v>
      </c>
      <c r="S51" s="259">
        <v>540000</v>
      </c>
      <c r="T51" s="259">
        <f>10*5500</f>
        <v>55000</v>
      </c>
      <c r="U51" s="259"/>
      <c r="V51" s="259">
        <f>10*5500</f>
        <v>55000</v>
      </c>
      <c r="W51" s="259"/>
      <c r="X51" s="259"/>
      <c r="Y51" s="259"/>
      <c r="Z51" s="259"/>
      <c r="AA51" s="259"/>
      <c r="AB51" s="259"/>
      <c r="AC51" s="259"/>
      <c r="AD51" s="259"/>
      <c r="AE51" s="259">
        <f t="shared" ref="AE51:AE56" si="6">SUM(T51:AD51)</f>
        <v>110000</v>
      </c>
    </row>
    <row r="52" spans="1:31" s="191" customFormat="1">
      <c r="A52" s="189"/>
      <c r="B52" s="189"/>
      <c r="C52" s="189"/>
      <c r="D52" s="189"/>
      <c r="E52" s="189"/>
      <c r="F52" s="189"/>
      <c r="G52" s="189"/>
      <c r="H52" s="189"/>
      <c r="I52" s="189"/>
      <c r="J52" s="244"/>
      <c r="K52" s="254"/>
      <c r="L52" s="255"/>
      <c r="M52" s="189"/>
      <c r="N52" s="189"/>
      <c r="O52" s="189"/>
      <c r="Q52" s="836"/>
      <c r="R52" s="280" t="s">
        <v>268</v>
      </c>
      <c r="S52" s="259">
        <v>90000</v>
      </c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>
        <f t="shared" si="6"/>
        <v>0</v>
      </c>
    </row>
    <row r="53" spans="1:31" s="191" customFormat="1">
      <c r="A53" s="189"/>
      <c r="B53" s="189"/>
      <c r="C53" s="189"/>
      <c r="D53" s="189"/>
      <c r="E53" s="189"/>
      <c r="F53" s="189"/>
      <c r="G53" s="189"/>
      <c r="H53" s="189"/>
      <c r="I53" s="189"/>
      <c r="J53" s="244"/>
      <c r="K53" s="254"/>
      <c r="L53" s="255"/>
      <c r="M53" s="189"/>
      <c r="N53" s="189"/>
      <c r="O53" s="189"/>
      <c r="Q53" s="836"/>
      <c r="R53" s="280" t="s">
        <v>269</v>
      </c>
      <c r="S53" s="259">
        <v>3168000</v>
      </c>
      <c r="T53" s="259">
        <v>450000</v>
      </c>
      <c r="U53" s="259"/>
      <c r="V53" s="259">
        <v>450000</v>
      </c>
      <c r="W53" s="259"/>
      <c r="X53" s="259"/>
      <c r="Y53" s="259"/>
      <c r="Z53" s="259"/>
      <c r="AA53" s="259"/>
      <c r="AB53" s="259"/>
      <c r="AC53" s="259"/>
      <c r="AD53" s="259"/>
      <c r="AE53" s="259">
        <f t="shared" si="6"/>
        <v>900000</v>
      </c>
    </row>
    <row r="54" spans="1:31" s="191" customFormat="1">
      <c r="A54" s="189"/>
      <c r="B54" s="189"/>
      <c r="C54" s="189"/>
      <c r="D54" s="189"/>
      <c r="E54" s="189"/>
      <c r="F54" s="189"/>
      <c r="G54" s="189"/>
      <c r="H54" s="189"/>
      <c r="I54" s="189"/>
      <c r="J54" s="244"/>
      <c r="K54" s="254"/>
      <c r="L54" s="255"/>
      <c r="M54" s="189"/>
      <c r="N54" s="189"/>
      <c r="O54" s="189"/>
      <c r="Q54" s="836"/>
      <c r="R54" s="280" t="s">
        <v>270</v>
      </c>
      <c r="S54" s="259">
        <v>3000000</v>
      </c>
      <c r="T54" s="259">
        <v>500000</v>
      </c>
      <c r="U54" s="259"/>
      <c r="V54" s="259">
        <v>500000</v>
      </c>
      <c r="W54" s="259"/>
      <c r="X54" s="259"/>
      <c r="Y54" s="259"/>
      <c r="Z54" s="259"/>
      <c r="AA54" s="259"/>
      <c r="AB54" s="259"/>
      <c r="AC54" s="259"/>
      <c r="AD54" s="259"/>
      <c r="AE54" s="259">
        <f t="shared" si="6"/>
        <v>1000000</v>
      </c>
    </row>
    <row r="55" spans="1:31" s="191" customFormat="1">
      <c r="A55" s="189"/>
      <c r="B55" s="189"/>
      <c r="C55" s="189"/>
      <c r="D55" s="189"/>
      <c r="E55" s="189"/>
      <c r="F55" s="189"/>
      <c r="G55" s="189"/>
      <c r="H55" s="189"/>
      <c r="I55" s="189"/>
      <c r="J55" s="244"/>
      <c r="K55" s="254"/>
      <c r="L55" s="255"/>
      <c r="M55" s="189"/>
      <c r="N55" s="189"/>
      <c r="O55" s="189"/>
      <c r="Q55" s="836"/>
      <c r="R55" s="191" t="s">
        <v>271</v>
      </c>
      <c r="S55" s="192">
        <v>3000000</v>
      </c>
      <c r="T55" s="261">
        <v>500000</v>
      </c>
      <c r="U55" s="261"/>
      <c r="V55" s="261">
        <v>500000</v>
      </c>
      <c r="W55" s="261"/>
      <c r="X55" s="261"/>
      <c r="Y55" s="261"/>
      <c r="Z55" s="261"/>
      <c r="AA55" s="261"/>
      <c r="AB55" s="261"/>
      <c r="AC55" s="261"/>
      <c r="AD55" s="261"/>
      <c r="AE55" s="259">
        <f t="shared" si="6"/>
        <v>1000000</v>
      </c>
    </row>
    <row r="56" spans="1:31" s="191" customFormat="1">
      <c r="A56" s="189"/>
      <c r="B56" s="189"/>
      <c r="C56" s="189"/>
      <c r="D56" s="189"/>
      <c r="E56" s="189"/>
      <c r="F56" s="189"/>
      <c r="G56" s="189"/>
      <c r="H56" s="189"/>
      <c r="I56" s="189"/>
      <c r="J56" s="244"/>
      <c r="K56" s="254"/>
      <c r="L56" s="255"/>
      <c r="M56" s="189"/>
      <c r="N56" s="189"/>
      <c r="O56" s="189"/>
      <c r="Q56" s="836"/>
      <c r="S56" s="192"/>
      <c r="T56" s="259"/>
      <c r="U56" s="259"/>
      <c r="V56" s="259"/>
      <c r="W56" s="259"/>
      <c r="X56" s="259"/>
      <c r="Y56" s="259"/>
      <c r="Z56" s="259"/>
      <c r="AA56" s="259"/>
      <c r="AB56" s="259"/>
      <c r="AC56" s="259"/>
      <c r="AD56" s="259"/>
      <c r="AE56" s="259">
        <f t="shared" si="6"/>
        <v>0</v>
      </c>
    </row>
    <row r="57" spans="1:31" s="191" customFormat="1">
      <c r="A57" s="189"/>
      <c r="B57" s="189"/>
      <c r="C57" s="189"/>
      <c r="D57" s="189"/>
      <c r="E57" s="189"/>
      <c r="F57" s="189"/>
      <c r="G57" s="189"/>
      <c r="H57" s="189"/>
      <c r="I57" s="189"/>
      <c r="J57" s="244"/>
      <c r="K57" s="254"/>
      <c r="L57" s="255"/>
      <c r="M57" s="189"/>
      <c r="N57" s="189"/>
      <c r="O57" s="189"/>
      <c r="Q57" s="836"/>
      <c r="R57" s="280"/>
      <c r="S57" s="263">
        <f>SUM(S51:S56)</f>
        <v>9798000</v>
      </c>
      <c r="T57" s="263">
        <f>SUM(T51:T56)</f>
        <v>1505000</v>
      </c>
      <c r="U57" s="263">
        <f t="shared" ref="U57:AE57" si="7">SUM(U51:U56)</f>
        <v>0</v>
      </c>
      <c r="V57" s="263">
        <f t="shared" si="7"/>
        <v>1505000</v>
      </c>
      <c r="W57" s="263">
        <f t="shared" si="7"/>
        <v>0</v>
      </c>
      <c r="X57" s="263">
        <f t="shared" si="7"/>
        <v>0</v>
      </c>
      <c r="Y57" s="263">
        <f t="shared" si="7"/>
        <v>0</v>
      </c>
      <c r="Z57" s="263">
        <f t="shared" si="7"/>
        <v>0</v>
      </c>
      <c r="AA57" s="263">
        <f t="shared" si="7"/>
        <v>0</v>
      </c>
      <c r="AB57" s="263">
        <f t="shared" si="7"/>
        <v>0</v>
      </c>
      <c r="AC57" s="263">
        <f t="shared" si="7"/>
        <v>0</v>
      </c>
      <c r="AD57" s="263">
        <f t="shared" si="7"/>
        <v>0</v>
      </c>
      <c r="AE57" s="264">
        <f t="shared" si="7"/>
        <v>3010000</v>
      </c>
    </row>
    <row r="58" spans="1:31" s="191" customFormat="1" ht="51">
      <c r="A58" s="189"/>
      <c r="B58" s="189"/>
      <c r="C58" s="189"/>
      <c r="D58" s="189"/>
      <c r="E58" s="189"/>
      <c r="F58" s="189"/>
      <c r="G58" s="189"/>
      <c r="H58" s="189"/>
      <c r="I58" s="189"/>
      <c r="J58" s="244"/>
      <c r="K58" s="254"/>
      <c r="L58" s="255"/>
      <c r="M58" s="189"/>
      <c r="N58" s="189"/>
      <c r="O58" s="189"/>
      <c r="Q58" s="836" t="s">
        <v>274</v>
      </c>
      <c r="R58" s="280"/>
      <c r="S58" s="259"/>
      <c r="T58" s="259" t="s">
        <v>251</v>
      </c>
      <c r="U58" s="259" t="s">
        <v>252</v>
      </c>
      <c r="V58" s="259" t="s">
        <v>253</v>
      </c>
      <c r="W58" s="259" t="s">
        <v>254</v>
      </c>
      <c r="X58" s="259" t="s">
        <v>201</v>
      </c>
      <c r="Y58" s="259" t="s">
        <v>255</v>
      </c>
      <c r="Z58" s="259" t="s">
        <v>256</v>
      </c>
      <c r="AA58" s="259" t="s">
        <v>257</v>
      </c>
      <c r="AB58" s="259" t="s">
        <v>258</v>
      </c>
      <c r="AC58" s="259" t="s">
        <v>259</v>
      </c>
      <c r="AD58" s="259" t="s">
        <v>260</v>
      </c>
      <c r="AE58" s="259" t="s">
        <v>261</v>
      </c>
    </row>
    <row r="59" spans="1:31" s="191" customFormat="1">
      <c r="A59" s="189"/>
      <c r="B59" s="189"/>
      <c r="C59" s="189"/>
      <c r="D59" s="189"/>
      <c r="E59" s="189"/>
      <c r="F59" s="189"/>
      <c r="G59" s="189"/>
      <c r="H59" s="189"/>
      <c r="I59" s="189"/>
      <c r="J59" s="244"/>
      <c r="K59" s="254"/>
      <c r="L59" s="255"/>
      <c r="M59" s="189"/>
      <c r="N59" s="189"/>
      <c r="O59" s="189"/>
      <c r="Q59" s="836"/>
      <c r="R59" s="280" t="s">
        <v>267</v>
      </c>
      <c r="S59" s="259">
        <v>540000</v>
      </c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>
        <f t="shared" ref="AE59:AE64" si="8">SUM(T59:AD59)</f>
        <v>0</v>
      </c>
    </row>
    <row r="60" spans="1:31" s="191" customFormat="1">
      <c r="A60" s="189"/>
      <c r="B60" s="189"/>
      <c r="C60" s="189"/>
      <c r="D60" s="189"/>
      <c r="E60" s="189"/>
      <c r="F60" s="189"/>
      <c r="G60" s="189"/>
      <c r="H60" s="189"/>
      <c r="I60" s="189"/>
      <c r="J60" s="244"/>
      <c r="K60" s="254"/>
      <c r="L60" s="255"/>
      <c r="M60" s="189"/>
      <c r="N60" s="189"/>
      <c r="O60" s="189"/>
      <c r="Q60" s="836"/>
      <c r="R60" s="280" t="s">
        <v>268</v>
      </c>
      <c r="S60" s="259">
        <v>90000</v>
      </c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>
        <f t="shared" si="8"/>
        <v>0</v>
      </c>
    </row>
    <row r="61" spans="1:31" s="191" customFormat="1">
      <c r="A61" s="189"/>
      <c r="B61" s="189"/>
      <c r="C61" s="189"/>
      <c r="D61" s="189"/>
      <c r="E61" s="189"/>
      <c r="F61" s="189"/>
      <c r="G61" s="189"/>
      <c r="H61" s="189"/>
      <c r="I61" s="189"/>
      <c r="J61" s="244"/>
      <c r="K61" s="254"/>
      <c r="L61" s="255"/>
      <c r="M61" s="189"/>
      <c r="N61" s="189"/>
      <c r="O61" s="189"/>
      <c r="Q61" s="836"/>
      <c r="R61" s="280" t="s">
        <v>269</v>
      </c>
      <c r="S61" s="259">
        <v>3168000</v>
      </c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>
        <f t="shared" si="8"/>
        <v>0</v>
      </c>
    </row>
    <row r="62" spans="1:31" s="191" customFormat="1">
      <c r="A62" s="189"/>
      <c r="B62" s="189"/>
      <c r="C62" s="189"/>
      <c r="D62" s="189"/>
      <c r="E62" s="189"/>
      <c r="F62" s="189"/>
      <c r="G62" s="189"/>
      <c r="H62" s="189"/>
      <c r="I62" s="189"/>
      <c r="J62" s="244"/>
      <c r="K62" s="254"/>
      <c r="L62" s="255"/>
      <c r="M62" s="189"/>
      <c r="N62" s="189"/>
      <c r="O62" s="189"/>
      <c r="Q62" s="836"/>
      <c r="R62" s="280" t="s">
        <v>270</v>
      </c>
      <c r="S62" s="259">
        <v>3000000</v>
      </c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>
        <f t="shared" si="8"/>
        <v>0</v>
      </c>
    </row>
    <row r="63" spans="1:31" s="191" customFormat="1">
      <c r="A63" s="189"/>
      <c r="B63" s="189"/>
      <c r="C63" s="189"/>
      <c r="D63" s="189"/>
      <c r="E63" s="189"/>
      <c r="F63" s="189"/>
      <c r="G63" s="189"/>
      <c r="H63" s="189"/>
      <c r="I63" s="189"/>
      <c r="J63" s="244"/>
      <c r="K63" s="254"/>
      <c r="L63" s="255"/>
      <c r="M63" s="189"/>
      <c r="N63" s="189"/>
      <c r="O63" s="189"/>
      <c r="Q63" s="836"/>
      <c r="R63" s="191" t="s">
        <v>271</v>
      </c>
      <c r="S63" s="192">
        <v>3000000</v>
      </c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59">
        <f t="shared" si="8"/>
        <v>0</v>
      </c>
    </row>
    <row r="64" spans="1:31" s="191" customFormat="1">
      <c r="A64" s="189"/>
      <c r="B64" s="189"/>
      <c r="C64" s="189"/>
      <c r="D64" s="189"/>
      <c r="E64" s="189"/>
      <c r="F64" s="189"/>
      <c r="G64" s="189"/>
      <c r="H64" s="189"/>
      <c r="I64" s="189"/>
      <c r="J64" s="244"/>
      <c r="K64" s="254"/>
      <c r="L64" s="255"/>
      <c r="M64" s="189"/>
      <c r="N64" s="189"/>
      <c r="O64" s="189"/>
      <c r="Q64" s="836"/>
      <c r="S64" s="192"/>
      <c r="T64" s="259"/>
      <c r="U64" s="259"/>
      <c r="V64" s="259"/>
      <c r="W64" s="259"/>
      <c r="X64" s="259"/>
      <c r="Y64" s="259"/>
      <c r="Z64" s="259"/>
      <c r="AA64" s="259"/>
      <c r="AB64" s="259"/>
      <c r="AC64" s="259"/>
      <c r="AD64" s="259"/>
      <c r="AE64" s="259">
        <f t="shared" si="8"/>
        <v>0</v>
      </c>
    </row>
    <row r="65" spans="1:33" s="191" customFormat="1">
      <c r="A65" s="189"/>
      <c r="B65" s="189"/>
      <c r="C65" s="189"/>
      <c r="D65" s="189"/>
      <c r="E65" s="189"/>
      <c r="F65" s="189"/>
      <c r="G65" s="189"/>
      <c r="H65" s="189"/>
      <c r="I65" s="189"/>
      <c r="J65" s="244"/>
      <c r="K65" s="254"/>
      <c r="L65" s="255"/>
      <c r="M65" s="189"/>
      <c r="N65" s="189"/>
      <c r="O65" s="189"/>
      <c r="Q65" s="836"/>
      <c r="R65" s="280"/>
      <c r="S65" s="263">
        <f>SUM(S59:S64)</f>
        <v>9798000</v>
      </c>
      <c r="T65" s="263">
        <f>SUM(T59:T64)</f>
        <v>0</v>
      </c>
      <c r="U65" s="263">
        <f t="shared" ref="U65:AE65" si="9">SUM(U59:U64)</f>
        <v>0</v>
      </c>
      <c r="V65" s="263">
        <f t="shared" si="9"/>
        <v>0</v>
      </c>
      <c r="W65" s="263">
        <f t="shared" si="9"/>
        <v>0</v>
      </c>
      <c r="X65" s="263">
        <f t="shared" si="9"/>
        <v>0</v>
      </c>
      <c r="Y65" s="263">
        <f t="shared" si="9"/>
        <v>0</v>
      </c>
      <c r="Z65" s="263">
        <f t="shared" si="9"/>
        <v>0</v>
      </c>
      <c r="AA65" s="263">
        <f t="shared" si="9"/>
        <v>0</v>
      </c>
      <c r="AB65" s="263">
        <f t="shared" si="9"/>
        <v>0</v>
      </c>
      <c r="AC65" s="263">
        <f t="shared" si="9"/>
        <v>0</v>
      </c>
      <c r="AD65" s="263">
        <f t="shared" si="9"/>
        <v>0</v>
      </c>
      <c r="AE65" s="264">
        <f t="shared" si="9"/>
        <v>0</v>
      </c>
    </row>
    <row r="66" spans="1:33" s="191" customFormat="1" ht="51">
      <c r="A66" s="189"/>
      <c r="B66" s="189"/>
      <c r="C66" s="189"/>
      <c r="D66" s="189"/>
      <c r="E66" s="189"/>
      <c r="F66" s="189"/>
      <c r="G66" s="189"/>
      <c r="H66" s="189"/>
      <c r="I66" s="189"/>
      <c r="J66" s="244"/>
      <c r="K66" s="254"/>
      <c r="L66" s="255"/>
      <c r="M66" s="189"/>
      <c r="N66" s="189"/>
      <c r="O66" s="189"/>
      <c r="Q66" s="836" t="s">
        <v>275</v>
      </c>
      <c r="R66" s="280"/>
      <c r="S66" s="259"/>
      <c r="T66" s="259" t="s">
        <v>251</v>
      </c>
      <c r="U66" s="259" t="s">
        <v>252</v>
      </c>
      <c r="V66" s="259" t="s">
        <v>253</v>
      </c>
      <c r="W66" s="259" t="s">
        <v>254</v>
      </c>
      <c r="X66" s="259" t="s">
        <v>201</v>
      </c>
      <c r="Y66" s="259" t="s">
        <v>255</v>
      </c>
      <c r="Z66" s="259" t="s">
        <v>256</v>
      </c>
      <c r="AA66" s="259" t="s">
        <v>257</v>
      </c>
      <c r="AB66" s="259" t="s">
        <v>258</v>
      </c>
      <c r="AC66" s="259" t="s">
        <v>259</v>
      </c>
      <c r="AD66" s="259" t="s">
        <v>260</v>
      </c>
      <c r="AE66" s="259" t="s">
        <v>261</v>
      </c>
    </row>
    <row r="67" spans="1:33" s="191" customFormat="1">
      <c r="A67" s="189"/>
      <c r="B67" s="189"/>
      <c r="C67" s="189"/>
      <c r="D67" s="189"/>
      <c r="E67" s="189"/>
      <c r="F67" s="189"/>
      <c r="G67" s="189"/>
      <c r="H67" s="189"/>
      <c r="I67" s="189"/>
      <c r="J67" s="244"/>
      <c r="K67" s="254"/>
      <c r="L67" s="255"/>
      <c r="M67" s="189"/>
      <c r="N67" s="189"/>
      <c r="O67" s="189"/>
      <c r="Q67" s="836"/>
      <c r="R67" s="280" t="s">
        <v>267</v>
      </c>
      <c r="S67" s="259">
        <v>540000</v>
      </c>
      <c r="T67" s="259">
        <f>10*5500</f>
        <v>55000</v>
      </c>
      <c r="U67" s="259"/>
      <c r="V67" s="259">
        <f>10*5500</f>
        <v>55000</v>
      </c>
      <c r="W67" s="259"/>
      <c r="X67" s="259"/>
      <c r="Y67" s="259"/>
      <c r="Z67" s="259"/>
      <c r="AA67" s="259"/>
      <c r="AB67" s="259"/>
      <c r="AC67" s="259"/>
      <c r="AD67" s="259"/>
      <c r="AE67" s="259">
        <f t="shared" ref="AE67:AE72" si="10">SUM(T67:AD67)</f>
        <v>110000</v>
      </c>
    </row>
    <row r="68" spans="1:33" s="191" customFormat="1">
      <c r="A68" s="189"/>
      <c r="B68" s="189"/>
      <c r="C68" s="189"/>
      <c r="D68" s="189"/>
      <c r="E68" s="189"/>
      <c r="F68" s="189"/>
      <c r="G68" s="189"/>
      <c r="H68" s="189"/>
      <c r="I68" s="189"/>
      <c r="J68" s="244"/>
      <c r="K68" s="254"/>
      <c r="L68" s="255"/>
      <c r="M68" s="189"/>
      <c r="N68" s="189"/>
      <c r="O68" s="189"/>
      <c r="Q68" s="836"/>
      <c r="R68" s="280" t="s">
        <v>268</v>
      </c>
      <c r="S68" s="259">
        <v>90000</v>
      </c>
      <c r="T68" s="259"/>
      <c r="U68" s="259"/>
      <c r="V68" s="259"/>
      <c r="W68" s="259"/>
      <c r="X68" s="259"/>
      <c r="Y68" s="259"/>
      <c r="Z68" s="259"/>
      <c r="AA68" s="259"/>
      <c r="AB68" s="259"/>
      <c r="AC68" s="259"/>
      <c r="AD68" s="259"/>
      <c r="AE68" s="259">
        <f t="shared" si="10"/>
        <v>0</v>
      </c>
    </row>
    <row r="69" spans="1:33" s="191" customFormat="1">
      <c r="A69" s="189"/>
      <c r="B69" s="189"/>
      <c r="C69" s="189"/>
      <c r="D69" s="189"/>
      <c r="E69" s="189"/>
      <c r="F69" s="189"/>
      <c r="G69" s="189"/>
      <c r="H69" s="189"/>
      <c r="I69" s="189"/>
      <c r="J69" s="244"/>
      <c r="K69" s="254"/>
      <c r="L69" s="255"/>
      <c r="M69" s="189"/>
      <c r="N69" s="189"/>
      <c r="O69" s="189"/>
      <c r="Q69" s="836"/>
      <c r="R69" s="280" t="s">
        <v>269</v>
      </c>
      <c r="S69" s="259">
        <v>3168000</v>
      </c>
      <c r="T69" s="259">
        <v>450000</v>
      </c>
      <c r="U69" s="259"/>
      <c r="V69" s="259">
        <v>450000</v>
      </c>
      <c r="W69" s="259"/>
      <c r="X69" s="259"/>
      <c r="Y69" s="259"/>
      <c r="Z69" s="259"/>
      <c r="AA69" s="259"/>
      <c r="AB69" s="259"/>
      <c r="AC69" s="259"/>
      <c r="AD69" s="259"/>
      <c r="AE69" s="259">
        <f t="shared" si="10"/>
        <v>900000</v>
      </c>
    </row>
    <row r="70" spans="1:33" s="191" customFormat="1">
      <c r="A70" s="189"/>
      <c r="B70" s="189"/>
      <c r="C70" s="189"/>
      <c r="D70" s="189"/>
      <c r="E70" s="189"/>
      <c r="F70" s="189"/>
      <c r="G70" s="189"/>
      <c r="H70" s="189"/>
      <c r="I70" s="189"/>
      <c r="J70" s="244"/>
      <c r="K70" s="254"/>
      <c r="L70" s="255"/>
      <c r="M70" s="189"/>
      <c r="N70" s="189"/>
      <c r="O70" s="189"/>
      <c r="Q70" s="836"/>
      <c r="R70" s="280" t="s">
        <v>270</v>
      </c>
      <c r="S70" s="259">
        <v>3000000</v>
      </c>
      <c r="T70" s="259">
        <v>500000</v>
      </c>
      <c r="U70" s="259"/>
      <c r="V70" s="259">
        <v>500000</v>
      </c>
      <c r="W70" s="259"/>
      <c r="X70" s="259"/>
      <c r="Y70" s="259"/>
      <c r="Z70" s="259"/>
      <c r="AA70" s="259"/>
      <c r="AB70" s="259"/>
      <c r="AC70" s="259"/>
      <c r="AD70" s="259"/>
      <c r="AE70" s="259">
        <f t="shared" si="10"/>
        <v>1000000</v>
      </c>
    </row>
    <row r="71" spans="1:33" s="191" customFormat="1">
      <c r="A71" s="189"/>
      <c r="B71" s="189"/>
      <c r="C71" s="189"/>
      <c r="D71" s="189"/>
      <c r="E71" s="189"/>
      <c r="F71" s="189"/>
      <c r="G71" s="189"/>
      <c r="H71" s="189"/>
      <c r="I71" s="189"/>
      <c r="J71" s="244"/>
      <c r="K71" s="254"/>
      <c r="L71" s="255"/>
      <c r="M71" s="189"/>
      <c r="N71" s="189"/>
      <c r="O71" s="189"/>
      <c r="Q71" s="836"/>
      <c r="R71" s="191" t="s">
        <v>271</v>
      </c>
      <c r="S71" s="192">
        <v>3000000</v>
      </c>
      <c r="T71" s="261">
        <v>500000</v>
      </c>
      <c r="U71" s="261"/>
      <c r="V71" s="261">
        <v>500000</v>
      </c>
      <c r="W71" s="261"/>
      <c r="X71" s="261"/>
      <c r="Y71" s="261"/>
      <c r="Z71" s="261"/>
      <c r="AA71" s="261"/>
      <c r="AB71" s="261"/>
      <c r="AC71" s="261"/>
      <c r="AD71" s="261"/>
      <c r="AE71" s="259">
        <f t="shared" si="10"/>
        <v>1000000</v>
      </c>
    </row>
    <row r="72" spans="1:33" s="191" customFormat="1">
      <c r="A72" s="189"/>
      <c r="B72" s="189"/>
      <c r="C72" s="189"/>
      <c r="D72" s="189"/>
      <c r="E72" s="189"/>
      <c r="F72" s="189"/>
      <c r="G72" s="189"/>
      <c r="H72" s="189"/>
      <c r="I72" s="189"/>
      <c r="J72" s="244"/>
      <c r="K72" s="254"/>
      <c r="L72" s="255"/>
      <c r="M72" s="189"/>
      <c r="N72" s="189"/>
      <c r="O72" s="189"/>
      <c r="Q72" s="836"/>
      <c r="S72" s="192"/>
      <c r="T72" s="259"/>
      <c r="U72" s="259"/>
      <c r="V72" s="259"/>
      <c r="W72" s="259"/>
      <c r="X72" s="259"/>
      <c r="Y72" s="259"/>
      <c r="Z72" s="259"/>
      <c r="AA72" s="259"/>
      <c r="AB72" s="259"/>
      <c r="AC72" s="259"/>
      <c r="AD72" s="259"/>
      <c r="AE72" s="259">
        <f t="shared" si="10"/>
        <v>0</v>
      </c>
    </row>
    <row r="73" spans="1:33" s="191" customFormat="1">
      <c r="A73" s="189"/>
      <c r="B73" s="189"/>
      <c r="C73" s="189"/>
      <c r="D73" s="189"/>
      <c r="E73" s="189"/>
      <c r="F73" s="189"/>
      <c r="G73" s="189"/>
      <c r="H73" s="189"/>
      <c r="I73" s="189"/>
      <c r="J73" s="244"/>
      <c r="K73" s="254"/>
      <c r="L73" s="255"/>
      <c r="M73" s="189"/>
      <c r="N73" s="189"/>
      <c r="O73" s="189"/>
      <c r="Q73" s="836"/>
      <c r="R73" s="280"/>
      <c r="S73" s="263">
        <f>SUM(S67:S72)</f>
        <v>9798000</v>
      </c>
      <c r="T73" s="263">
        <f>SUM(T67:T72)</f>
        <v>1505000</v>
      </c>
      <c r="U73" s="263">
        <f t="shared" ref="U73:AE73" si="11">SUM(U67:U72)</f>
        <v>0</v>
      </c>
      <c r="V73" s="263">
        <f t="shared" si="11"/>
        <v>1505000</v>
      </c>
      <c r="W73" s="263">
        <f t="shared" si="11"/>
        <v>0</v>
      </c>
      <c r="X73" s="263">
        <f t="shared" si="11"/>
        <v>0</v>
      </c>
      <c r="Y73" s="263">
        <f t="shared" si="11"/>
        <v>0</v>
      </c>
      <c r="Z73" s="263">
        <f t="shared" si="11"/>
        <v>0</v>
      </c>
      <c r="AA73" s="263">
        <f t="shared" si="11"/>
        <v>0</v>
      </c>
      <c r="AB73" s="263">
        <f t="shared" si="11"/>
        <v>0</v>
      </c>
      <c r="AC73" s="263">
        <f t="shared" si="11"/>
        <v>0</v>
      </c>
      <c r="AD73" s="263">
        <f t="shared" si="11"/>
        <v>0</v>
      </c>
      <c r="AE73" s="264">
        <f t="shared" si="11"/>
        <v>3010000</v>
      </c>
    </row>
    <row r="74" spans="1:33" s="191" customFormat="1" ht="51">
      <c r="A74" s="189"/>
      <c r="B74" s="189"/>
      <c r="C74" s="189"/>
      <c r="D74" s="189"/>
      <c r="E74" s="189"/>
      <c r="F74" s="189"/>
      <c r="G74" s="189"/>
      <c r="H74" s="189"/>
      <c r="I74" s="189"/>
      <c r="J74" s="244"/>
      <c r="K74" s="254"/>
      <c r="L74" s="255"/>
      <c r="M74" s="189"/>
      <c r="N74" s="189"/>
      <c r="O74" s="189"/>
      <c r="Q74" s="836" t="s">
        <v>276</v>
      </c>
      <c r="R74" s="280"/>
      <c r="S74" s="259"/>
      <c r="T74" s="259" t="s">
        <v>251</v>
      </c>
      <c r="U74" s="259" t="s">
        <v>252</v>
      </c>
      <c r="V74" s="259" t="s">
        <v>253</v>
      </c>
      <c r="W74" s="259" t="s">
        <v>254</v>
      </c>
      <c r="X74" s="259" t="s">
        <v>201</v>
      </c>
      <c r="Y74" s="259" t="s">
        <v>255</v>
      </c>
      <c r="Z74" s="259" t="s">
        <v>256</v>
      </c>
      <c r="AA74" s="259" t="s">
        <v>257</v>
      </c>
      <c r="AB74" s="259" t="s">
        <v>258</v>
      </c>
      <c r="AC74" s="259" t="s">
        <v>259</v>
      </c>
      <c r="AD74" s="259" t="s">
        <v>260</v>
      </c>
      <c r="AE74" s="259" t="s">
        <v>261</v>
      </c>
    </row>
    <row r="75" spans="1:33" s="191" customFormat="1">
      <c r="A75" s="189"/>
      <c r="B75" s="189"/>
      <c r="C75" s="189"/>
      <c r="D75" s="189"/>
      <c r="E75" s="189"/>
      <c r="F75" s="189"/>
      <c r="G75" s="189"/>
      <c r="H75" s="189"/>
      <c r="I75" s="189"/>
      <c r="J75" s="244"/>
      <c r="K75" s="254"/>
      <c r="L75" s="255"/>
      <c r="M75" s="189"/>
      <c r="N75" s="189"/>
      <c r="O75" s="189"/>
      <c r="Q75" s="836"/>
      <c r="R75" s="280" t="s">
        <v>267</v>
      </c>
      <c r="S75" s="259">
        <v>1368000</v>
      </c>
      <c r="T75" s="259">
        <f>38*5500</f>
        <v>209000</v>
      </c>
      <c r="U75" s="259"/>
      <c r="V75" s="259"/>
      <c r="W75" s="259"/>
      <c r="X75" s="259"/>
      <c r="Y75" s="259"/>
      <c r="Z75" s="259"/>
      <c r="AA75" s="259"/>
      <c r="AB75" s="259"/>
      <c r="AC75" s="259"/>
      <c r="AD75" s="259"/>
      <c r="AE75" s="259">
        <f t="shared" ref="AE75:AE80" si="12">SUM(T75:AD75)</f>
        <v>209000</v>
      </c>
      <c r="AG75" s="225">
        <f>T75+T67+T51+T35</f>
        <v>374000</v>
      </c>
    </row>
    <row r="76" spans="1:33" s="191" customFormat="1">
      <c r="A76" s="189"/>
      <c r="B76" s="189"/>
      <c r="C76" s="189"/>
      <c r="D76" s="189"/>
      <c r="E76" s="189"/>
      <c r="F76" s="189"/>
      <c r="G76" s="189"/>
      <c r="H76" s="189"/>
      <c r="I76" s="189"/>
      <c r="J76" s="244"/>
      <c r="K76" s="254"/>
      <c r="L76" s="255"/>
      <c r="M76" s="189"/>
      <c r="N76" s="189"/>
      <c r="O76" s="189"/>
      <c r="Q76" s="836"/>
      <c r="R76" s="280" t="s">
        <v>268</v>
      </c>
      <c r="S76" s="259">
        <v>300000</v>
      </c>
      <c r="T76" s="259"/>
      <c r="U76" s="259"/>
      <c r="V76" s="259"/>
      <c r="W76" s="259"/>
      <c r="X76" s="259"/>
      <c r="Y76" s="259"/>
      <c r="Z76" s="259"/>
      <c r="AA76" s="259"/>
      <c r="AB76" s="259"/>
      <c r="AC76" s="259"/>
      <c r="AD76" s="259"/>
      <c r="AE76" s="259">
        <f t="shared" si="12"/>
        <v>0</v>
      </c>
    </row>
    <row r="77" spans="1:33" s="191" customFormat="1">
      <c r="A77" s="189"/>
      <c r="B77" s="189"/>
      <c r="C77" s="189"/>
      <c r="D77" s="189"/>
      <c r="E77" s="189"/>
      <c r="F77" s="189"/>
      <c r="G77" s="189"/>
      <c r="H77" s="189"/>
      <c r="I77" s="189"/>
      <c r="J77" s="244"/>
      <c r="K77" s="254"/>
      <c r="L77" s="255"/>
      <c r="M77" s="189"/>
      <c r="N77" s="189"/>
      <c r="O77" s="189"/>
      <c r="Q77" s="836"/>
      <c r="R77" s="280" t="s">
        <v>269</v>
      </c>
      <c r="S77" s="259">
        <v>8640000</v>
      </c>
      <c r="T77" s="259">
        <f>1350000+607500</f>
        <v>1957500</v>
      </c>
      <c r="U77" s="259"/>
      <c r="V77" s="259"/>
      <c r="W77" s="259"/>
      <c r="X77" s="259"/>
      <c r="Y77" s="259"/>
      <c r="Z77" s="259"/>
      <c r="AA77" s="259"/>
      <c r="AB77" s="259"/>
      <c r="AC77" s="259"/>
      <c r="AD77" s="259"/>
      <c r="AE77" s="259">
        <f t="shared" si="12"/>
        <v>1957500</v>
      </c>
    </row>
    <row r="78" spans="1:33" s="191" customFormat="1">
      <c r="A78" s="189"/>
      <c r="B78" s="189"/>
      <c r="C78" s="189"/>
      <c r="D78" s="189"/>
      <c r="E78" s="189"/>
      <c r="F78" s="189"/>
      <c r="G78" s="189"/>
      <c r="H78" s="189"/>
      <c r="I78" s="189"/>
      <c r="J78" s="244"/>
      <c r="K78" s="254"/>
      <c r="L78" s="255"/>
      <c r="M78" s="189"/>
      <c r="N78" s="189"/>
      <c r="O78" s="189"/>
      <c r="Q78" s="836"/>
      <c r="R78" s="280" t="s">
        <v>270</v>
      </c>
      <c r="S78" s="259">
        <v>4000000</v>
      </c>
      <c r="T78" s="259">
        <v>1000000</v>
      </c>
      <c r="U78" s="259"/>
      <c r="V78" s="259"/>
      <c r="W78" s="259"/>
      <c r="X78" s="259"/>
      <c r="Y78" s="259"/>
      <c r="Z78" s="259"/>
      <c r="AA78" s="259"/>
      <c r="AB78" s="259"/>
      <c r="AC78" s="259"/>
      <c r="AD78" s="259"/>
      <c r="AE78" s="259">
        <f t="shared" si="12"/>
        <v>1000000</v>
      </c>
    </row>
    <row r="79" spans="1:33" s="191" customFormat="1">
      <c r="A79" s="189"/>
      <c r="B79" s="189"/>
      <c r="C79" s="189"/>
      <c r="D79" s="189"/>
      <c r="E79" s="189"/>
      <c r="F79" s="189"/>
      <c r="G79" s="189"/>
      <c r="H79" s="189"/>
      <c r="I79" s="189"/>
      <c r="J79" s="244"/>
      <c r="K79" s="254"/>
      <c r="L79" s="255"/>
      <c r="M79" s="189"/>
      <c r="N79" s="189"/>
      <c r="O79" s="189"/>
      <c r="Q79" s="836"/>
      <c r="R79" s="191" t="s">
        <v>271</v>
      </c>
      <c r="S79" s="192">
        <v>7600000</v>
      </c>
      <c r="T79" s="261">
        <v>1700000</v>
      </c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59">
        <f t="shared" si="12"/>
        <v>1700000</v>
      </c>
    </row>
    <row r="80" spans="1:33" s="191" customFormat="1">
      <c r="A80" s="189"/>
      <c r="B80" s="189"/>
      <c r="C80" s="189"/>
      <c r="D80" s="189"/>
      <c r="E80" s="189"/>
      <c r="F80" s="189"/>
      <c r="G80" s="189"/>
      <c r="H80" s="189"/>
      <c r="I80" s="189"/>
      <c r="J80" s="244"/>
      <c r="K80" s="254"/>
      <c r="L80" s="255"/>
      <c r="M80" s="189"/>
      <c r="N80" s="189"/>
      <c r="O80" s="189"/>
      <c r="Q80" s="836"/>
      <c r="S80" s="192"/>
      <c r="T80" s="259"/>
      <c r="U80" s="259"/>
      <c r="V80" s="259"/>
      <c r="W80" s="259"/>
      <c r="X80" s="259"/>
      <c r="Y80" s="259"/>
      <c r="Z80" s="259"/>
      <c r="AA80" s="259"/>
      <c r="AB80" s="259"/>
      <c r="AC80" s="259"/>
      <c r="AD80" s="259"/>
      <c r="AE80" s="259">
        <f t="shared" si="12"/>
        <v>0</v>
      </c>
    </row>
    <row r="81" spans="1:31" s="191" customFormat="1">
      <c r="A81" s="189"/>
      <c r="B81" s="189"/>
      <c r="C81" s="189"/>
      <c r="D81" s="189"/>
      <c r="E81" s="189"/>
      <c r="F81" s="189"/>
      <c r="G81" s="189"/>
      <c r="H81" s="189"/>
      <c r="I81" s="189"/>
      <c r="J81" s="244"/>
      <c r="K81" s="254"/>
      <c r="L81" s="255"/>
      <c r="M81" s="189"/>
      <c r="N81" s="189"/>
      <c r="O81" s="189"/>
      <c r="Q81" s="836"/>
      <c r="R81" s="280"/>
      <c r="S81" s="263">
        <f>SUM(S75:S80)</f>
        <v>21908000</v>
      </c>
      <c r="T81" s="263">
        <f>SUM(T75:T80)</f>
        <v>4866500</v>
      </c>
      <c r="U81" s="263">
        <f t="shared" ref="U81:AE81" si="13">SUM(U75:U80)</f>
        <v>0</v>
      </c>
      <c r="V81" s="263">
        <f t="shared" si="13"/>
        <v>0</v>
      </c>
      <c r="W81" s="263">
        <f t="shared" si="13"/>
        <v>0</v>
      </c>
      <c r="X81" s="263">
        <f t="shared" si="13"/>
        <v>0</v>
      </c>
      <c r="Y81" s="263">
        <f t="shared" si="13"/>
        <v>0</v>
      </c>
      <c r="Z81" s="263">
        <f t="shared" si="13"/>
        <v>0</v>
      </c>
      <c r="AA81" s="263">
        <f t="shared" si="13"/>
        <v>0</v>
      </c>
      <c r="AB81" s="263">
        <f t="shared" si="13"/>
        <v>0</v>
      </c>
      <c r="AC81" s="263">
        <f t="shared" si="13"/>
        <v>0</v>
      </c>
      <c r="AD81" s="263">
        <f t="shared" si="13"/>
        <v>0</v>
      </c>
      <c r="AE81" s="264">
        <f t="shared" si="13"/>
        <v>4866500</v>
      </c>
    </row>
    <row r="82" spans="1:31" s="191" customFormat="1">
      <c r="A82" s="189"/>
      <c r="B82" s="189"/>
      <c r="C82" s="189"/>
      <c r="D82" s="189"/>
      <c r="E82" s="189"/>
      <c r="F82" s="189"/>
      <c r="G82" s="189"/>
      <c r="H82" s="189"/>
      <c r="I82" s="189"/>
      <c r="J82" s="244"/>
      <c r="K82" s="254"/>
      <c r="L82" s="255"/>
      <c r="M82" s="189"/>
      <c r="N82" s="189"/>
      <c r="O82" s="189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</row>
    <row r="87" spans="1:31" s="191" customFormat="1">
      <c r="A87" s="189"/>
      <c r="B87" s="189"/>
      <c r="C87" s="189"/>
      <c r="D87" s="189"/>
      <c r="E87" s="189"/>
      <c r="F87" s="189"/>
      <c r="G87" s="189"/>
      <c r="H87" s="189"/>
      <c r="I87" s="189"/>
      <c r="J87" s="244"/>
      <c r="K87" s="254"/>
      <c r="L87" s="255"/>
      <c r="M87" s="189"/>
      <c r="N87" s="189"/>
      <c r="O87" s="189"/>
      <c r="P87" s="225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</row>
    <row r="90" spans="1:31" s="191" customFormat="1">
      <c r="A90" s="189"/>
      <c r="B90" s="189"/>
      <c r="C90" s="189"/>
      <c r="D90" s="189"/>
      <c r="E90" s="189"/>
      <c r="F90" s="189"/>
      <c r="G90" s="189"/>
      <c r="H90" s="189"/>
      <c r="I90" s="189"/>
      <c r="J90" s="244"/>
      <c r="K90" s="254"/>
      <c r="L90" s="255"/>
      <c r="M90" s="189"/>
      <c r="N90" s="189"/>
      <c r="O90" s="189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</row>
    <row r="106" spans="10:46" s="189" customFormat="1" ht="15" customHeight="1">
      <c r="J106" s="244"/>
      <c r="K106" s="254"/>
      <c r="L106" s="255"/>
      <c r="P106" s="191"/>
      <c r="Q106" s="191"/>
      <c r="R106" s="191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</row>
    <row r="122" spans="10:46" s="189" customFormat="1" ht="6" customHeight="1">
      <c r="J122" s="244"/>
      <c r="K122" s="254"/>
      <c r="L122" s="255"/>
      <c r="P122" s="191"/>
      <c r="Q122" s="191"/>
      <c r="R122" s="191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</row>
  </sheetData>
  <mergeCells count="26">
    <mergeCell ref="C1:N1"/>
    <mergeCell ref="C2:N2"/>
    <mergeCell ref="A3:D3"/>
    <mergeCell ref="A4:B5"/>
    <mergeCell ref="C4:D5"/>
    <mergeCell ref="E4:F4"/>
    <mergeCell ref="G4:M4"/>
    <mergeCell ref="N4:N5"/>
    <mergeCell ref="G5:I5"/>
    <mergeCell ref="A6:B6"/>
    <mergeCell ref="C6:D6"/>
    <mergeCell ref="G6:I6"/>
    <mergeCell ref="Q14:Q17"/>
    <mergeCell ref="K16:N16"/>
    <mergeCell ref="K17:N17"/>
    <mergeCell ref="K18:N18"/>
    <mergeCell ref="Q50:Q57"/>
    <mergeCell ref="Q58:Q65"/>
    <mergeCell ref="Q66:Q73"/>
    <mergeCell ref="Q74:Q81"/>
    <mergeCell ref="Q18:Q25"/>
    <mergeCell ref="K22:N22"/>
    <mergeCell ref="K23:N23"/>
    <mergeCell ref="Q26:Q33"/>
    <mergeCell ref="Q34:Q41"/>
    <mergeCell ref="Q42:Q49"/>
  </mergeCells>
  <pageMargins left="0.7" right="0.7" top="0.75" bottom="0.75" header="0.3" footer="0.3"/>
  <pageSetup paperSize="14" scale="9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2"/>
  <sheetViews>
    <sheetView view="pageBreakPreview" topLeftCell="I10" zoomScale="60" workbookViewId="0">
      <selection activeCell="N19" sqref="N19"/>
    </sheetView>
  </sheetViews>
  <sheetFormatPr defaultRowHeight="16.5"/>
  <cols>
    <col min="1" max="1" width="2.140625" style="24" bestFit="1" customWidth="1"/>
    <col min="2" max="5" width="3.28515625" style="24" bestFit="1" customWidth="1"/>
    <col min="6" max="8" width="2.140625" style="24" bestFit="1" customWidth="1"/>
    <col min="9" max="10" width="3.28515625" style="24" bestFit="1" customWidth="1"/>
    <col min="11" max="11" width="68" style="24" customWidth="1"/>
    <col min="12" max="12" width="10.85546875" style="24" customWidth="1"/>
    <col min="13" max="13" width="17.140625" style="24" customWidth="1"/>
    <col min="14" max="14" width="17.28515625" style="24" customWidth="1"/>
    <col min="15" max="15" width="8.5703125" style="24" customWidth="1"/>
    <col min="16" max="16" width="17.85546875" style="117" customWidth="1"/>
    <col min="17" max="17" width="10.140625" style="24" customWidth="1"/>
    <col min="18" max="18" width="17.5703125" style="24" customWidth="1"/>
    <col min="19" max="19" width="8.5703125" style="24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684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662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2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793" t="s">
        <v>15</v>
      </c>
      <c r="O9" s="793" t="s">
        <v>16</v>
      </c>
      <c r="P9" s="793" t="s">
        <v>15</v>
      </c>
      <c r="Q9" s="793" t="s">
        <v>16</v>
      </c>
      <c r="R9" s="794" t="s">
        <v>15</v>
      </c>
      <c r="S9" s="794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795" t="s">
        <v>685</v>
      </c>
      <c r="M10" s="796"/>
      <c r="N10" s="796"/>
      <c r="O10" s="796"/>
      <c r="P10" s="794"/>
      <c r="Q10" s="794"/>
      <c r="R10" s="794"/>
      <c r="S10" s="794"/>
      <c r="T10" s="799"/>
      <c r="U10" s="794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795" t="s">
        <v>19</v>
      </c>
      <c r="M11" s="796"/>
      <c r="N11" s="796"/>
      <c r="O11" s="796"/>
      <c r="P11" s="794"/>
      <c r="Q11" s="794"/>
      <c r="R11" s="794"/>
      <c r="S11" s="794"/>
      <c r="T11" s="799"/>
      <c r="U11" s="794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M13+M18+M76</f>
        <v>1836864000</v>
      </c>
      <c r="N12" s="5">
        <f>N13+N18+N76</f>
        <v>328092536</v>
      </c>
      <c r="O12" s="6">
        <f>N12/M12*100</f>
        <v>17.861558395177866</v>
      </c>
      <c r="P12" s="5">
        <f>P13+P18+P76</f>
        <v>80438920</v>
      </c>
      <c r="Q12" s="285">
        <f>P12/M12*100</f>
        <v>4.3791440193721467</v>
      </c>
      <c r="R12" s="5">
        <f>R13+R18+R76</f>
        <v>408531456</v>
      </c>
      <c r="S12" s="285">
        <f>R12/M12*100</f>
        <v>22.240702414550015</v>
      </c>
      <c r="T12" s="800">
        <f>T13+T18+T76/3</f>
        <v>10.481997677119626</v>
      </c>
      <c r="U12" s="12"/>
      <c r="V12" s="11"/>
    </row>
    <row r="13" spans="1:26">
      <c r="A13" s="561">
        <v>1</v>
      </c>
      <c r="B13" s="291" t="s">
        <v>17</v>
      </c>
      <c r="C13" s="291" t="s">
        <v>18</v>
      </c>
      <c r="D13" s="292">
        <v>38</v>
      </c>
      <c r="E13" s="291" t="s">
        <v>25</v>
      </c>
      <c r="F13" s="292">
        <v>5</v>
      </c>
      <c r="G13" s="292">
        <v>2</v>
      </c>
      <c r="H13" s="292">
        <v>1</v>
      </c>
      <c r="I13" s="292"/>
      <c r="J13" s="293"/>
      <c r="K13" s="295" t="s">
        <v>22</v>
      </c>
      <c r="L13" s="7"/>
      <c r="M13" s="5">
        <f>M15</f>
        <v>1102118400</v>
      </c>
      <c r="N13" s="5">
        <f>N15</f>
        <v>234529920</v>
      </c>
      <c r="O13" s="6">
        <f>N13/M13*100</f>
        <v>21.279920560259225</v>
      </c>
      <c r="P13" s="5">
        <f>P15</f>
        <v>77227020</v>
      </c>
      <c r="Q13" s="285">
        <f>P13/M13*100</f>
        <v>7.007143697083726</v>
      </c>
      <c r="R13" s="5">
        <f>R15</f>
        <v>311756940</v>
      </c>
      <c r="S13" s="285">
        <f>R13/M13*100</f>
        <v>28.287064257342948</v>
      </c>
      <c r="T13" s="800">
        <f>T15</f>
        <v>8.3333333333333321</v>
      </c>
      <c r="U13" s="296"/>
      <c r="V13" s="11"/>
    </row>
    <row r="14" spans="1:26" ht="7.5" customHeight="1">
      <c r="A14" s="561"/>
      <c r="B14" s="291"/>
      <c r="C14" s="291"/>
      <c r="D14" s="291"/>
      <c r="E14" s="291"/>
      <c r="F14" s="291"/>
      <c r="G14" s="292"/>
      <c r="H14" s="292"/>
      <c r="I14" s="292"/>
      <c r="J14" s="293"/>
      <c r="K14" s="295"/>
      <c r="L14" s="4"/>
      <c r="M14" s="5"/>
      <c r="N14" s="5"/>
      <c r="O14" s="5"/>
      <c r="P14" s="5"/>
      <c r="Q14" s="286"/>
      <c r="R14" s="5"/>
      <c r="S14" s="285"/>
      <c r="T14" s="800"/>
      <c r="U14" s="11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234529920</v>
      </c>
      <c r="O15" s="6">
        <f t="shared" ref="O15:O85" si="0">N15/M15*100</f>
        <v>21.279920560259225</v>
      </c>
      <c r="P15" s="5">
        <f>P16</f>
        <v>77227020</v>
      </c>
      <c r="Q15" s="285">
        <f t="shared" ref="Q15:Q85" si="1">P15/M15*100</f>
        <v>7.007143697083726</v>
      </c>
      <c r="R15" s="17">
        <f t="shared" ref="R15:R85" si="2">N15+P15</f>
        <v>311756940</v>
      </c>
      <c r="S15" s="285">
        <f t="shared" ref="S15:S85" si="3">R15/M15*100</f>
        <v>28.287064257342948</v>
      </c>
      <c r="T15" s="800">
        <f>T16</f>
        <v>8.3333333333333321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f>mar!R16</f>
        <v>234529920</v>
      </c>
      <c r="O16" s="111">
        <f t="shared" si="0"/>
        <v>21.279920560259225</v>
      </c>
      <c r="P16" s="9">
        <v>77227020</v>
      </c>
      <c r="Q16" s="286">
        <f t="shared" si="1"/>
        <v>7.007143697083726</v>
      </c>
      <c r="R16" s="19">
        <f t="shared" si="2"/>
        <v>311756940</v>
      </c>
      <c r="S16" s="286">
        <f t="shared" si="3"/>
        <v>28.287064257342948</v>
      </c>
      <c r="T16" s="801">
        <f>1/12*100</f>
        <v>8.3333333333333321</v>
      </c>
      <c r="U16" s="11"/>
      <c r="V16" s="11"/>
    </row>
    <row r="17" spans="1:22" ht="7.5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6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N19+N32+N35+N46+N52+N54+N57+N59+N64+N68+N73+N40+N42+N50+N71</f>
        <v>58690116</v>
      </c>
      <c r="O18" s="6">
        <f t="shared" si="0"/>
        <v>9.6505463342877533</v>
      </c>
      <c r="P18" s="5">
        <f>P19+P32+P35+P46+P52+P54+P57+P59+P64+P68+P73</f>
        <v>3211900</v>
      </c>
      <c r="Q18" s="285">
        <f t="shared" si="1"/>
        <v>0.52813986210384778</v>
      </c>
      <c r="R18" s="17">
        <f t="shared" si="2"/>
        <v>61902016</v>
      </c>
      <c r="S18" s="285">
        <f t="shared" si="3"/>
        <v>10.178686196391601</v>
      </c>
      <c r="T18" s="800">
        <f>SUM(T20:T74)/41</f>
        <v>2.1486643437862947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17332900</v>
      </c>
      <c r="O19" s="6">
        <f t="shared" si="0"/>
        <v>7.0557953681344712</v>
      </c>
      <c r="P19" s="5">
        <f>SUM(P20:P31)</f>
        <v>1711000</v>
      </c>
      <c r="Q19" s="285">
        <f t="shared" si="1"/>
        <v>0.6965058285040634</v>
      </c>
      <c r="R19" s="17">
        <f>N19+P19</f>
        <v>19043900</v>
      </c>
      <c r="S19" s="285">
        <f t="shared" si="3"/>
        <v>7.7523011966385349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f>mar!R20</f>
        <v>13994900</v>
      </c>
      <c r="O20" s="111">
        <f t="shared" si="0"/>
        <v>50.107412154759437</v>
      </c>
      <c r="P20" s="115"/>
      <c r="Q20" s="286">
        <f t="shared" si="1"/>
        <v>0</v>
      </c>
      <c r="R20" s="19">
        <f t="shared" si="2"/>
        <v>13994900</v>
      </c>
      <c r="S20" s="286">
        <f t="shared" si="3"/>
        <v>50.107412154759437</v>
      </c>
      <c r="T20" s="801">
        <v>0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f>mar!R21</f>
        <v>1698000</v>
      </c>
      <c r="O21" s="111">
        <f t="shared" si="0"/>
        <v>97.028571428571425</v>
      </c>
      <c r="P21" s="115"/>
      <c r="Q21" s="286">
        <f t="shared" si="1"/>
        <v>0</v>
      </c>
      <c r="R21" s="19">
        <f t="shared" si="2"/>
        <v>1698000</v>
      </c>
      <c r="S21" s="286">
        <f t="shared" si="3"/>
        <v>97.028571428571425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f>mar!R22</f>
        <v>900000</v>
      </c>
      <c r="O22" s="111">
        <f t="shared" si="0"/>
        <v>42.857142857142854</v>
      </c>
      <c r="P22" s="115">
        <v>600000</v>
      </c>
      <c r="Q22" s="286">
        <f t="shared" si="1"/>
        <v>28.571428571428569</v>
      </c>
      <c r="R22" s="19">
        <f t="shared" si="2"/>
        <v>1500000</v>
      </c>
      <c r="S22" s="286">
        <f t="shared" si="3"/>
        <v>71.428571428571431</v>
      </c>
      <c r="T22" s="801">
        <f>S22</f>
        <v>71.428571428571431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>
        <f>mar!R23</f>
        <v>0</v>
      </c>
      <c r="O23" s="111">
        <f t="shared" si="0"/>
        <v>0</v>
      </c>
      <c r="P23" s="115"/>
      <c r="Q23" s="286">
        <f t="shared" si="1"/>
        <v>0</v>
      </c>
      <c r="R23" s="19">
        <f t="shared" si="2"/>
        <v>0</v>
      </c>
      <c r="S23" s="286">
        <f t="shared" si="3"/>
        <v>0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>
        <f>mar!R24</f>
        <v>0</v>
      </c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>
        <f>mar!R25</f>
        <v>30000</v>
      </c>
      <c r="O25" s="111">
        <f t="shared" si="0"/>
        <v>3</v>
      </c>
      <c r="P25" s="115">
        <v>145000</v>
      </c>
      <c r="Q25" s="286">
        <f t="shared" si="1"/>
        <v>14.499999999999998</v>
      </c>
      <c r="R25" s="19">
        <f t="shared" si="2"/>
        <v>175000</v>
      </c>
      <c r="S25" s="286">
        <f t="shared" si="3"/>
        <v>17.5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f>mar!R26</f>
        <v>460000</v>
      </c>
      <c r="O26" s="111">
        <f t="shared" si="0"/>
        <v>2.569832402234637</v>
      </c>
      <c r="P26" s="115">
        <v>478000</v>
      </c>
      <c r="Q26" s="286">
        <f t="shared" si="1"/>
        <v>2.6703910614525141</v>
      </c>
      <c r="R26" s="19">
        <f t="shared" si="2"/>
        <v>938000</v>
      </c>
      <c r="S26" s="286">
        <f t="shared" si="3"/>
        <v>5.2402234636871503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>
        <f>mar!R27</f>
        <v>0</v>
      </c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>
        <f>mar!R28</f>
        <v>250000</v>
      </c>
      <c r="O28" s="111">
        <f t="shared" si="0"/>
        <v>3.90625</v>
      </c>
      <c r="P28" s="115">
        <v>488000</v>
      </c>
      <c r="Q28" s="286">
        <f t="shared" si="1"/>
        <v>7.625</v>
      </c>
      <c r="R28" s="19">
        <f t="shared" si="2"/>
        <v>738000</v>
      </c>
      <c r="S28" s="286">
        <f t="shared" si="3"/>
        <v>11.53125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>
        <f>mar!R29</f>
        <v>0</v>
      </c>
      <c r="O29" s="111">
        <f t="shared" si="0"/>
        <v>0</v>
      </c>
      <c r="P29" s="564"/>
      <c r="Q29" s="286">
        <f t="shared" si="1"/>
        <v>0</v>
      </c>
      <c r="R29" s="19"/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>
        <f>mar!R30</f>
        <v>0</v>
      </c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>
        <f>mar!R31</f>
        <v>0</v>
      </c>
      <c r="O31" s="111">
        <f t="shared" si="0"/>
        <v>0</v>
      </c>
      <c r="P31" s="115"/>
      <c r="Q31" s="286">
        <f t="shared" si="1"/>
        <v>0</v>
      </c>
      <c r="R31" s="19">
        <f t="shared" si="2"/>
        <v>0</v>
      </c>
      <c r="S31" s="286">
        <f t="shared" si="3"/>
        <v>0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SUM(N33:N34)</f>
        <v>2980000</v>
      </c>
      <c r="O32" s="6">
        <f t="shared" si="0"/>
        <v>4.9045424621461491</v>
      </c>
      <c r="P32" s="5">
        <f>SUM(P34:P34)</f>
        <v>458000</v>
      </c>
      <c r="Q32" s="285">
        <f t="shared" si="1"/>
        <v>0.75378538512179072</v>
      </c>
      <c r="R32" s="17">
        <f t="shared" si="2"/>
        <v>3438000</v>
      </c>
      <c r="S32" s="285">
        <f t="shared" si="3"/>
        <v>5.6583278472679392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9">
        <f>mar!R33</f>
        <v>0</v>
      </c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f>mar!R34</f>
        <v>2980000</v>
      </c>
      <c r="O34" s="111">
        <f t="shared" si="0"/>
        <v>20.189701897018971</v>
      </c>
      <c r="P34" s="115">
        <v>458000</v>
      </c>
      <c r="Q34" s="286">
        <f t="shared" si="1"/>
        <v>3.102981029810298</v>
      </c>
      <c r="R34" s="19">
        <f t="shared" si="2"/>
        <v>3438000</v>
      </c>
      <c r="S34" s="286">
        <f t="shared" si="3"/>
        <v>23.292682926829269</v>
      </c>
      <c r="T34" s="801">
        <f>1/12*100</f>
        <v>8.3333333333333321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930500</v>
      </c>
      <c r="O35" s="6">
        <f t="shared" si="0"/>
        <v>2.5040365984930033</v>
      </c>
      <c r="P35" s="5">
        <f>SUM(P36:P39)</f>
        <v>2900</v>
      </c>
      <c r="Q35" s="285">
        <f t="shared" si="1"/>
        <v>7.8040904198062432E-3</v>
      </c>
      <c r="R35" s="17">
        <f t="shared" si="2"/>
        <v>933400</v>
      </c>
      <c r="S35" s="285">
        <f t="shared" si="3"/>
        <v>2.5118406889128093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f>mar!R36</f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f>mar!R37</f>
        <v>10500</v>
      </c>
      <c r="O37" s="111">
        <f t="shared" si="0"/>
        <v>1.875</v>
      </c>
      <c r="P37" s="115">
        <v>2900</v>
      </c>
      <c r="Q37" s="286">
        <f t="shared" si="1"/>
        <v>0.51785714285714279</v>
      </c>
      <c r="R37" s="19">
        <f t="shared" si="2"/>
        <v>13400</v>
      </c>
      <c r="S37" s="286">
        <f t="shared" si="3"/>
        <v>2.3928571428571428</v>
      </c>
      <c r="T37" s="801">
        <v>0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f>mar!R38</f>
        <v>920000</v>
      </c>
      <c r="O38" s="111">
        <f t="shared" si="0"/>
        <v>9.1999999999999993</v>
      </c>
      <c r="P38" s="115"/>
      <c r="Q38" s="286">
        <f t="shared" si="1"/>
        <v>0</v>
      </c>
      <c r="R38" s="19">
        <f t="shared" si="2"/>
        <v>920000</v>
      </c>
      <c r="S38" s="286">
        <f t="shared" si="3"/>
        <v>9.1999999999999993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f>mar!R39</f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</f>
        <v>0</v>
      </c>
      <c r="O40" s="6">
        <f t="shared" si="0"/>
        <v>0</v>
      </c>
      <c r="P40" s="5">
        <f>P41+P42+P43</f>
        <v>0</v>
      </c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>
        <f>mar!R41</f>
        <v>0</v>
      </c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0</v>
      </c>
      <c r="O42" s="6">
        <f t="shared" si="0"/>
        <v>0</v>
      </c>
      <c r="P42" s="5">
        <f>P43+P44+P45</f>
        <v>0</v>
      </c>
      <c r="Q42" s="285">
        <f t="shared" si="1"/>
        <v>0</v>
      </c>
      <c r="R42" s="17">
        <f t="shared" si="2"/>
        <v>0</v>
      </c>
      <c r="S42" s="285">
        <f t="shared" si="3"/>
        <v>0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>
        <f>mar!R43</f>
        <v>0</v>
      </c>
      <c r="O43" s="111">
        <f t="shared" si="0"/>
        <v>0</v>
      </c>
      <c r="P43" s="115"/>
      <c r="Q43" s="286">
        <f t="shared" si="1"/>
        <v>0</v>
      </c>
      <c r="R43" s="19">
        <f t="shared" si="2"/>
        <v>0</v>
      </c>
      <c r="S43" s="286">
        <f t="shared" si="3"/>
        <v>0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f>mar!R44</f>
        <v>0</v>
      </c>
      <c r="O44" s="111">
        <f t="shared" si="0"/>
        <v>0</v>
      </c>
      <c r="P44" s="116"/>
      <c r="Q44" s="286">
        <f t="shared" si="1"/>
        <v>0</v>
      </c>
      <c r="R44" s="19">
        <f t="shared" si="2"/>
        <v>0</v>
      </c>
      <c r="S44" s="286">
        <f t="shared" si="3"/>
        <v>0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f>mar!R45</f>
        <v>0</v>
      </c>
      <c r="O45" s="111">
        <f t="shared" si="0"/>
        <v>0</v>
      </c>
      <c r="P45" s="116"/>
      <c r="Q45" s="286">
        <f t="shared" si="1"/>
        <v>0</v>
      </c>
      <c r="R45" s="19">
        <f t="shared" si="2"/>
        <v>0</v>
      </c>
      <c r="S45" s="286">
        <f t="shared" si="3"/>
        <v>0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500000</v>
      </c>
      <c r="O46" s="6">
        <f t="shared" si="0"/>
        <v>0.66110894414290522</v>
      </c>
      <c r="P46" s="5">
        <f>P47+P48+P49</f>
        <v>540000</v>
      </c>
      <c r="Q46" s="285">
        <f t="shared" si="1"/>
        <v>0.7139976596743377</v>
      </c>
      <c r="R46" s="17">
        <f t="shared" si="2"/>
        <v>1040000</v>
      </c>
      <c r="S46" s="285">
        <f t="shared" si="3"/>
        <v>1.375106603817243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>
        <f>mar!R47</f>
        <v>0</v>
      </c>
      <c r="O47" s="111">
        <f t="shared" si="0"/>
        <v>0</v>
      </c>
      <c r="P47" s="115"/>
      <c r="Q47" s="286">
        <f t="shared" si="1"/>
        <v>0</v>
      </c>
      <c r="R47" s="19">
        <f t="shared" si="2"/>
        <v>0</v>
      </c>
      <c r="S47" s="286">
        <f t="shared" si="3"/>
        <v>0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f>mar!R48</f>
        <v>500000</v>
      </c>
      <c r="O48" s="111">
        <f t="shared" si="0"/>
        <v>5.9523809523809517</v>
      </c>
      <c r="P48" s="116">
        <v>540000</v>
      </c>
      <c r="Q48" s="286">
        <f t="shared" si="1"/>
        <v>6.4285714285714279</v>
      </c>
      <c r="R48" s="19">
        <f t="shared" si="2"/>
        <v>1040000</v>
      </c>
      <c r="S48" s="286">
        <f t="shared" si="3"/>
        <v>12.380952380952381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f>mar!R49</f>
        <v>0</v>
      </c>
      <c r="O49" s="111">
        <f t="shared" si="0"/>
        <v>0</v>
      </c>
      <c r="P49" s="116"/>
      <c r="Q49" s="286">
        <f t="shared" si="1"/>
        <v>0</v>
      </c>
      <c r="R49" s="19">
        <f t="shared" si="2"/>
        <v>0</v>
      </c>
      <c r="S49" s="286">
        <f t="shared" si="3"/>
        <v>0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1500000</v>
      </c>
      <c r="O50" s="6">
        <f t="shared" si="0"/>
        <v>5.7581573896353166</v>
      </c>
      <c r="P50" s="114">
        <f>P51</f>
        <v>0</v>
      </c>
      <c r="Q50" s="285">
        <f t="shared" si="1"/>
        <v>0</v>
      </c>
      <c r="R50" s="17">
        <f t="shared" si="2"/>
        <v>1500000</v>
      </c>
      <c r="S50" s="285">
        <f t="shared" si="3"/>
        <v>5.7581573896353166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f>mar!R51</f>
        <v>1500000</v>
      </c>
      <c r="O51" s="111">
        <f t="shared" si="0"/>
        <v>5.7581573896353166</v>
      </c>
      <c r="P51" s="113"/>
      <c r="Q51" s="286">
        <f t="shared" si="1"/>
        <v>0</v>
      </c>
      <c r="R51" s="19">
        <f t="shared" si="2"/>
        <v>1500000</v>
      </c>
      <c r="S51" s="286">
        <f t="shared" si="3"/>
        <v>5.7581573896353166</v>
      </c>
      <c r="T51" s="802">
        <v>0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f>mar!R53</f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6196716</v>
      </c>
      <c r="O54" s="6">
        <f t="shared" si="0"/>
        <v>29.510981998285551</v>
      </c>
      <c r="P54" s="17">
        <f>P55+P56</f>
        <v>0</v>
      </c>
      <c r="Q54" s="285">
        <f t="shared" si="1"/>
        <v>0</v>
      </c>
      <c r="R54" s="17">
        <f t="shared" si="2"/>
        <v>6196716</v>
      </c>
      <c r="S54" s="285">
        <f t="shared" si="3"/>
        <v>29.510981998285551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f>mar!R55</f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f>mar!R56</f>
        <v>6196716</v>
      </c>
      <c r="O56" s="111">
        <f t="shared" si="0"/>
        <v>37.56040732209965</v>
      </c>
      <c r="P56" s="19"/>
      <c r="Q56" s="286">
        <f t="shared" si="1"/>
        <v>0</v>
      </c>
      <c r="R56" s="19">
        <f t="shared" si="2"/>
        <v>6196716</v>
      </c>
      <c r="S56" s="286">
        <f t="shared" si="3"/>
        <v>37.56040732209965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10000000</v>
      </c>
      <c r="O57" s="6">
        <f t="shared" si="0"/>
        <v>35.714285714285715</v>
      </c>
      <c r="P57" s="17">
        <f>P58</f>
        <v>0</v>
      </c>
      <c r="Q57" s="285">
        <f t="shared" si="1"/>
        <v>0</v>
      </c>
      <c r="R57" s="17">
        <f t="shared" si="2"/>
        <v>10000000</v>
      </c>
      <c r="S57" s="285">
        <f t="shared" si="3"/>
        <v>35.714285714285715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f>mar!R58</f>
        <v>10000000</v>
      </c>
      <c r="O58" s="111">
        <f t="shared" si="0"/>
        <v>35.714285714285715</v>
      </c>
      <c r="P58" s="19"/>
      <c r="Q58" s="286">
        <f t="shared" si="1"/>
        <v>0</v>
      </c>
      <c r="R58" s="19">
        <f t="shared" si="2"/>
        <v>10000000</v>
      </c>
      <c r="S58" s="286">
        <f t="shared" si="3"/>
        <v>35.714285714285715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367</v>
      </c>
      <c r="L59" s="12"/>
      <c r="M59" s="17">
        <f>SUM(M60:M63)</f>
        <v>33500000</v>
      </c>
      <c r="N59" s="17">
        <f>SUM(N60:N63)</f>
        <v>11950000</v>
      </c>
      <c r="O59" s="6">
        <f t="shared" si="0"/>
        <v>35.671641791044777</v>
      </c>
      <c r="P59" s="17">
        <f>SUM(P60:P63)</f>
        <v>500000</v>
      </c>
      <c r="Q59" s="285">
        <f t="shared" si="1"/>
        <v>1.4925373134328357</v>
      </c>
      <c r="R59" s="17">
        <f t="shared" si="2"/>
        <v>12450000</v>
      </c>
      <c r="S59" s="285">
        <f t="shared" si="3"/>
        <v>37.164179104477611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f>mar!R60</f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>
        <f>mar!R61</f>
        <v>10450000</v>
      </c>
      <c r="O61" s="111">
        <f t="shared" si="0"/>
        <v>99.523809523809518</v>
      </c>
      <c r="P61" s="19"/>
      <c r="Q61" s="286">
        <f t="shared" si="1"/>
        <v>0</v>
      </c>
      <c r="R61" s="19">
        <f t="shared" si="2"/>
        <v>10450000</v>
      </c>
      <c r="S61" s="286">
        <f t="shared" si="3"/>
        <v>99.523809523809518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>
        <f>mar!R62</f>
        <v>0</v>
      </c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f>mar!R63</f>
        <v>1500000</v>
      </c>
      <c r="O63" s="111">
        <f t="shared" si="0"/>
        <v>13.636363636363635</v>
      </c>
      <c r="P63" s="19">
        <v>500000</v>
      </c>
      <c r="Q63" s="286">
        <f t="shared" si="1"/>
        <v>4.5454545454545459</v>
      </c>
      <c r="R63" s="19">
        <f t="shared" si="2"/>
        <v>2000000</v>
      </c>
      <c r="S63" s="286">
        <f t="shared" si="3"/>
        <v>18.181818181818183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SUM(N65:N67)</f>
        <v>6300000</v>
      </c>
      <c r="O64" s="6">
        <f t="shared" si="0"/>
        <v>66.315789473684205</v>
      </c>
      <c r="P64" s="17">
        <f>P67</f>
        <v>0</v>
      </c>
      <c r="Q64" s="285">
        <f t="shared" si="1"/>
        <v>0</v>
      </c>
      <c r="R64" s="17">
        <f t="shared" si="2"/>
        <v>6300000</v>
      </c>
      <c r="S64" s="285">
        <f t="shared" si="3"/>
        <v>66.315789473684205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>
        <f>mar!R65</f>
        <v>1300000</v>
      </c>
      <c r="O65" s="111">
        <f t="shared" si="0"/>
        <v>43.333333333333336</v>
      </c>
      <c r="P65" s="19"/>
      <c r="Q65" s="286">
        <f t="shared" si="1"/>
        <v>0</v>
      </c>
      <c r="R65" s="19">
        <f t="shared" si="2"/>
        <v>1300000</v>
      </c>
      <c r="S65" s="286">
        <f t="shared" si="3"/>
        <v>43.333333333333336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>
        <f>mar!R66</f>
        <v>5000000</v>
      </c>
      <c r="O66" s="111">
        <f t="shared" si="0"/>
        <v>100</v>
      </c>
      <c r="P66" s="19"/>
      <c r="Q66" s="286">
        <f t="shared" si="1"/>
        <v>0</v>
      </c>
      <c r="R66" s="19">
        <f t="shared" si="2"/>
        <v>5000000</v>
      </c>
      <c r="S66" s="286">
        <f t="shared" si="3"/>
        <v>100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>
        <f>mar!R67</f>
        <v>0</v>
      </c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 ht="33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500000</v>
      </c>
      <c r="O68" s="6">
        <f t="shared" si="0"/>
        <v>1.4705882352941175</v>
      </c>
      <c r="P68" s="17">
        <f>P69+P70</f>
        <v>0</v>
      </c>
      <c r="Q68" s="285">
        <f t="shared" si="1"/>
        <v>0</v>
      </c>
      <c r="R68" s="17">
        <f t="shared" si="2"/>
        <v>500000</v>
      </c>
      <c r="S68" s="285">
        <f t="shared" si="3"/>
        <v>1.4705882352941175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f>mar!R69</f>
        <v>500000</v>
      </c>
      <c r="O69" s="111">
        <f t="shared" si="0"/>
        <v>3.4722222222222223</v>
      </c>
      <c r="P69" s="19"/>
      <c r="Q69" s="286">
        <f t="shared" si="1"/>
        <v>0</v>
      </c>
      <c r="R69" s="19">
        <f t="shared" si="2"/>
        <v>500000</v>
      </c>
      <c r="S69" s="286">
        <f t="shared" si="3"/>
        <v>3.4722222222222223</v>
      </c>
      <c r="T69" s="801">
        <v>0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f>mar!R70</f>
        <v>0</v>
      </c>
      <c r="O70" s="111">
        <f t="shared" si="0"/>
        <v>0</v>
      </c>
      <c r="P70" s="19"/>
      <c r="Q70" s="286">
        <f t="shared" si="1"/>
        <v>0</v>
      </c>
      <c r="R70" s="19">
        <f t="shared" si="2"/>
        <v>0</v>
      </c>
      <c r="S70" s="286">
        <f t="shared" si="3"/>
        <v>0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0</v>
      </c>
      <c r="O71" s="6">
        <f t="shared" si="0"/>
        <v>0</v>
      </c>
      <c r="P71" s="17">
        <f>P72</f>
        <v>0</v>
      </c>
      <c r="Q71" s="285">
        <f t="shared" si="1"/>
        <v>0</v>
      </c>
      <c r="R71" s="17">
        <f t="shared" si="2"/>
        <v>0</v>
      </c>
      <c r="S71" s="285">
        <f t="shared" si="3"/>
        <v>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f>mar!R72</f>
        <v>0</v>
      </c>
      <c r="O72" s="111">
        <f t="shared" si="0"/>
        <v>0</v>
      </c>
      <c r="P72" s="19"/>
      <c r="Q72" s="286">
        <f t="shared" si="1"/>
        <v>0</v>
      </c>
      <c r="R72" s="19">
        <f t="shared" si="2"/>
        <v>0</v>
      </c>
      <c r="S72" s="286">
        <f t="shared" si="3"/>
        <v>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500000</v>
      </c>
      <c r="O73" s="6">
        <f t="shared" si="0"/>
        <v>100</v>
      </c>
      <c r="P73" s="17">
        <f>P74</f>
        <v>0</v>
      </c>
      <c r="Q73" s="285">
        <f t="shared" si="1"/>
        <v>0</v>
      </c>
      <c r="R73" s="17">
        <f t="shared" si="2"/>
        <v>500000</v>
      </c>
      <c r="S73" s="285">
        <f t="shared" si="3"/>
        <v>100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f>mar!R74</f>
        <v>500000</v>
      </c>
      <c r="O74" s="111">
        <f t="shared" si="0"/>
        <v>100</v>
      </c>
      <c r="P74" s="19"/>
      <c r="Q74" s="286">
        <f t="shared" si="1"/>
        <v>0</v>
      </c>
      <c r="R74" s="19">
        <f t="shared" si="2"/>
        <v>500000</v>
      </c>
      <c r="S74" s="286">
        <f t="shared" si="3"/>
        <v>100</v>
      </c>
      <c r="T74" s="801">
        <v>0</v>
      </c>
      <c r="U74" s="11"/>
      <c r="V74" s="11"/>
    </row>
    <row r="75" spans="1:22" ht="7.5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9">
        <f>mar!R75</f>
        <v>0</v>
      </c>
      <c r="O75" s="5"/>
      <c r="P75" s="5"/>
      <c r="Q75" s="286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34872500</v>
      </c>
      <c r="O76" s="6">
        <f t="shared" si="0"/>
        <v>27.547094096560375</v>
      </c>
      <c r="P76" s="17">
        <f>P77+P79+P82+P84+P86</f>
        <v>0</v>
      </c>
      <c r="Q76" s="285">
        <f t="shared" si="1"/>
        <v>0</v>
      </c>
      <c r="R76" s="17">
        <f t="shared" si="2"/>
        <v>34872500</v>
      </c>
      <c r="S76" s="285">
        <f t="shared" si="3"/>
        <v>27.547094096560375</v>
      </c>
      <c r="T76" s="800">
        <f>SUM(T78:T89)/8</f>
        <v>0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9985000</v>
      </c>
      <c r="O77" s="6">
        <f t="shared" si="0"/>
        <v>90.772727272727266</v>
      </c>
      <c r="P77" s="17">
        <f>P78</f>
        <v>0</v>
      </c>
      <c r="Q77" s="285">
        <f t="shared" si="1"/>
        <v>0</v>
      </c>
      <c r="R77" s="17">
        <f t="shared" si="2"/>
        <v>9985000</v>
      </c>
      <c r="S77" s="285">
        <f t="shared" si="3"/>
        <v>90.772727272727266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f>mar!R78</f>
        <v>9985000</v>
      </c>
      <c r="O78" s="111">
        <f t="shared" si="0"/>
        <v>90.772727272727266</v>
      </c>
      <c r="P78" s="19"/>
      <c r="Q78" s="286">
        <f t="shared" si="1"/>
        <v>0</v>
      </c>
      <c r="R78" s="19">
        <f t="shared" si="2"/>
        <v>9985000</v>
      </c>
      <c r="S78" s="286">
        <f t="shared" si="3"/>
        <v>90.772727272727266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15000000</v>
      </c>
      <c r="O79" s="6">
        <f t="shared" si="0"/>
        <v>73.170731707317074</v>
      </c>
      <c r="P79" s="17">
        <f>SUM(P80:P81)</f>
        <v>0</v>
      </c>
      <c r="Q79" s="285">
        <f t="shared" si="1"/>
        <v>0</v>
      </c>
      <c r="R79" s="17">
        <f t="shared" si="2"/>
        <v>15000000</v>
      </c>
      <c r="S79" s="285">
        <f t="shared" si="3"/>
        <v>73.170731707317074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f>mar!R80</f>
        <v>15000000</v>
      </c>
      <c r="O80" s="111">
        <f t="shared" si="0"/>
        <v>100</v>
      </c>
      <c r="P80" s="19"/>
      <c r="Q80" s="286">
        <f t="shared" si="1"/>
        <v>0</v>
      </c>
      <c r="R80" s="19">
        <f t="shared" si="2"/>
        <v>15000000</v>
      </c>
      <c r="S80" s="286">
        <f t="shared" si="3"/>
        <v>100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>
        <f>mar!R81</f>
        <v>0</v>
      </c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>
        <f>mar!R83</f>
        <v>0</v>
      </c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>
        <f>mar!R85</f>
        <v>0</v>
      </c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SUM(N87:N89)</f>
        <v>9887500</v>
      </c>
      <c r="O86" s="6">
        <f>N86/M86*100</f>
        <v>39.294272872148063</v>
      </c>
      <c r="P86" s="17">
        <f>SUM(P89:P90)</f>
        <v>0</v>
      </c>
      <c r="Q86" s="285">
        <f>P86/M86*100</f>
        <v>0</v>
      </c>
      <c r="R86" s="17">
        <f>N86+P86</f>
        <v>9887500</v>
      </c>
      <c r="S86" s="285">
        <f>R86/M86*100</f>
        <v>39.294272872148063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>
        <f>mar!R87</f>
        <v>7987500</v>
      </c>
      <c r="O87" s="111">
        <f t="shared" ref="O87:O88" si="4">N87/M87*100</f>
        <v>97.853651365357052</v>
      </c>
      <c r="P87" s="19"/>
      <c r="Q87" s="286">
        <f t="shared" ref="Q87:Q88" si="5">P87/M87*100</f>
        <v>0</v>
      </c>
      <c r="R87" s="19">
        <f t="shared" ref="R87:R88" si="6">N87+P87</f>
        <v>7987500</v>
      </c>
      <c r="S87" s="286">
        <f t="shared" ref="S87:S88" si="7">R87/M87*100</f>
        <v>97.853651365357052</v>
      </c>
      <c r="T87" s="803">
        <v>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>
        <f>mar!R88</f>
        <v>0</v>
      </c>
      <c r="O88" s="111">
        <f t="shared" si="4"/>
        <v>0</v>
      </c>
      <c r="P88" s="19"/>
      <c r="Q88" s="286">
        <f t="shared" si="5"/>
        <v>0</v>
      </c>
      <c r="R88" s="19">
        <f t="shared" si="6"/>
        <v>0</v>
      </c>
      <c r="S88" s="286">
        <f t="shared" si="7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>
        <f>mar!R89</f>
        <v>1900000</v>
      </c>
      <c r="O89" s="111">
        <f>N89/M89*100</f>
        <v>95</v>
      </c>
      <c r="P89" s="19"/>
      <c r="Q89" s="286">
        <f>P89/M89*100</f>
        <v>0</v>
      </c>
      <c r="R89" s="19">
        <f>N89+P89</f>
        <v>1900000</v>
      </c>
      <c r="S89" s="286">
        <f>R89/M89*100</f>
        <v>95</v>
      </c>
      <c r="T89" s="803">
        <v>0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675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21.7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21.7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</mergeCells>
  <pageMargins left="0.45" right="0.25" top="0.75" bottom="0.25" header="0.3" footer="0.3"/>
  <pageSetup paperSize="5" scale="57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2"/>
  <sheetViews>
    <sheetView view="pageBreakPreview" zoomScale="60" workbookViewId="0">
      <selection activeCell="M25" sqref="M25"/>
    </sheetView>
  </sheetViews>
  <sheetFormatPr defaultRowHeight="16.5"/>
  <cols>
    <col min="1" max="1" width="2.140625" style="24" bestFit="1" customWidth="1"/>
    <col min="2" max="3" width="3.28515625" style="24" bestFit="1" customWidth="1"/>
    <col min="4" max="4" width="4" style="24" customWidth="1"/>
    <col min="5" max="5" width="3.28515625" style="24" bestFit="1" customWidth="1"/>
    <col min="6" max="6" width="2.5703125" style="24" customWidth="1"/>
    <col min="7" max="7" width="2.85546875" style="24" customWidth="1"/>
    <col min="8" max="8" width="3.5703125" style="24" customWidth="1"/>
    <col min="9" max="9" width="3.28515625" style="24" bestFit="1" customWidth="1"/>
    <col min="10" max="10" width="3.7109375" style="24" customWidth="1"/>
    <col min="11" max="11" width="68.28515625" style="24" customWidth="1"/>
    <col min="12" max="12" width="10.85546875" style="24" customWidth="1"/>
    <col min="13" max="13" width="17.140625" style="24" customWidth="1"/>
    <col min="14" max="14" width="17.28515625" style="24" customWidth="1"/>
    <col min="15" max="15" width="10.42578125" style="24" customWidth="1"/>
    <col min="16" max="16" width="17.85546875" style="117" customWidth="1"/>
    <col min="17" max="17" width="10.140625" style="24" customWidth="1"/>
    <col min="18" max="18" width="17.5703125" style="24" customWidth="1"/>
    <col min="19" max="19" width="10.28515625" style="24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684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661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2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793" t="s">
        <v>15</v>
      </c>
      <c r="O9" s="793" t="s">
        <v>16</v>
      </c>
      <c r="P9" s="793" t="s">
        <v>15</v>
      </c>
      <c r="Q9" s="793" t="s">
        <v>16</v>
      </c>
      <c r="R9" s="794" t="s">
        <v>15</v>
      </c>
      <c r="S9" s="794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795" t="s">
        <v>685</v>
      </c>
      <c r="M10" s="796"/>
      <c r="N10" s="796"/>
      <c r="O10" s="796"/>
      <c r="P10" s="794"/>
      <c r="Q10" s="794"/>
      <c r="R10" s="794"/>
      <c r="S10" s="794"/>
      <c r="T10" s="799"/>
      <c r="U10" s="794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795" t="s">
        <v>19</v>
      </c>
      <c r="M11" s="796"/>
      <c r="N11" s="796"/>
      <c r="O11" s="796"/>
      <c r="P11" s="794"/>
      <c r="Q11" s="794"/>
      <c r="R11" s="794"/>
      <c r="S11" s="794"/>
      <c r="T11" s="799"/>
      <c r="U11" s="794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M13+M18+M76</f>
        <v>1836864000</v>
      </c>
      <c r="N12" s="5">
        <f>N13+N18+N76</f>
        <v>408531456</v>
      </c>
      <c r="O12" s="6">
        <f>N12/M12*100</f>
        <v>22.240702414550015</v>
      </c>
      <c r="P12" s="5">
        <f>P13+P18+P76</f>
        <v>65963120</v>
      </c>
      <c r="Q12" s="285">
        <f>P12/M12*100</f>
        <v>3.591072610710428</v>
      </c>
      <c r="R12" s="5">
        <f>R13+R18+R76</f>
        <v>474494576</v>
      </c>
      <c r="S12" s="285">
        <f>R12/M12*100</f>
        <v>25.831775025260445</v>
      </c>
      <c r="T12" s="800">
        <f>T13+T18+T76/3</f>
        <v>10.481997677119626</v>
      </c>
      <c r="U12" s="12"/>
      <c r="V12" s="11"/>
    </row>
    <row r="13" spans="1:26">
      <c r="A13" s="561">
        <v>1</v>
      </c>
      <c r="B13" s="291" t="s">
        <v>17</v>
      </c>
      <c r="C13" s="291" t="s">
        <v>18</v>
      </c>
      <c r="D13" s="292">
        <v>38</v>
      </c>
      <c r="E13" s="291" t="s">
        <v>25</v>
      </c>
      <c r="F13" s="292">
        <v>5</v>
      </c>
      <c r="G13" s="292">
        <v>2</v>
      </c>
      <c r="H13" s="292">
        <v>1</v>
      </c>
      <c r="I13" s="292"/>
      <c r="J13" s="293"/>
      <c r="K13" s="295" t="s">
        <v>22</v>
      </c>
      <c r="L13" s="7"/>
      <c r="M13" s="5">
        <f>M15</f>
        <v>1102118400</v>
      </c>
      <c r="N13" s="5">
        <f>N15</f>
        <v>311756940</v>
      </c>
      <c r="O13" s="6">
        <f>N13/M13*100</f>
        <v>28.287064257342948</v>
      </c>
      <c r="P13" s="5">
        <f>P15</f>
        <v>140220</v>
      </c>
      <c r="Q13" s="285">
        <f>P13/M13*100</f>
        <v>1.2722770983589421E-2</v>
      </c>
      <c r="R13" s="5">
        <f>R15</f>
        <v>311897160</v>
      </c>
      <c r="S13" s="285">
        <f>R13/M13*100</f>
        <v>28.299787028326541</v>
      </c>
      <c r="T13" s="800">
        <f>T15</f>
        <v>8.3333333333333321</v>
      </c>
      <c r="U13" s="296"/>
      <c r="V13" s="11"/>
    </row>
    <row r="14" spans="1:26" ht="7.5" customHeight="1">
      <c r="A14" s="561"/>
      <c r="B14" s="291"/>
      <c r="C14" s="291"/>
      <c r="D14" s="291"/>
      <c r="E14" s="291"/>
      <c r="F14" s="291"/>
      <c r="G14" s="292"/>
      <c r="H14" s="292"/>
      <c r="I14" s="292"/>
      <c r="J14" s="293"/>
      <c r="K14" s="295"/>
      <c r="L14" s="4"/>
      <c r="M14" s="5"/>
      <c r="N14" s="5"/>
      <c r="O14" s="5"/>
      <c r="P14" s="5"/>
      <c r="Q14" s="286"/>
      <c r="R14" s="5"/>
      <c r="S14" s="285"/>
      <c r="T14" s="800"/>
      <c r="U14" s="11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311756940</v>
      </c>
      <c r="O15" s="6">
        <f t="shared" ref="O15:O85" si="0">N15/M15*100</f>
        <v>28.287064257342948</v>
      </c>
      <c r="P15" s="5">
        <f>P16</f>
        <v>140220</v>
      </c>
      <c r="Q15" s="285">
        <f t="shared" ref="Q15:Q85" si="1">P15/M15*100</f>
        <v>1.2722770983589421E-2</v>
      </c>
      <c r="R15" s="17">
        <f t="shared" ref="R15:R85" si="2">N15+P15</f>
        <v>311897160</v>
      </c>
      <c r="S15" s="285">
        <f t="shared" ref="S15:S85" si="3">R15/M15*100</f>
        <v>28.299787028326541</v>
      </c>
      <c r="T15" s="800">
        <f>T16</f>
        <v>8.3333333333333321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f>apr!R16</f>
        <v>311756940</v>
      </c>
      <c r="O16" s="111">
        <f t="shared" si="0"/>
        <v>28.287064257342948</v>
      </c>
      <c r="P16" s="9">
        <v>140220</v>
      </c>
      <c r="Q16" s="286">
        <f t="shared" si="1"/>
        <v>1.2722770983589421E-2</v>
      </c>
      <c r="R16" s="19">
        <f t="shared" si="2"/>
        <v>311897160</v>
      </c>
      <c r="S16" s="286">
        <f t="shared" si="3"/>
        <v>28.299787028326541</v>
      </c>
      <c r="T16" s="801">
        <f>1/12*100</f>
        <v>8.3333333333333321</v>
      </c>
      <c r="U16" s="11"/>
      <c r="V16" s="11"/>
    </row>
    <row r="17" spans="1:22" ht="7.5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6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N19+N32+N35+N46+N52+N54+N57+N59+N64+N68+N73+N40+N42+N50+N71</f>
        <v>61902016</v>
      </c>
      <c r="O18" s="6">
        <f t="shared" si="0"/>
        <v>10.178686196391601</v>
      </c>
      <c r="P18" s="5">
        <f>P19+P32+P35+P46+P52+P54+P57+P59+P64+P68+P73</f>
        <v>65822900</v>
      </c>
      <c r="Q18" s="285">
        <f t="shared" si="1"/>
        <v>10.823405874801633</v>
      </c>
      <c r="R18" s="17">
        <f t="shared" si="2"/>
        <v>127724916</v>
      </c>
      <c r="S18" s="285">
        <f t="shared" si="3"/>
        <v>21.002092071193236</v>
      </c>
      <c r="T18" s="800">
        <f>SUM(T20:T74)/41</f>
        <v>2.1486643437862947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19043900</v>
      </c>
      <c r="O19" s="6">
        <f t="shared" si="0"/>
        <v>7.7523011966385349</v>
      </c>
      <c r="P19" s="5">
        <f>SUM(P20:P31)</f>
        <v>700000</v>
      </c>
      <c r="Q19" s="285">
        <f t="shared" si="1"/>
        <v>0.28495270599231115</v>
      </c>
      <c r="R19" s="17">
        <f>N19+P19</f>
        <v>19743900</v>
      </c>
      <c r="S19" s="285">
        <f t="shared" si="3"/>
        <v>8.0372539026308463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f>apr!R20</f>
        <v>13994900</v>
      </c>
      <c r="O20" s="111">
        <f t="shared" si="0"/>
        <v>50.107412154759437</v>
      </c>
      <c r="P20" s="115"/>
      <c r="Q20" s="286">
        <f t="shared" si="1"/>
        <v>0</v>
      </c>
      <c r="R20" s="19">
        <f t="shared" si="2"/>
        <v>13994900</v>
      </c>
      <c r="S20" s="286">
        <f t="shared" si="3"/>
        <v>50.107412154759437</v>
      </c>
      <c r="T20" s="801">
        <v>0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f>apr!R21</f>
        <v>1698000</v>
      </c>
      <c r="O21" s="111">
        <f t="shared" si="0"/>
        <v>97.028571428571425</v>
      </c>
      <c r="P21" s="115"/>
      <c r="Q21" s="286">
        <f t="shared" si="1"/>
        <v>0</v>
      </c>
      <c r="R21" s="19">
        <f t="shared" si="2"/>
        <v>1698000</v>
      </c>
      <c r="S21" s="286">
        <f t="shared" si="3"/>
        <v>97.028571428571425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f>apr!R22</f>
        <v>1500000</v>
      </c>
      <c r="O22" s="111">
        <f t="shared" si="0"/>
        <v>71.428571428571431</v>
      </c>
      <c r="P22" s="115"/>
      <c r="Q22" s="286">
        <f t="shared" si="1"/>
        <v>0</v>
      </c>
      <c r="R22" s="19">
        <f t="shared" si="2"/>
        <v>1500000</v>
      </c>
      <c r="S22" s="286">
        <f t="shared" si="3"/>
        <v>71.428571428571431</v>
      </c>
      <c r="T22" s="801">
        <f>S22</f>
        <v>71.428571428571431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>
        <f>apr!R23</f>
        <v>0</v>
      </c>
      <c r="O23" s="111">
        <f t="shared" si="0"/>
        <v>0</v>
      </c>
      <c r="P23" s="115"/>
      <c r="Q23" s="286">
        <f t="shared" si="1"/>
        <v>0</v>
      </c>
      <c r="R23" s="19">
        <f t="shared" si="2"/>
        <v>0</v>
      </c>
      <c r="S23" s="286">
        <f t="shared" si="3"/>
        <v>0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>
        <f>apr!R24</f>
        <v>0</v>
      </c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>
        <f>apr!R25</f>
        <v>175000</v>
      </c>
      <c r="O25" s="111">
        <f t="shared" si="0"/>
        <v>17.5</v>
      </c>
      <c r="P25" s="115"/>
      <c r="Q25" s="286">
        <f t="shared" si="1"/>
        <v>0</v>
      </c>
      <c r="R25" s="19">
        <f t="shared" si="2"/>
        <v>175000</v>
      </c>
      <c r="S25" s="286">
        <f t="shared" si="3"/>
        <v>17.5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f>apr!R26</f>
        <v>938000</v>
      </c>
      <c r="O26" s="111">
        <f t="shared" si="0"/>
        <v>5.2402234636871503</v>
      </c>
      <c r="P26" s="115">
        <v>450000</v>
      </c>
      <c r="Q26" s="286">
        <f t="shared" si="1"/>
        <v>2.5139664804469275</v>
      </c>
      <c r="R26" s="19">
        <f t="shared" si="2"/>
        <v>1388000</v>
      </c>
      <c r="S26" s="286">
        <f t="shared" si="3"/>
        <v>7.7541899441340778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>
        <f>apr!R27</f>
        <v>0</v>
      </c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>
        <f>apr!R28</f>
        <v>738000</v>
      </c>
      <c r="O28" s="111">
        <f t="shared" si="0"/>
        <v>11.53125</v>
      </c>
      <c r="P28" s="115">
        <v>250000</v>
      </c>
      <c r="Q28" s="286">
        <f t="shared" si="1"/>
        <v>3.90625</v>
      </c>
      <c r="R28" s="19">
        <f t="shared" si="2"/>
        <v>988000</v>
      </c>
      <c r="S28" s="286">
        <f t="shared" si="3"/>
        <v>15.437500000000002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>
        <f>apr!R29</f>
        <v>0</v>
      </c>
      <c r="O29" s="111">
        <f t="shared" si="0"/>
        <v>0</v>
      </c>
      <c r="P29" s="564"/>
      <c r="Q29" s="286">
        <f t="shared" si="1"/>
        <v>0</v>
      </c>
      <c r="R29" s="19"/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>
        <f>apr!R30</f>
        <v>0</v>
      </c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>
        <f>apr!R31</f>
        <v>0</v>
      </c>
      <c r="O31" s="111">
        <f t="shared" si="0"/>
        <v>0</v>
      </c>
      <c r="P31" s="115"/>
      <c r="Q31" s="286">
        <f t="shared" si="1"/>
        <v>0</v>
      </c>
      <c r="R31" s="19">
        <f t="shared" si="2"/>
        <v>0</v>
      </c>
      <c r="S31" s="286">
        <f t="shared" si="3"/>
        <v>0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SUM(N33:N34)</f>
        <v>3438000</v>
      </c>
      <c r="O32" s="6">
        <f t="shared" si="0"/>
        <v>5.6583278472679392</v>
      </c>
      <c r="P32" s="5">
        <f>SUM(P34:P34)</f>
        <v>480000</v>
      </c>
      <c r="Q32" s="285">
        <f t="shared" si="1"/>
        <v>0.78999341672152734</v>
      </c>
      <c r="R32" s="17">
        <f t="shared" si="2"/>
        <v>3918000</v>
      </c>
      <c r="S32" s="285">
        <f t="shared" si="3"/>
        <v>6.4483212639894667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9">
        <f>apr!R33</f>
        <v>0</v>
      </c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f>apr!R34</f>
        <v>3438000</v>
      </c>
      <c r="O34" s="111">
        <f t="shared" si="0"/>
        <v>23.292682926829269</v>
      </c>
      <c r="P34" s="115">
        <v>480000</v>
      </c>
      <c r="Q34" s="286">
        <f t="shared" si="1"/>
        <v>3.2520325203252036</v>
      </c>
      <c r="R34" s="19">
        <f t="shared" si="2"/>
        <v>3918000</v>
      </c>
      <c r="S34" s="286">
        <f t="shared" si="3"/>
        <v>26.54471544715447</v>
      </c>
      <c r="T34" s="801">
        <f>1/12*100</f>
        <v>8.3333333333333321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933400</v>
      </c>
      <c r="O35" s="6">
        <f t="shared" si="0"/>
        <v>2.5118406889128093</v>
      </c>
      <c r="P35" s="5">
        <f>SUM(P36:P39)</f>
        <v>2900</v>
      </c>
      <c r="Q35" s="285">
        <f t="shared" si="1"/>
        <v>7.8040904198062432E-3</v>
      </c>
      <c r="R35" s="17">
        <f t="shared" si="2"/>
        <v>936300</v>
      </c>
      <c r="S35" s="285">
        <f t="shared" si="3"/>
        <v>2.5196447793326158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f>apr!R36</f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f>apr!R37</f>
        <v>13400</v>
      </c>
      <c r="O37" s="111">
        <f t="shared" si="0"/>
        <v>2.3928571428571428</v>
      </c>
      <c r="P37" s="115">
        <v>2900</v>
      </c>
      <c r="Q37" s="286">
        <f t="shared" si="1"/>
        <v>0.51785714285714279</v>
      </c>
      <c r="R37" s="19">
        <f t="shared" si="2"/>
        <v>16300</v>
      </c>
      <c r="S37" s="286">
        <f t="shared" si="3"/>
        <v>2.9107142857142856</v>
      </c>
      <c r="T37" s="801">
        <v>0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f>apr!R38</f>
        <v>920000</v>
      </c>
      <c r="O38" s="111">
        <f t="shared" si="0"/>
        <v>9.1999999999999993</v>
      </c>
      <c r="P38" s="115"/>
      <c r="Q38" s="286">
        <f t="shared" si="1"/>
        <v>0</v>
      </c>
      <c r="R38" s="19">
        <f t="shared" si="2"/>
        <v>920000</v>
      </c>
      <c r="S38" s="286">
        <f t="shared" si="3"/>
        <v>9.1999999999999993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f>apr!R39</f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</f>
        <v>0</v>
      </c>
      <c r="O40" s="6">
        <f t="shared" si="0"/>
        <v>0</v>
      </c>
      <c r="P40" s="5">
        <f>P41+P42+P43</f>
        <v>0</v>
      </c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>
        <f>apr!R41</f>
        <v>0</v>
      </c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0</v>
      </c>
      <c r="O42" s="6">
        <f t="shared" si="0"/>
        <v>0</v>
      </c>
      <c r="P42" s="5">
        <f>P43+P44+P45</f>
        <v>0</v>
      </c>
      <c r="Q42" s="285">
        <f t="shared" si="1"/>
        <v>0</v>
      </c>
      <c r="R42" s="17">
        <f t="shared" si="2"/>
        <v>0</v>
      </c>
      <c r="S42" s="285">
        <f t="shared" si="3"/>
        <v>0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>
        <f>apr!R43</f>
        <v>0</v>
      </c>
      <c r="O43" s="111">
        <f t="shared" si="0"/>
        <v>0</v>
      </c>
      <c r="P43" s="115"/>
      <c r="Q43" s="286">
        <f t="shared" si="1"/>
        <v>0</v>
      </c>
      <c r="R43" s="19">
        <f t="shared" si="2"/>
        <v>0</v>
      </c>
      <c r="S43" s="286">
        <f t="shared" si="3"/>
        <v>0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f>apr!R44</f>
        <v>0</v>
      </c>
      <c r="O44" s="111">
        <f t="shared" si="0"/>
        <v>0</v>
      </c>
      <c r="P44" s="116"/>
      <c r="Q44" s="286">
        <f t="shared" si="1"/>
        <v>0</v>
      </c>
      <c r="R44" s="19">
        <f t="shared" si="2"/>
        <v>0</v>
      </c>
      <c r="S44" s="286">
        <f t="shared" si="3"/>
        <v>0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f>apr!R45</f>
        <v>0</v>
      </c>
      <c r="O45" s="111">
        <f t="shared" si="0"/>
        <v>0</v>
      </c>
      <c r="P45" s="116"/>
      <c r="Q45" s="286">
        <f t="shared" si="1"/>
        <v>0</v>
      </c>
      <c r="R45" s="19">
        <f t="shared" si="2"/>
        <v>0</v>
      </c>
      <c r="S45" s="286">
        <f t="shared" si="3"/>
        <v>0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1040000</v>
      </c>
      <c r="O46" s="6">
        <f t="shared" si="0"/>
        <v>1.375106603817243</v>
      </c>
      <c r="P46" s="5">
        <f>P47+P48+P49</f>
        <v>64140000</v>
      </c>
      <c r="Q46" s="285">
        <f t="shared" si="1"/>
        <v>84.807055354651894</v>
      </c>
      <c r="R46" s="17">
        <f t="shared" si="2"/>
        <v>65180000</v>
      </c>
      <c r="S46" s="285">
        <f t="shared" si="3"/>
        <v>86.182161958469138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>
        <f>apr!R47</f>
        <v>0</v>
      </c>
      <c r="O47" s="111">
        <f t="shared" si="0"/>
        <v>0</v>
      </c>
      <c r="P47" s="115">
        <v>63500000</v>
      </c>
      <c r="Q47" s="286">
        <f t="shared" si="1"/>
        <v>96.606598154585768</v>
      </c>
      <c r="R47" s="19">
        <f t="shared" si="2"/>
        <v>63500000</v>
      </c>
      <c r="S47" s="286">
        <f t="shared" si="3"/>
        <v>96.606598154585768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f>apr!R48</f>
        <v>1040000</v>
      </c>
      <c r="O48" s="111">
        <f t="shared" si="0"/>
        <v>12.380952380952381</v>
      </c>
      <c r="P48" s="116">
        <v>640000</v>
      </c>
      <c r="Q48" s="286">
        <f t="shared" si="1"/>
        <v>7.6190476190476195</v>
      </c>
      <c r="R48" s="19">
        <f t="shared" si="2"/>
        <v>1680000</v>
      </c>
      <c r="S48" s="286">
        <f t="shared" si="3"/>
        <v>20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f>apr!R49</f>
        <v>0</v>
      </c>
      <c r="O49" s="111">
        <f t="shared" si="0"/>
        <v>0</v>
      </c>
      <c r="P49" s="116"/>
      <c r="Q49" s="286">
        <f t="shared" si="1"/>
        <v>0</v>
      </c>
      <c r="R49" s="19">
        <f t="shared" si="2"/>
        <v>0</v>
      </c>
      <c r="S49" s="286">
        <f t="shared" si="3"/>
        <v>0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1500000</v>
      </c>
      <c r="O50" s="6">
        <f t="shared" si="0"/>
        <v>5.7581573896353166</v>
      </c>
      <c r="P50" s="114">
        <f>P51</f>
        <v>0</v>
      </c>
      <c r="Q50" s="285">
        <f t="shared" si="1"/>
        <v>0</v>
      </c>
      <c r="R50" s="17">
        <f t="shared" si="2"/>
        <v>1500000</v>
      </c>
      <c r="S50" s="285">
        <f t="shared" si="3"/>
        <v>5.7581573896353166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f>apr!R51</f>
        <v>1500000</v>
      </c>
      <c r="O51" s="111">
        <f t="shared" si="0"/>
        <v>5.7581573896353166</v>
      </c>
      <c r="P51" s="113"/>
      <c r="Q51" s="286">
        <f t="shared" si="1"/>
        <v>0</v>
      </c>
      <c r="R51" s="19">
        <f t="shared" si="2"/>
        <v>1500000</v>
      </c>
      <c r="S51" s="286">
        <f t="shared" si="3"/>
        <v>5.7581573896353166</v>
      </c>
      <c r="T51" s="802">
        <v>0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f>apr!R53</f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6196716</v>
      </c>
      <c r="O54" s="6">
        <f t="shared" si="0"/>
        <v>29.510981998285551</v>
      </c>
      <c r="P54" s="17">
        <f>P55+P56</f>
        <v>0</v>
      </c>
      <c r="Q54" s="285">
        <f t="shared" si="1"/>
        <v>0</v>
      </c>
      <c r="R54" s="17">
        <f t="shared" si="2"/>
        <v>6196716</v>
      </c>
      <c r="S54" s="285">
        <f t="shared" si="3"/>
        <v>29.510981998285551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f>apr!R55</f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f>apr!R56</f>
        <v>6196716</v>
      </c>
      <c r="O56" s="111">
        <f t="shared" si="0"/>
        <v>37.56040732209965</v>
      </c>
      <c r="P56" s="19"/>
      <c r="Q56" s="286">
        <f t="shared" si="1"/>
        <v>0</v>
      </c>
      <c r="R56" s="19">
        <f t="shared" si="2"/>
        <v>6196716</v>
      </c>
      <c r="S56" s="286">
        <f t="shared" si="3"/>
        <v>37.56040732209965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10000000</v>
      </c>
      <c r="O57" s="6">
        <f t="shared" si="0"/>
        <v>35.714285714285715</v>
      </c>
      <c r="P57" s="17">
        <f>P58</f>
        <v>0</v>
      </c>
      <c r="Q57" s="285">
        <f t="shared" si="1"/>
        <v>0</v>
      </c>
      <c r="R57" s="17">
        <f t="shared" si="2"/>
        <v>10000000</v>
      </c>
      <c r="S57" s="285">
        <f t="shared" si="3"/>
        <v>35.714285714285715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f>apr!R58</f>
        <v>10000000</v>
      </c>
      <c r="O58" s="111">
        <f t="shared" si="0"/>
        <v>35.714285714285715</v>
      </c>
      <c r="P58" s="19"/>
      <c r="Q58" s="286">
        <f t="shared" si="1"/>
        <v>0</v>
      </c>
      <c r="R58" s="19">
        <f t="shared" si="2"/>
        <v>10000000</v>
      </c>
      <c r="S58" s="286">
        <f t="shared" si="3"/>
        <v>35.714285714285715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367</v>
      </c>
      <c r="L59" s="12"/>
      <c r="M59" s="17">
        <f>SUM(M60:M63)</f>
        <v>33500000</v>
      </c>
      <c r="N59" s="17">
        <f>SUM(N60:N63)</f>
        <v>12450000</v>
      </c>
      <c r="O59" s="6">
        <f t="shared" si="0"/>
        <v>37.164179104477611</v>
      </c>
      <c r="P59" s="17">
        <f>SUM(P60:P63)</f>
        <v>500000</v>
      </c>
      <c r="Q59" s="285">
        <f t="shared" si="1"/>
        <v>1.4925373134328357</v>
      </c>
      <c r="R59" s="17">
        <f t="shared" si="2"/>
        <v>12950000</v>
      </c>
      <c r="S59" s="285">
        <f t="shared" si="3"/>
        <v>38.656716417910445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f>apr!R60</f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>
        <f>apr!R61</f>
        <v>10450000</v>
      </c>
      <c r="O61" s="111">
        <f t="shared" si="0"/>
        <v>99.523809523809518</v>
      </c>
      <c r="P61" s="19"/>
      <c r="Q61" s="286">
        <f t="shared" si="1"/>
        <v>0</v>
      </c>
      <c r="R61" s="19">
        <f t="shared" si="2"/>
        <v>10450000</v>
      </c>
      <c r="S61" s="286">
        <f t="shared" si="3"/>
        <v>99.523809523809518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>
        <f>apr!R62</f>
        <v>0</v>
      </c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f>apr!R63</f>
        <v>2000000</v>
      </c>
      <c r="O63" s="111">
        <f t="shared" si="0"/>
        <v>18.181818181818183</v>
      </c>
      <c r="P63" s="19">
        <v>500000</v>
      </c>
      <c r="Q63" s="286">
        <f t="shared" si="1"/>
        <v>4.5454545454545459</v>
      </c>
      <c r="R63" s="19">
        <f t="shared" si="2"/>
        <v>2500000</v>
      </c>
      <c r="S63" s="286">
        <f t="shared" si="3"/>
        <v>22.727272727272727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SUM(N65:N67)</f>
        <v>6300000</v>
      </c>
      <c r="O64" s="6">
        <f t="shared" si="0"/>
        <v>66.315789473684205</v>
      </c>
      <c r="P64" s="17">
        <f>P67</f>
        <v>0</v>
      </c>
      <c r="Q64" s="285">
        <f t="shared" si="1"/>
        <v>0</v>
      </c>
      <c r="R64" s="17">
        <f t="shared" si="2"/>
        <v>6300000</v>
      </c>
      <c r="S64" s="285">
        <f t="shared" si="3"/>
        <v>66.315789473684205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>
        <f>apr!R65</f>
        <v>1300000</v>
      </c>
      <c r="O65" s="111">
        <f t="shared" si="0"/>
        <v>43.333333333333336</v>
      </c>
      <c r="P65" s="19"/>
      <c r="Q65" s="286">
        <f t="shared" si="1"/>
        <v>0</v>
      </c>
      <c r="R65" s="19">
        <f t="shared" si="2"/>
        <v>1300000</v>
      </c>
      <c r="S65" s="286">
        <f t="shared" si="3"/>
        <v>43.333333333333336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>
        <f>apr!R66</f>
        <v>5000000</v>
      </c>
      <c r="O66" s="111">
        <f t="shared" si="0"/>
        <v>100</v>
      </c>
      <c r="P66" s="19"/>
      <c r="Q66" s="286">
        <f t="shared" si="1"/>
        <v>0</v>
      </c>
      <c r="R66" s="19">
        <f t="shared" si="2"/>
        <v>5000000</v>
      </c>
      <c r="S66" s="286">
        <f t="shared" si="3"/>
        <v>100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>
        <f>apr!R67</f>
        <v>0</v>
      </c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 ht="33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500000</v>
      </c>
      <c r="O68" s="6">
        <f t="shared" si="0"/>
        <v>1.4705882352941175</v>
      </c>
      <c r="P68" s="17">
        <f>P69+P70</f>
        <v>0</v>
      </c>
      <c r="Q68" s="285">
        <f t="shared" si="1"/>
        <v>0</v>
      </c>
      <c r="R68" s="17">
        <f t="shared" si="2"/>
        <v>500000</v>
      </c>
      <c r="S68" s="285">
        <f t="shared" si="3"/>
        <v>1.4705882352941175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f>apr!R69</f>
        <v>500000</v>
      </c>
      <c r="O69" s="111">
        <f t="shared" si="0"/>
        <v>3.4722222222222223</v>
      </c>
      <c r="P69" s="19"/>
      <c r="Q69" s="286">
        <f t="shared" si="1"/>
        <v>0</v>
      </c>
      <c r="R69" s="19">
        <f t="shared" si="2"/>
        <v>500000</v>
      </c>
      <c r="S69" s="286">
        <f t="shared" si="3"/>
        <v>3.4722222222222223</v>
      </c>
      <c r="T69" s="801">
        <v>0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f>apr!R70</f>
        <v>0</v>
      </c>
      <c r="O70" s="111">
        <f t="shared" si="0"/>
        <v>0</v>
      </c>
      <c r="P70" s="19"/>
      <c r="Q70" s="286">
        <f t="shared" si="1"/>
        <v>0</v>
      </c>
      <c r="R70" s="19">
        <f t="shared" si="2"/>
        <v>0</v>
      </c>
      <c r="S70" s="286">
        <f t="shared" si="3"/>
        <v>0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0</v>
      </c>
      <c r="O71" s="6">
        <f t="shared" si="0"/>
        <v>0</v>
      </c>
      <c r="P71" s="17">
        <f>P72</f>
        <v>0</v>
      </c>
      <c r="Q71" s="285">
        <f t="shared" si="1"/>
        <v>0</v>
      </c>
      <c r="R71" s="17">
        <f t="shared" si="2"/>
        <v>0</v>
      </c>
      <c r="S71" s="285">
        <f t="shared" si="3"/>
        <v>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f>apr!R72</f>
        <v>0</v>
      </c>
      <c r="O72" s="111">
        <f t="shared" si="0"/>
        <v>0</v>
      </c>
      <c r="P72" s="19"/>
      <c r="Q72" s="286">
        <f t="shared" si="1"/>
        <v>0</v>
      </c>
      <c r="R72" s="19">
        <f t="shared" si="2"/>
        <v>0</v>
      </c>
      <c r="S72" s="286">
        <f t="shared" si="3"/>
        <v>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500000</v>
      </c>
      <c r="O73" s="6">
        <f t="shared" si="0"/>
        <v>100</v>
      </c>
      <c r="P73" s="17">
        <f>P74</f>
        <v>0</v>
      </c>
      <c r="Q73" s="285">
        <f t="shared" si="1"/>
        <v>0</v>
      </c>
      <c r="R73" s="17">
        <f t="shared" si="2"/>
        <v>500000</v>
      </c>
      <c r="S73" s="285">
        <f t="shared" si="3"/>
        <v>100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f>apr!R74</f>
        <v>500000</v>
      </c>
      <c r="O74" s="111">
        <f t="shared" si="0"/>
        <v>100</v>
      </c>
      <c r="P74" s="19"/>
      <c r="Q74" s="286">
        <f t="shared" si="1"/>
        <v>0</v>
      </c>
      <c r="R74" s="19">
        <f t="shared" si="2"/>
        <v>500000</v>
      </c>
      <c r="S74" s="286">
        <f t="shared" si="3"/>
        <v>100</v>
      </c>
      <c r="T74" s="801">
        <v>0</v>
      </c>
      <c r="U74" s="11"/>
      <c r="V74" s="11"/>
    </row>
    <row r="75" spans="1:22" ht="7.5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9">
        <f>apr!R75</f>
        <v>0</v>
      </c>
      <c r="O75" s="5"/>
      <c r="P75" s="5"/>
      <c r="Q75" s="286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34872500</v>
      </c>
      <c r="O76" s="6">
        <f t="shared" si="0"/>
        <v>27.547094096560375</v>
      </c>
      <c r="P76" s="17">
        <f>P77+P79+P82+P84+P86</f>
        <v>0</v>
      </c>
      <c r="Q76" s="285">
        <f t="shared" si="1"/>
        <v>0</v>
      </c>
      <c r="R76" s="17">
        <f t="shared" si="2"/>
        <v>34872500</v>
      </c>
      <c r="S76" s="285">
        <f t="shared" si="3"/>
        <v>27.547094096560375</v>
      </c>
      <c r="T76" s="800">
        <f>SUM(T78:T89)/8</f>
        <v>0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9985000</v>
      </c>
      <c r="O77" s="6">
        <f t="shared" si="0"/>
        <v>90.772727272727266</v>
      </c>
      <c r="P77" s="17">
        <f>P78</f>
        <v>0</v>
      </c>
      <c r="Q77" s="285">
        <f t="shared" si="1"/>
        <v>0</v>
      </c>
      <c r="R77" s="17">
        <f t="shared" si="2"/>
        <v>9985000</v>
      </c>
      <c r="S77" s="285">
        <f t="shared" si="3"/>
        <v>90.772727272727266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f>apr!R78</f>
        <v>9985000</v>
      </c>
      <c r="O78" s="111">
        <f t="shared" si="0"/>
        <v>90.772727272727266</v>
      </c>
      <c r="P78" s="19"/>
      <c r="Q78" s="286">
        <f t="shared" si="1"/>
        <v>0</v>
      </c>
      <c r="R78" s="19">
        <f t="shared" si="2"/>
        <v>9985000</v>
      </c>
      <c r="S78" s="286">
        <f t="shared" si="3"/>
        <v>90.772727272727266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15000000</v>
      </c>
      <c r="O79" s="6">
        <f t="shared" si="0"/>
        <v>73.170731707317074</v>
      </c>
      <c r="P79" s="17">
        <f>SUM(P80:P81)</f>
        <v>0</v>
      </c>
      <c r="Q79" s="285">
        <f t="shared" si="1"/>
        <v>0</v>
      </c>
      <c r="R79" s="17">
        <f t="shared" si="2"/>
        <v>15000000</v>
      </c>
      <c r="S79" s="285">
        <f t="shared" si="3"/>
        <v>73.170731707317074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f>apr!R80</f>
        <v>15000000</v>
      </c>
      <c r="O80" s="111">
        <f t="shared" si="0"/>
        <v>100</v>
      </c>
      <c r="P80" s="19"/>
      <c r="Q80" s="286">
        <f t="shared" si="1"/>
        <v>0</v>
      </c>
      <c r="R80" s="19">
        <f t="shared" si="2"/>
        <v>15000000</v>
      </c>
      <c r="S80" s="286">
        <f t="shared" si="3"/>
        <v>100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>
        <f>apr!R81</f>
        <v>0</v>
      </c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>
        <f>apr!R83</f>
        <v>0</v>
      </c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>
        <f>apr!R85</f>
        <v>0</v>
      </c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SUM(N87:N89)</f>
        <v>9887500</v>
      </c>
      <c r="O86" s="6">
        <f>N86/M86*100</f>
        <v>39.294272872148063</v>
      </c>
      <c r="P86" s="17">
        <f>SUM(P89:P90)</f>
        <v>0</v>
      </c>
      <c r="Q86" s="285">
        <f>P86/M86*100</f>
        <v>0</v>
      </c>
      <c r="R86" s="17">
        <f>N86+P86</f>
        <v>9887500</v>
      </c>
      <c r="S86" s="285">
        <f>R86/M86*100</f>
        <v>39.294272872148063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>
        <f>apr!R87</f>
        <v>7987500</v>
      </c>
      <c r="O87" s="111">
        <f t="shared" ref="O87:O88" si="4">N87/M87*100</f>
        <v>97.853651365357052</v>
      </c>
      <c r="P87" s="19"/>
      <c r="Q87" s="286">
        <f t="shared" ref="Q87:Q88" si="5">P87/M87*100</f>
        <v>0</v>
      </c>
      <c r="R87" s="19">
        <f t="shared" ref="R87:R88" si="6">N87+P87</f>
        <v>7987500</v>
      </c>
      <c r="S87" s="286">
        <f t="shared" ref="S87:S88" si="7">R87/M87*100</f>
        <v>97.853651365357052</v>
      </c>
      <c r="T87" s="803">
        <v>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>
        <f>apr!R88</f>
        <v>0</v>
      </c>
      <c r="O88" s="111">
        <f t="shared" si="4"/>
        <v>0</v>
      </c>
      <c r="P88" s="19"/>
      <c r="Q88" s="286">
        <f t="shared" si="5"/>
        <v>0</v>
      </c>
      <c r="R88" s="19">
        <f t="shared" si="6"/>
        <v>0</v>
      </c>
      <c r="S88" s="286">
        <f t="shared" si="7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>
        <f>apr!R89</f>
        <v>1900000</v>
      </c>
      <c r="O89" s="111">
        <f>N89/M89*100</f>
        <v>95</v>
      </c>
      <c r="P89" s="19"/>
      <c r="Q89" s="286">
        <f>P89/M89*100</f>
        <v>0</v>
      </c>
      <c r="R89" s="19">
        <f>N89+P89</f>
        <v>1900000</v>
      </c>
      <c r="S89" s="286">
        <f>R89/M89*100</f>
        <v>95</v>
      </c>
      <c r="T89" s="803">
        <v>0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676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21.7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21.7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</mergeCells>
  <pageMargins left="0.45" right="0.25" top="0.75" bottom="0.25" header="0.3" footer="0.3"/>
  <pageSetup paperSize="5" scale="57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42"/>
  <sheetViews>
    <sheetView view="pageBreakPreview" topLeftCell="J1" zoomScale="60" workbookViewId="0">
      <selection activeCell="N19" sqref="N19"/>
    </sheetView>
  </sheetViews>
  <sheetFormatPr defaultRowHeight="16.5"/>
  <cols>
    <col min="1" max="1" width="2.140625" style="24" bestFit="1" customWidth="1"/>
    <col min="2" max="5" width="3.28515625" style="24" bestFit="1" customWidth="1"/>
    <col min="6" max="8" width="2.140625" style="24" bestFit="1" customWidth="1"/>
    <col min="9" max="10" width="3.28515625" style="24" bestFit="1" customWidth="1"/>
    <col min="11" max="11" width="68.28515625" style="24" customWidth="1"/>
    <col min="12" max="12" width="10.85546875" style="24" customWidth="1"/>
    <col min="13" max="13" width="17.140625" style="24" customWidth="1"/>
    <col min="14" max="14" width="17.28515625" style="24" customWidth="1"/>
    <col min="15" max="15" width="8.5703125" style="24" customWidth="1"/>
    <col min="16" max="16" width="17.85546875" style="117" customWidth="1"/>
    <col min="17" max="17" width="10.140625" style="24" customWidth="1"/>
    <col min="18" max="18" width="17.5703125" style="24" customWidth="1"/>
    <col min="19" max="19" width="8.5703125" style="24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684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663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2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793" t="s">
        <v>15</v>
      </c>
      <c r="O9" s="793" t="s">
        <v>16</v>
      </c>
      <c r="P9" s="793" t="s">
        <v>15</v>
      </c>
      <c r="Q9" s="793" t="s">
        <v>16</v>
      </c>
      <c r="R9" s="794" t="s">
        <v>15</v>
      </c>
      <c r="S9" s="794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795" t="s">
        <v>685</v>
      </c>
      <c r="M10" s="796"/>
      <c r="N10" s="796"/>
      <c r="O10" s="796"/>
      <c r="P10" s="794"/>
      <c r="Q10" s="794"/>
      <c r="R10" s="794"/>
      <c r="S10" s="794"/>
      <c r="T10" s="799"/>
      <c r="U10" s="794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795" t="s">
        <v>19</v>
      </c>
      <c r="M11" s="796"/>
      <c r="N11" s="796"/>
      <c r="O11" s="796"/>
      <c r="P11" s="794"/>
      <c r="Q11" s="794"/>
      <c r="R11" s="794"/>
      <c r="S11" s="794"/>
      <c r="T11" s="799"/>
      <c r="U11" s="794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M13+M18+M76</f>
        <v>1836864000</v>
      </c>
      <c r="N12" s="5">
        <f>N13+N18+N76</f>
        <v>474494576</v>
      </c>
      <c r="O12" s="6">
        <f>N12/M12*100</f>
        <v>25.831775025260445</v>
      </c>
      <c r="P12" s="5">
        <f>P13+P18+P76</f>
        <v>161910810</v>
      </c>
      <c r="Q12" s="285">
        <f>P12/M12*100</f>
        <v>8.8145235575415501</v>
      </c>
      <c r="R12" s="5">
        <f>R13+R18+R76</f>
        <v>636405386</v>
      </c>
      <c r="S12" s="285">
        <f>R12/M12*100</f>
        <v>34.64629858280199</v>
      </c>
      <c r="T12" s="800">
        <f>T13+T18+T76/3</f>
        <v>10.481997677119626</v>
      </c>
      <c r="U12" s="12"/>
      <c r="V12" s="11"/>
    </row>
    <row r="13" spans="1:26">
      <c r="A13" s="561">
        <v>1</v>
      </c>
      <c r="B13" s="291" t="s">
        <v>17</v>
      </c>
      <c r="C13" s="291" t="s">
        <v>18</v>
      </c>
      <c r="D13" s="292">
        <v>38</v>
      </c>
      <c r="E13" s="291" t="s">
        <v>25</v>
      </c>
      <c r="F13" s="292">
        <v>5</v>
      </c>
      <c r="G13" s="292">
        <v>2</v>
      </c>
      <c r="H13" s="292">
        <v>1</v>
      </c>
      <c r="I13" s="292"/>
      <c r="J13" s="293"/>
      <c r="K13" s="295" t="s">
        <v>22</v>
      </c>
      <c r="L13" s="7"/>
      <c r="M13" s="5">
        <f>M15</f>
        <v>1102118400</v>
      </c>
      <c r="N13" s="5">
        <f>N15</f>
        <v>311897160</v>
      </c>
      <c r="O13" s="6">
        <f>N13/M13*100</f>
        <v>28.299787028326541</v>
      </c>
      <c r="P13" s="5">
        <f>P15</f>
        <v>149583960</v>
      </c>
      <c r="Q13" s="285">
        <f>P13/M13*100</f>
        <v>13.572403836103272</v>
      </c>
      <c r="R13" s="5">
        <f>R15</f>
        <v>461481120</v>
      </c>
      <c r="S13" s="285">
        <f>R13/M13*100</f>
        <v>41.872190864429811</v>
      </c>
      <c r="T13" s="800">
        <f>T15</f>
        <v>8.3333333333333321</v>
      </c>
      <c r="U13" s="296"/>
      <c r="V13" s="11"/>
    </row>
    <row r="14" spans="1:26" ht="7.5" customHeight="1">
      <c r="A14" s="561"/>
      <c r="B14" s="291"/>
      <c r="C14" s="291"/>
      <c r="D14" s="291"/>
      <c r="E14" s="291"/>
      <c r="F14" s="291"/>
      <c r="G14" s="292"/>
      <c r="H14" s="292"/>
      <c r="I14" s="292"/>
      <c r="J14" s="293"/>
      <c r="K14" s="295"/>
      <c r="L14" s="4"/>
      <c r="M14" s="5"/>
      <c r="N14" s="5"/>
      <c r="O14" s="5"/>
      <c r="P14" s="5"/>
      <c r="Q14" s="286"/>
      <c r="R14" s="5"/>
      <c r="S14" s="285"/>
      <c r="T14" s="800"/>
      <c r="U14" s="11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311897160</v>
      </c>
      <c r="O15" s="6">
        <f t="shared" ref="O15:O85" si="0">N15/M15*100</f>
        <v>28.299787028326541</v>
      </c>
      <c r="P15" s="5">
        <f>P16</f>
        <v>149583960</v>
      </c>
      <c r="Q15" s="285">
        <f t="shared" ref="Q15:Q85" si="1">P15/M15*100</f>
        <v>13.572403836103272</v>
      </c>
      <c r="R15" s="17">
        <f t="shared" ref="R15:R85" si="2">N15+P15</f>
        <v>461481120</v>
      </c>
      <c r="S15" s="285">
        <f t="shared" ref="S15:S85" si="3">R15/M15*100</f>
        <v>41.872190864429811</v>
      </c>
      <c r="T15" s="800">
        <f>T16</f>
        <v>8.3333333333333321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f>mei!R16</f>
        <v>311897160</v>
      </c>
      <c r="O16" s="111">
        <f t="shared" si="0"/>
        <v>28.299787028326541</v>
      </c>
      <c r="P16" s="9">
        <v>149583960</v>
      </c>
      <c r="Q16" s="286">
        <f t="shared" si="1"/>
        <v>13.572403836103272</v>
      </c>
      <c r="R16" s="19">
        <f t="shared" si="2"/>
        <v>461481120</v>
      </c>
      <c r="S16" s="286">
        <f t="shared" si="3"/>
        <v>41.872190864429811</v>
      </c>
      <c r="T16" s="801">
        <f>1/12*100</f>
        <v>8.3333333333333321</v>
      </c>
      <c r="U16" s="11"/>
      <c r="V16" s="11"/>
    </row>
    <row r="17" spans="1:22" ht="7.5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6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N19+N32+N35+N46+N52+N54+N57+N59+N64+N68+N73+N40+N42+N50+N71</f>
        <v>127724916</v>
      </c>
      <c r="O18" s="6">
        <f t="shared" si="0"/>
        <v>21.002092071193236</v>
      </c>
      <c r="P18" s="5">
        <f>P19+P32+P35+P46+P52+P54+P57+P59+P64+P68+P73+P42</f>
        <v>12326850</v>
      </c>
      <c r="Q18" s="285">
        <f t="shared" si="1"/>
        <v>2.0269313674693534</v>
      </c>
      <c r="R18" s="17">
        <f t="shared" si="2"/>
        <v>140051766</v>
      </c>
      <c r="S18" s="285">
        <f t="shared" si="3"/>
        <v>23.029023438662588</v>
      </c>
      <c r="T18" s="800">
        <f>SUM(T20:T74)/41</f>
        <v>2.1486643437862947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19743900</v>
      </c>
      <c r="O19" s="6">
        <f t="shared" si="0"/>
        <v>8.0372539026308463</v>
      </c>
      <c r="P19" s="5">
        <f>SUM(P20:P31)</f>
        <v>9392950</v>
      </c>
      <c r="Q19" s="285">
        <f t="shared" si="1"/>
        <v>3.8236378853578272</v>
      </c>
      <c r="R19" s="17">
        <f>N19+P19</f>
        <v>29136850</v>
      </c>
      <c r="S19" s="285">
        <f t="shared" si="3"/>
        <v>11.860891787988674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f>mei!R20</f>
        <v>13994900</v>
      </c>
      <c r="O20" s="111">
        <f t="shared" si="0"/>
        <v>50.107412154759437</v>
      </c>
      <c r="P20" s="115"/>
      <c r="Q20" s="286">
        <f t="shared" si="1"/>
        <v>0</v>
      </c>
      <c r="R20" s="19">
        <f t="shared" si="2"/>
        <v>13994900</v>
      </c>
      <c r="S20" s="286">
        <f t="shared" si="3"/>
        <v>50.107412154759437</v>
      </c>
      <c r="T20" s="801">
        <v>0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f>mei!R21</f>
        <v>1698000</v>
      </c>
      <c r="O21" s="111">
        <f t="shared" si="0"/>
        <v>97.028571428571425</v>
      </c>
      <c r="P21" s="115"/>
      <c r="Q21" s="286">
        <f t="shared" si="1"/>
        <v>0</v>
      </c>
      <c r="R21" s="19">
        <f t="shared" si="2"/>
        <v>1698000</v>
      </c>
      <c r="S21" s="286">
        <f t="shared" si="3"/>
        <v>97.028571428571425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f>mei!R22</f>
        <v>1500000</v>
      </c>
      <c r="O22" s="111">
        <f t="shared" si="0"/>
        <v>71.428571428571431</v>
      </c>
      <c r="P22" s="115"/>
      <c r="Q22" s="286">
        <f t="shared" si="1"/>
        <v>0</v>
      </c>
      <c r="R22" s="19">
        <f t="shared" si="2"/>
        <v>1500000</v>
      </c>
      <c r="S22" s="286">
        <f t="shared" si="3"/>
        <v>71.428571428571431</v>
      </c>
      <c r="T22" s="801">
        <f>S22</f>
        <v>71.428571428571431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>
        <f>mei!R23</f>
        <v>0</v>
      </c>
      <c r="O23" s="111">
        <f t="shared" si="0"/>
        <v>0</v>
      </c>
      <c r="P23" s="115">
        <v>8000000</v>
      </c>
      <c r="Q23" s="286">
        <f t="shared" si="1"/>
        <v>98.461538461538467</v>
      </c>
      <c r="R23" s="19">
        <f t="shared" si="2"/>
        <v>8000000</v>
      </c>
      <c r="S23" s="286">
        <f t="shared" si="3"/>
        <v>98.461538461538467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>
        <f>mei!R24</f>
        <v>0</v>
      </c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>
        <f>mei!R25</f>
        <v>175000</v>
      </c>
      <c r="O25" s="111">
        <f t="shared" si="0"/>
        <v>17.5</v>
      </c>
      <c r="P25" s="115"/>
      <c r="Q25" s="286">
        <f t="shared" si="1"/>
        <v>0</v>
      </c>
      <c r="R25" s="19">
        <f t="shared" si="2"/>
        <v>175000</v>
      </c>
      <c r="S25" s="286">
        <f t="shared" si="3"/>
        <v>17.5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f>mei!R26</f>
        <v>1388000</v>
      </c>
      <c r="O26" s="111">
        <f t="shared" si="0"/>
        <v>7.7541899441340778</v>
      </c>
      <c r="P26" s="115">
        <v>837950</v>
      </c>
      <c r="Q26" s="286">
        <f t="shared" si="1"/>
        <v>4.6812849162011174</v>
      </c>
      <c r="R26" s="19">
        <f t="shared" si="2"/>
        <v>2225950</v>
      </c>
      <c r="S26" s="286">
        <f t="shared" si="3"/>
        <v>12.435474860335196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>
        <f>mei!R27</f>
        <v>0</v>
      </c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>
        <f>mei!R28</f>
        <v>988000</v>
      </c>
      <c r="O28" s="111">
        <f t="shared" si="0"/>
        <v>15.437500000000002</v>
      </c>
      <c r="P28" s="115">
        <v>555000</v>
      </c>
      <c r="Q28" s="286">
        <f t="shared" si="1"/>
        <v>8.671875</v>
      </c>
      <c r="R28" s="19">
        <f t="shared" si="2"/>
        <v>1543000</v>
      </c>
      <c r="S28" s="286">
        <f t="shared" si="3"/>
        <v>24.109375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>
        <f>mei!R29</f>
        <v>0</v>
      </c>
      <c r="O29" s="111">
        <f t="shared" si="0"/>
        <v>0</v>
      </c>
      <c r="P29" s="564"/>
      <c r="Q29" s="286">
        <f t="shared" si="1"/>
        <v>0</v>
      </c>
      <c r="R29" s="19"/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>
        <f>mei!R30</f>
        <v>0</v>
      </c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>
        <f>mei!R31</f>
        <v>0</v>
      </c>
      <c r="O31" s="111">
        <f t="shared" si="0"/>
        <v>0</v>
      </c>
      <c r="P31" s="115"/>
      <c r="Q31" s="286">
        <f t="shared" si="1"/>
        <v>0</v>
      </c>
      <c r="R31" s="19">
        <f t="shared" si="2"/>
        <v>0</v>
      </c>
      <c r="S31" s="286">
        <f t="shared" si="3"/>
        <v>0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SUM(N33:N34)</f>
        <v>3918000</v>
      </c>
      <c r="O32" s="6">
        <f t="shared" si="0"/>
        <v>6.4483212639894667</v>
      </c>
      <c r="P32" s="5">
        <f>SUM(P34:P34)</f>
        <v>810000</v>
      </c>
      <c r="Q32" s="285">
        <f t="shared" si="1"/>
        <v>1.3331138907175772</v>
      </c>
      <c r="R32" s="17">
        <f t="shared" si="2"/>
        <v>4728000</v>
      </c>
      <c r="S32" s="285">
        <f t="shared" si="3"/>
        <v>7.7814351547070437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9">
        <f>mei!R33</f>
        <v>0</v>
      </c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f>mei!R34</f>
        <v>3918000</v>
      </c>
      <c r="O34" s="111">
        <f t="shared" si="0"/>
        <v>26.54471544715447</v>
      </c>
      <c r="P34" s="115">
        <v>810000</v>
      </c>
      <c r="Q34" s="286">
        <f t="shared" si="1"/>
        <v>5.4878048780487809</v>
      </c>
      <c r="R34" s="19">
        <f t="shared" si="2"/>
        <v>4728000</v>
      </c>
      <c r="S34" s="286">
        <f t="shared" si="3"/>
        <v>32.032520325203251</v>
      </c>
      <c r="T34" s="801">
        <f>1/12*100</f>
        <v>8.3333333333333321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936300</v>
      </c>
      <c r="O35" s="6">
        <f t="shared" si="0"/>
        <v>2.5196447793326158</v>
      </c>
      <c r="P35" s="5">
        <f>SUM(P36:P39)</f>
        <v>702900</v>
      </c>
      <c r="Q35" s="285">
        <f t="shared" si="1"/>
        <v>1.8915500538213132</v>
      </c>
      <c r="R35" s="17">
        <f t="shared" si="2"/>
        <v>1639200</v>
      </c>
      <c r="S35" s="285">
        <f t="shared" si="3"/>
        <v>4.411194833153929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f>mei!R36</f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f>mei!R37</f>
        <v>16300</v>
      </c>
      <c r="O37" s="111">
        <f t="shared" si="0"/>
        <v>2.9107142857142856</v>
      </c>
      <c r="P37" s="115">
        <v>2900</v>
      </c>
      <c r="Q37" s="286">
        <f t="shared" si="1"/>
        <v>0.51785714285714279</v>
      </c>
      <c r="R37" s="19">
        <f t="shared" si="2"/>
        <v>19200</v>
      </c>
      <c r="S37" s="286">
        <f t="shared" si="3"/>
        <v>3.4285714285714288</v>
      </c>
      <c r="T37" s="801">
        <v>0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f>mei!R38</f>
        <v>920000</v>
      </c>
      <c r="O38" s="111">
        <f t="shared" si="0"/>
        <v>9.1999999999999993</v>
      </c>
      <c r="P38" s="115">
        <v>700000</v>
      </c>
      <c r="Q38" s="286">
        <f t="shared" si="1"/>
        <v>7.0000000000000009</v>
      </c>
      <c r="R38" s="19">
        <f t="shared" si="2"/>
        <v>1620000</v>
      </c>
      <c r="S38" s="286">
        <f t="shared" si="3"/>
        <v>16.2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f>mei!R39</f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</f>
        <v>0</v>
      </c>
      <c r="O40" s="6">
        <f t="shared" si="0"/>
        <v>0</v>
      </c>
      <c r="P40" s="5"/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>
        <f>mei!R41</f>
        <v>0</v>
      </c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0</v>
      </c>
      <c r="O42" s="6">
        <f t="shared" si="0"/>
        <v>0</v>
      </c>
      <c r="P42" s="5">
        <f>P43+P44+P45</f>
        <v>221000</v>
      </c>
      <c r="Q42" s="285">
        <f t="shared" si="1"/>
        <v>1.9385964912280702</v>
      </c>
      <c r="R42" s="17">
        <f t="shared" si="2"/>
        <v>221000</v>
      </c>
      <c r="S42" s="285">
        <f t="shared" si="3"/>
        <v>1.9385964912280702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>
        <f>mei!R43</f>
        <v>0</v>
      </c>
      <c r="O43" s="111">
        <f t="shared" si="0"/>
        <v>0</v>
      </c>
      <c r="P43" s="115">
        <v>120000</v>
      </c>
      <c r="Q43" s="286">
        <f t="shared" si="1"/>
        <v>4.2857142857142856</v>
      </c>
      <c r="R43" s="19">
        <f t="shared" si="2"/>
        <v>120000</v>
      </c>
      <c r="S43" s="286">
        <f t="shared" si="3"/>
        <v>4.2857142857142856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f>mei!R44</f>
        <v>0</v>
      </c>
      <c r="O44" s="111">
        <f t="shared" si="0"/>
        <v>0</v>
      </c>
      <c r="P44" s="116">
        <v>101000</v>
      </c>
      <c r="Q44" s="286">
        <f t="shared" si="1"/>
        <v>1.4852941176470589</v>
      </c>
      <c r="R44" s="19">
        <f t="shared" si="2"/>
        <v>101000</v>
      </c>
      <c r="S44" s="286">
        <f t="shared" si="3"/>
        <v>1.4852941176470589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f>mei!R45</f>
        <v>0</v>
      </c>
      <c r="O45" s="111">
        <f t="shared" si="0"/>
        <v>0</v>
      </c>
      <c r="P45" s="116"/>
      <c r="Q45" s="286">
        <f t="shared" si="1"/>
        <v>0</v>
      </c>
      <c r="R45" s="19">
        <f t="shared" si="2"/>
        <v>0</v>
      </c>
      <c r="S45" s="286">
        <f t="shared" si="3"/>
        <v>0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65180000</v>
      </c>
      <c r="O46" s="6">
        <f t="shared" si="0"/>
        <v>86.182161958469138</v>
      </c>
      <c r="P46" s="5">
        <f>P47+P48+P49</f>
        <v>700000</v>
      </c>
      <c r="Q46" s="285">
        <f t="shared" si="1"/>
        <v>0.92555252180006731</v>
      </c>
      <c r="R46" s="17">
        <f t="shared" si="2"/>
        <v>65880000</v>
      </c>
      <c r="S46" s="285">
        <f t="shared" si="3"/>
        <v>87.107714480269209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>
        <f>mei!R47</f>
        <v>63500000</v>
      </c>
      <c r="O47" s="111">
        <f t="shared" si="0"/>
        <v>96.606598154585768</v>
      </c>
      <c r="P47" s="115"/>
      <c r="Q47" s="286">
        <f t="shared" si="1"/>
        <v>0</v>
      </c>
      <c r="R47" s="19">
        <f t="shared" si="2"/>
        <v>63500000</v>
      </c>
      <c r="S47" s="286">
        <f t="shared" si="3"/>
        <v>96.606598154585768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f>mei!R48</f>
        <v>1680000</v>
      </c>
      <c r="O48" s="111">
        <f t="shared" si="0"/>
        <v>20</v>
      </c>
      <c r="P48" s="116">
        <v>700000</v>
      </c>
      <c r="Q48" s="286">
        <f t="shared" si="1"/>
        <v>8.3333333333333321</v>
      </c>
      <c r="R48" s="19">
        <f t="shared" si="2"/>
        <v>2380000</v>
      </c>
      <c r="S48" s="286">
        <f t="shared" si="3"/>
        <v>28.333333333333332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f>mei!R49</f>
        <v>0</v>
      </c>
      <c r="O49" s="111">
        <f t="shared" si="0"/>
        <v>0</v>
      </c>
      <c r="P49" s="116"/>
      <c r="Q49" s="286">
        <f t="shared" si="1"/>
        <v>0</v>
      </c>
      <c r="R49" s="19">
        <f t="shared" si="2"/>
        <v>0</v>
      </c>
      <c r="S49" s="286">
        <f t="shared" si="3"/>
        <v>0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1500000</v>
      </c>
      <c r="O50" s="6">
        <f t="shared" si="0"/>
        <v>5.7581573896353166</v>
      </c>
      <c r="P50" s="114">
        <f>P51</f>
        <v>0</v>
      </c>
      <c r="Q50" s="285">
        <f t="shared" si="1"/>
        <v>0</v>
      </c>
      <c r="R50" s="17">
        <f t="shared" si="2"/>
        <v>1500000</v>
      </c>
      <c r="S50" s="285">
        <f t="shared" si="3"/>
        <v>5.7581573896353166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f>mei!R51</f>
        <v>1500000</v>
      </c>
      <c r="O51" s="111">
        <f t="shared" si="0"/>
        <v>5.7581573896353166</v>
      </c>
      <c r="P51" s="113"/>
      <c r="Q51" s="286">
        <f t="shared" si="1"/>
        <v>0</v>
      </c>
      <c r="R51" s="19">
        <f t="shared" si="2"/>
        <v>1500000</v>
      </c>
      <c r="S51" s="286">
        <f t="shared" si="3"/>
        <v>5.7581573896353166</v>
      </c>
      <c r="T51" s="802">
        <v>0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f>mei!R53</f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6196716</v>
      </c>
      <c r="O54" s="6">
        <f t="shared" si="0"/>
        <v>29.510981998285551</v>
      </c>
      <c r="P54" s="17">
        <f>P55+P56</f>
        <v>0</v>
      </c>
      <c r="Q54" s="285">
        <f t="shared" si="1"/>
        <v>0</v>
      </c>
      <c r="R54" s="17">
        <f t="shared" si="2"/>
        <v>6196716</v>
      </c>
      <c r="S54" s="285">
        <f t="shared" si="3"/>
        <v>29.510981998285551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f>mei!R55</f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f>mei!R56</f>
        <v>6196716</v>
      </c>
      <c r="O56" s="111">
        <f t="shared" si="0"/>
        <v>37.56040732209965</v>
      </c>
      <c r="P56" s="19"/>
      <c r="Q56" s="286">
        <f t="shared" si="1"/>
        <v>0</v>
      </c>
      <c r="R56" s="19">
        <f t="shared" si="2"/>
        <v>6196716</v>
      </c>
      <c r="S56" s="286">
        <f t="shared" si="3"/>
        <v>37.56040732209965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10000000</v>
      </c>
      <c r="O57" s="6">
        <f t="shared" si="0"/>
        <v>35.714285714285715</v>
      </c>
      <c r="P57" s="17">
        <f>P58</f>
        <v>0</v>
      </c>
      <c r="Q57" s="285">
        <f t="shared" si="1"/>
        <v>0</v>
      </c>
      <c r="R57" s="17">
        <f t="shared" si="2"/>
        <v>10000000</v>
      </c>
      <c r="S57" s="285">
        <f t="shared" si="3"/>
        <v>35.714285714285715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f>mei!R58</f>
        <v>10000000</v>
      </c>
      <c r="O58" s="111">
        <f t="shared" si="0"/>
        <v>35.714285714285715</v>
      </c>
      <c r="P58" s="19"/>
      <c r="Q58" s="286">
        <f t="shared" si="1"/>
        <v>0</v>
      </c>
      <c r="R58" s="19">
        <f t="shared" si="2"/>
        <v>10000000</v>
      </c>
      <c r="S58" s="286">
        <f t="shared" si="3"/>
        <v>35.714285714285715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367</v>
      </c>
      <c r="L59" s="12"/>
      <c r="M59" s="17">
        <f>SUM(M60:M63)</f>
        <v>33500000</v>
      </c>
      <c r="N59" s="17">
        <f>SUM(N60:N63)</f>
        <v>12950000</v>
      </c>
      <c r="O59" s="6">
        <f t="shared" si="0"/>
        <v>38.656716417910445</v>
      </c>
      <c r="P59" s="17">
        <f>SUM(P60:P63)</f>
        <v>500000</v>
      </c>
      <c r="Q59" s="285">
        <f t="shared" si="1"/>
        <v>1.4925373134328357</v>
      </c>
      <c r="R59" s="17">
        <f t="shared" si="2"/>
        <v>13450000</v>
      </c>
      <c r="S59" s="285">
        <f t="shared" si="3"/>
        <v>40.149253731343279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f>mei!R60</f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>
        <f>mei!R61</f>
        <v>10450000</v>
      </c>
      <c r="O61" s="111">
        <f t="shared" si="0"/>
        <v>99.523809523809518</v>
      </c>
      <c r="P61" s="19"/>
      <c r="Q61" s="286">
        <f t="shared" si="1"/>
        <v>0</v>
      </c>
      <c r="R61" s="19">
        <f t="shared" si="2"/>
        <v>10450000</v>
      </c>
      <c r="S61" s="286">
        <f t="shared" si="3"/>
        <v>99.523809523809518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>
        <f>mei!R62</f>
        <v>0</v>
      </c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f>mei!R63</f>
        <v>2500000</v>
      </c>
      <c r="O63" s="111">
        <f t="shared" si="0"/>
        <v>22.727272727272727</v>
      </c>
      <c r="P63" s="19">
        <v>500000</v>
      </c>
      <c r="Q63" s="286">
        <f t="shared" si="1"/>
        <v>4.5454545454545459</v>
      </c>
      <c r="R63" s="19">
        <f t="shared" si="2"/>
        <v>3000000</v>
      </c>
      <c r="S63" s="286">
        <f t="shared" si="3"/>
        <v>27.27272727272727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SUM(N65:N67)</f>
        <v>6300000</v>
      </c>
      <c r="O64" s="6">
        <f t="shared" si="0"/>
        <v>66.315789473684205</v>
      </c>
      <c r="P64" s="17">
        <f>P67</f>
        <v>0</v>
      </c>
      <c r="Q64" s="285">
        <f t="shared" si="1"/>
        <v>0</v>
      </c>
      <c r="R64" s="17">
        <f t="shared" si="2"/>
        <v>6300000</v>
      </c>
      <c r="S64" s="285">
        <f t="shared" si="3"/>
        <v>66.315789473684205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>
        <f>mei!R65</f>
        <v>1300000</v>
      </c>
      <c r="O65" s="111">
        <f t="shared" si="0"/>
        <v>43.333333333333336</v>
      </c>
      <c r="P65" s="19"/>
      <c r="Q65" s="286">
        <f t="shared" si="1"/>
        <v>0</v>
      </c>
      <c r="R65" s="19">
        <f t="shared" si="2"/>
        <v>1300000</v>
      </c>
      <c r="S65" s="286">
        <f t="shared" si="3"/>
        <v>43.333333333333336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>
        <f>mei!R66</f>
        <v>5000000</v>
      </c>
      <c r="O66" s="111">
        <f t="shared" si="0"/>
        <v>100</v>
      </c>
      <c r="P66" s="19"/>
      <c r="Q66" s="286">
        <f t="shared" si="1"/>
        <v>0</v>
      </c>
      <c r="R66" s="19">
        <f t="shared" si="2"/>
        <v>5000000</v>
      </c>
      <c r="S66" s="286">
        <f t="shared" si="3"/>
        <v>100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>
        <f>mei!R67</f>
        <v>0</v>
      </c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 ht="33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500000</v>
      </c>
      <c r="O68" s="6">
        <f t="shared" si="0"/>
        <v>1.4705882352941175</v>
      </c>
      <c r="P68" s="17">
        <f>P69+P70</f>
        <v>0</v>
      </c>
      <c r="Q68" s="285">
        <f t="shared" si="1"/>
        <v>0</v>
      </c>
      <c r="R68" s="17">
        <f t="shared" si="2"/>
        <v>500000</v>
      </c>
      <c r="S68" s="285">
        <f t="shared" si="3"/>
        <v>1.4705882352941175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f>mei!R69</f>
        <v>500000</v>
      </c>
      <c r="O69" s="111">
        <f t="shared" si="0"/>
        <v>3.4722222222222223</v>
      </c>
      <c r="P69" s="19"/>
      <c r="Q69" s="286">
        <f t="shared" si="1"/>
        <v>0</v>
      </c>
      <c r="R69" s="19">
        <f t="shared" si="2"/>
        <v>500000</v>
      </c>
      <c r="S69" s="286">
        <f t="shared" si="3"/>
        <v>3.4722222222222223</v>
      </c>
      <c r="T69" s="801">
        <v>0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f>mei!R70</f>
        <v>0</v>
      </c>
      <c r="O70" s="111">
        <f t="shared" si="0"/>
        <v>0</v>
      </c>
      <c r="P70" s="19"/>
      <c r="Q70" s="286">
        <f t="shared" si="1"/>
        <v>0</v>
      </c>
      <c r="R70" s="19">
        <f t="shared" si="2"/>
        <v>0</v>
      </c>
      <c r="S70" s="286">
        <f t="shared" si="3"/>
        <v>0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0</v>
      </c>
      <c r="O71" s="6">
        <f t="shared" si="0"/>
        <v>0</v>
      </c>
      <c r="P71" s="17">
        <f>P72</f>
        <v>0</v>
      </c>
      <c r="Q71" s="285">
        <f t="shared" si="1"/>
        <v>0</v>
      </c>
      <c r="R71" s="17">
        <f t="shared" si="2"/>
        <v>0</v>
      </c>
      <c r="S71" s="285">
        <f t="shared" si="3"/>
        <v>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f>mei!R72</f>
        <v>0</v>
      </c>
      <c r="O72" s="111">
        <f t="shared" si="0"/>
        <v>0</v>
      </c>
      <c r="P72" s="19"/>
      <c r="Q72" s="286">
        <f t="shared" si="1"/>
        <v>0</v>
      </c>
      <c r="R72" s="19">
        <f t="shared" si="2"/>
        <v>0</v>
      </c>
      <c r="S72" s="286">
        <f t="shared" si="3"/>
        <v>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500000</v>
      </c>
      <c r="O73" s="6">
        <f t="shared" si="0"/>
        <v>100</v>
      </c>
      <c r="P73" s="17">
        <f>P74</f>
        <v>0</v>
      </c>
      <c r="Q73" s="285">
        <f t="shared" si="1"/>
        <v>0</v>
      </c>
      <c r="R73" s="17">
        <f t="shared" si="2"/>
        <v>500000</v>
      </c>
      <c r="S73" s="285">
        <f t="shared" si="3"/>
        <v>100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f>mei!R74</f>
        <v>500000</v>
      </c>
      <c r="O74" s="111">
        <f t="shared" si="0"/>
        <v>100</v>
      </c>
      <c r="P74" s="19"/>
      <c r="Q74" s="286">
        <f t="shared" si="1"/>
        <v>0</v>
      </c>
      <c r="R74" s="19">
        <f t="shared" si="2"/>
        <v>500000</v>
      </c>
      <c r="S74" s="286">
        <f t="shared" si="3"/>
        <v>100</v>
      </c>
      <c r="T74" s="801">
        <v>0</v>
      </c>
      <c r="U74" s="11"/>
      <c r="V74" s="11"/>
    </row>
    <row r="75" spans="1:22" ht="7.5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9">
        <f>mei!R75</f>
        <v>0</v>
      </c>
      <c r="O75" s="5"/>
      <c r="P75" s="5"/>
      <c r="Q75" s="286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34872500</v>
      </c>
      <c r="O76" s="6">
        <f t="shared" si="0"/>
        <v>27.547094096560375</v>
      </c>
      <c r="P76" s="17">
        <f>P77+P79+P82+P84+P86</f>
        <v>0</v>
      </c>
      <c r="Q76" s="285">
        <f t="shared" si="1"/>
        <v>0</v>
      </c>
      <c r="R76" s="17">
        <f t="shared" si="2"/>
        <v>34872500</v>
      </c>
      <c r="S76" s="285">
        <f t="shared" si="3"/>
        <v>27.547094096560375</v>
      </c>
      <c r="T76" s="800">
        <f>SUM(T78:T89)/8</f>
        <v>0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9985000</v>
      </c>
      <c r="O77" s="6">
        <f t="shared" si="0"/>
        <v>90.772727272727266</v>
      </c>
      <c r="P77" s="17">
        <f>P78</f>
        <v>0</v>
      </c>
      <c r="Q77" s="285">
        <f t="shared" si="1"/>
        <v>0</v>
      </c>
      <c r="R77" s="17">
        <f t="shared" si="2"/>
        <v>9985000</v>
      </c>
      <c r="S77" s="285">
        <f t="shared" si="3"/>
        <v>90.772727272727266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f>mei!R78</f>
        <v>9985000</v>
      </c>
      <c r="O78" s="111">
        <f t="shared" si="0"/>
        <v>90.772727272727266</v>
      </c>
      <c r="P78" s="19"/>
      <c r="Q78" s="286">
        <f t="shared" si="1"/>
        <v>0</v>
      </c>
      <c r="R78" s="19">
        <f t="shared" si="2"/>
        <v>9985000</v>
      </c>
      <c r="S78" s="286">
        <f t="shared" si="3"/>
        <v>90.772727272727266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15000000</v>
      </c>
      <c r="O79" s="6">
        <f t="shared" si="0"/>
        <v>73.170731707317074</v>
      </c>
      <c r="P79" s="17">
        <f>SUM(P80:P81)</f>
        <v>0</v>
      </c>
      <c r="Q79" s="285">
        <f t="shared" si="1"/>
        <v>0</v>
      </c>
      <c r="R79" s="17">
        <f t="shared" si="2"/>
        <v>15000000</v>
      </c>
      <c r="S79" s="285">
        <f t="shared" si="3"/>
        <v>73.170731707317074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f>mei!R80</f>
        <v>15000000</v>
      </c>
      <c r="O80" s="111">
        <f t="shared" si="0"/>
        <v>100</v>
      </c>
      <c r="P80" s="19"/>
      <c r="Q80" s="286">
        <f t="shared" si="1"/>
        <v>0</v>
      </c>
      <c r="R80" s="19">
        <f t="shared" si="2"/>
        <v>15000000</v>
      </c>
      <c r="S80" s="286">
        <f t="shared" si="3"/>
        <v>100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>
        <f>mei!R81</f>
        <v>0</v>
      </c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>
        <f>mei!R83</f>
        <v>0</v>
      </c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>
        <f>mei!R85</f>
        <v>0</v>
      </c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SUM(N87:N89)</f>
        <v>9887500</v>
      </c>
      <c r="O86" s="6">
        <f>N86/M86*100</f>
        <v>39.294272872148063</v>
      </c>
      <c r="P86" s="17">
        <f>SUM(P89:P90)</f>
        <v>0</v>
      </c>
      <c r="Q86" s="285">
        <f>P86/M86*100</f>
        <v>0</v>
      </c>
      <c r="R86" s="17">
        <f>N86+P86</f>
        <v>9887500</v>
      </c>
      <c r="S86" s="285">
        <f>R86/M86*100</f>
        <v>39.294272872148063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>
        <f>mei!R87</f>
        <v>7987500</v>
      </c>
      <c r="O87" s="111">
        <f t="shared" ref="O87:O88" si="4">N87/M87*100</f>
        <v>97.853651365357052</v>
      </c>
      <c r="P87" s="19"/>
      <c r="Q87" s="286">
        <f t="shared" ref="Q87:Q88" si="5">P87/M87*100</f>
        <v>0</v>
      </c>
      <c r="R87" s="19">
        <f t="shared" ref="R87:R88" si="6">N87+P87</f>
        <v>7987500</v>
      </c>
      <c r="S87" s="286">
        <f t="shared" ref="S87:S88" si="7">R87/M87*100</f>
        <v>97.853651365357052</v>
      </c>
      <c r="T87" s="803">
        <v>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>
        <f>mei!R88</f>
        <v>0</v>
      </c>
      <c r="O88" s="111">
        <f t="shared" si="4"/>
        <v>0</v>
      </c>
      <c r="P88" s="19"/>
      <c r="Q88" s="286">
        <f t="shared" si="5"/>
        <v>0</v>
      </c>
      <c r="R88" s="19">
        <f t="shared" si="6"/>
        <v>0</v>
      </c>
      <c r="S88" s="286">
        <f t="shared" si="7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>
        <f>mei!R89</f>
        <v>1900000</v>
      </c>
      <c r="O89" s="111">
        <f>N89/M89*100</f>
        <v>95</v>
      </c>
      <c r="P89" s="19"/>
      <c r="Q89" s="286">
        <f>P89/M89*100</f>
        <v>0</v>
      </c>
      <c r="R89" s="19">
        <f>N89+P89</f>
        <v>1900000</v>
      </c>
      <c r="S89" s="286">
        <f>R89/M89*100</f>
        <v>95</v>
      </c>
      <c r="T89" s="803">
        <v>0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677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21.7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21.7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</mergeCells>
  <pageMargins left="0.45" right="0.25" top="0.75" bottom="0.25" header="0.3" footer="0.3"/>
  <pageSetup paperSize="5" scale="57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T122"/>
  <sheetViews>
    <sheetView workbookViewId="0">
      <selection activeCell="L14" sqref="L14"/>
    </sheetView>
  </sheetViews>
  <sheetFormatPr defaultRowHeight="15.75"/>
  <cols>
    <col min="1" max="1" width="4.42578125" style="189" customWidth="1"/>
    <col min="2" max="2" width="3.5703125" style="189" customWidth="1"/>
    <col min="3" max="3" width="13.7109375" style="189" customWidth="1"/>
    <col min="4" max="4" width="25.5703125" style="189" customWidth="1"/>
    <col min="5" max="5" width="8.140625" style="189" bestFit="1" customWidth="1"/>
    <col min="6" max="6" width="7" style="189" bestFit="1" customWidth="1"/>
    <col min="7" max="7" width="8.85546875" style="189" bestFit="1" customWidth="1"/>
    <col min="8" max="8" width="4" style="189" bestFit="1" customWidth="1"/>
    <col min="9" max="9" width="26.140625" style="189" customWidth="1"/>
    <col min="10" max="10" width="9.28515625" style="244" bestFit="1" customWidth="1"/>
    <col min="11" max="11" width="14" style="254" bestFit="1" customWidth="1"/>
    <col min="12" max="12" width="12.28515625" style="255" bestFit="1" customWidth="1"/>
    <col min="13" max="13" width="8.28515625" style="189" customWidth="1"/>
    <col min="14" max="14" width="5.42578125" style="189" bestFit="1" customWidth="1"/>
    <col min="15" max="15" width="6.5703125" style="189" customWidth="1"/>
    <col min="16" max="16" width="9.140625" style="191"/>
    <col min="17" max="17" width="11" style="191" bestFit="1" customWidth="1"/>
    <col min="18" max="18" width="30" style="191" customWidth="1"/>
    <col min="19" max="19" width="14.7109375" style="192" customWidth="1"/>
    <col min="20" max="22" width="10.5703125" style="192" bestFit="1" customWidth="1"/>
    <col min="23" max="30" width="3.140625" style="192" customWidth="1"/>
    <col min="31" max="31" width="10.5703125" style="192" bestFit="1" customWidth="1"/>
    <col min="32" max="33" width="10.85546875" style="191" bestFit="1" customWidth="1"/>
    <col min="34" max="34" width="9.42578125" style="191" bestFit="1" customWidth="1"/>
    <col min="35" max="46" width="9.140625" style="191"/>
    <col min="47" max="16384" width="9.140625" style="193"/>
  </cols>
  <sheetData>
    <row r="1" spans="1:46" ht="20.25">
      <c r="C1" s="843" t="s">
        <v>221</v>
      </c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3"/>
      <c r="O1" s="588"/>
    </row>
    <row r="2" spans="1:46" ht="20.25">
      <c r="C2" s="843" t="s">
        <v>447</v>
      </c>
      <c r="D2" s="843"/>
      <c r="E2" s="843"/>
      <c r="F2" s="843"/>
      <c r="G2" s="843"/>
      <c r="H2" s="843"/>
      <c r="I2" s="843"/>
      <c r="J2" s="843"/>
      <c r="K2" s="843"/>
      <c r="L2" s="843"/>
      <c r="M2" s="843"/>
      <c r="N2" s="843"/>
      <c r="O2" s="588"/>
    </row>
    <row r="3" spans="1:46">
      <c r="A3" s="844" t="s">
        <v>279</v>
      </c>
      <c r="B3" s="844"/>
      <c r="C3" s="844"/>
      <c r="D3" s="844"/>
      <c r="E3" s="194"/>
      <c r="F3" s="194"/>
      <c r="G3" s="194"/>
      <c r="H3" s="194"/>
      <c r="I3" s="194"/>
      <c r="J3" s="195"/>
      <c r="K3" s="196"/>
      <c r="L3" s="197"/>
      <c r="M3" s="194"/>
      <c r="N3" s="194"/>
      <c r="O3" s="194"/>
    </row>
    <row r="4" spans="1:46">
      <c r="A4" s="845" t="s">
        <v>85</v>
      </c>
      <c r="B4" s="846"/>
      <c r="C4" s="849" t="s">
        <v>222</v>
      </c>
      <c r="D4" s="850"/>
      <c r="E4" s="853" t="s">
        <v>7</v>
      </c>
      <c r="F4" s="853"/>
      <c r="G4" s="854" t="s">
        <v>221</v>
      </c>
      <c r="H4" s="855"/>
      <c r="I4" s="855"/>
      <c r="J4" s="855"/>
      <c r="K4" s="855"/>
      <c r="L4" s="855"/>
      <c r="M4" s="856"/>
      <c r="N4" s="853" t="s">
        <v>223</v>
      </c>
      <c r="O4" s="191"/>
    </row>
    <row r="5" spans="1:46" ht="63">
      <c r="A5" s="847"/>
      <c r="B5" s="848"/>
      <c r="C5" s="851"/>
      <c r="D5" s="852"/>
      <c r="E5" s="198" t="s">
        <v>224</v>
      </c>
      <c r="F5" s="198" t="s">
        <v>225</v>
      </c>
      <c r="G5" s="857" t="s">
        <v>226</v>
      </c>
      <c r="H5" s="858"/>
      <c r="I5" s="859"/>
      <c r="J5" s="198" t="s">
        <v>227</v>
      </c>
      <c r="K5" s="199" t="s">
        <v>228</v>
      </c>
      <c r="L5" s="200" t="s">
        <v>229</v>
      </c>
      <c r="M5" s="198" t="s">
        <v>230</v>
      </c>
      <c r="N5" s="853"/>
      <c r="O5" s="191"/>
    </row>
    <row r="6" spans="1:46" s="207" customFormat="1">
      <c r="A6" s="838">
        <v>1</v>
      </c>
      <c r="B6" s="838"/>
      <c r="C6" s="838">
        <v>2</v>
      </c>
      <c r="D6" s="838"/>
      <c r="E6" s="201">
        <v>3</v>
      </c>
      <c r="F6" s="201">
        <v>4</v>
      </c>
      <c r="G6" s="839">
        <v>5</v>
      </c>
      <c r="H6" s="840"/>
      <c r="I6" s="841"/>
      <c r="J6" s="201">
        <v>6</v>
      </c>
      <c r="K6" s="201">
        <v>7</v>
      </c>
      <c r="L6" s="202">
        <v>8</v>
      </c>
      <c r="M6" s="201">
        <v>9</v>
      </c>
      <c r="N6" s="203">
        <v>10</v>
      </c>
      <c r="O6" s="204"/>
      <c r="P6" s="205"/>
      <c r="Q6" s="205"/>
      <c r="R6" s="205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</row>
    <row r="7" spans="1:46" ht="66.75" customHeight="1">
      <c r="A7" s="208" t="s">
        <v>231</v>
      </c>
      <c r="B7" s="208" t="s">
        <v>232</v>
      </c>
      <c r="C7" s="209" t="s">
        <v>684</v>
      </c>
      <c r="D7" s="210" t="s">
        <v>280</v>
      </c>
      <c r="E7" s="211" t="e">
        <f>#REF!</f>
        <v>#REF!</v>
      </c>
      <c r="F7" s="212" t="e">
        <f>M8</f>
        <v>#REF!</v>
      </c>
      <c r="G7" s="213"/>
      <c r="H7" s="213"/>
      <c r="I7" s="214"/>
      <c r="J7" s="215"/>
      <c r="K7" s="216"/>
      <c r="L7" s="216"/>
      <c r="M7" s="217"/>
      <c r="N7" s="214"/>
      <c r="O7" s="218"/>
    </row>
    <row r="8" spans="1:46" ht="16.5" customHeight="1">
      <c r="A8" s="219"/>
      <c r="B8" s="219"/>
      <c r="C8" s="220"/>
      <c r="D8" s="213"/>
      <c r="E8" s="213"/>
      <c r="F8" s="213"/>
      <c r="G8" s="213" t="s">
        <v>233</v>
      </c>
      <c r="H8" s="221" t="s">
        <v>234</v>
      </c>
      <c r="I8" s="222" t="s">
        <v>235</v>
      </c>
      <c r="J8" s="215" t="s">
        <v>236</v>
      </c>
      <c r="K8" s="216" t="e">
        <f>#REF!</f>
        <v>#REF!</v>
      </c>
      <c r="L8" s="216" t="e">
        <f>#REF!</f>
        <v>#REF!</v>
      </c>
      <c r="M8" s="223" t="e">
        <f>L8/K8*100</f>
        <v>#REF!</v>
      </c>
      <c r="N8" s="222"/>
      <c r="O8" s="224"/>
      <c r="R8" s="225" t="e">
        <f>L8-'[1]PKK tri B (1)'!L8</f>
        <v>#REF!</v>
      </c>
    </row>
    <row r="9" spans="1:46" ht="21" customHeight="1">
      <c r="A9" s="219"/>
      <c r="B9" s="219"/>
      <c r="C9" s="220"/>
      <c r="D9" s="213"/>
      <c r="E9" s="213"/>
      <c r="F9" s="213"/>
      <c r="G9" s="213"/>
      <c r="H9" s="221" t="s">
        <v>237</v>
      </c>
      <c r="I9" s="226" t="s">
        <v>238</v>
      </c>
      <c r="J9" s="227" t="s">
        <v>239</v>
      </c>
      <c r="K9" s="228">
        <v>30</v>
      </c>
      <c r="L9" s="228">
        <v>30</v>
      </c>
      <c r="M9" s="223">
        <f>L9/K9*100</f>
        <v>100</v>
      </c>
      <c r="N9" s="222"/>
      <c r="O9" s="224"/>
      <c r="Q9" s="225" t="e">
        <f>#REF!-'[1]PKK tri new'!#REF!</f>
        <v>#REF!</v>
      </c>
    </row>
    <row r="10" spans="1:46" ht="16.5" customHeight="1">
      <c r="A10" s="219"/>
      <c r="B10" s="219"/>
      <c r="C10" s="220"/>
      <c r="D10" s="213"/>
      <c r="E10" s="213"/>
      <c r="F10" s="213"/>
      <c r="G10" s="213"/>
      <c r="H10" s="221" t="s">
        <v>240</v>
      </c>
      <c r="I10" s="226" t="s">
        <v>241</v>
      </c>
      <c r="J10" s="229" t="s">
        <v>242</v>
      </c>
      <c r="K10" s="228">
        <v>12</v>
      </c>
      <c r="L10" s="228">
        <v>6</v>
      </c>
      <c r="M10" s="223">
        <f>L10/K10*100</f>
        <v>50</v>
      </c>
      <c r="N10" s="222"/>
      <c r="O10" s="224"/>
    </row>
    <row r="11" spans="1:46" ht="16.5" customHeight="1">
      <c r="A11" s="219"/>
      <c r="B11" s="219"/>
      <c r="C11" s="220"/>
      <c r="D11" s="213"/>
      <c r="E11" s="213"/>
      <c r="F11" s="213"/>
      <c r="G11" s="213"/>
      <c r="H11" s="221" t="s">
        <v>243</v>
      </c>
      <c r="I11" s="226" t="s">
        <v>244</v>
      </c>
      <c r="J11" s="229" t="s">
        <v>245</v>
      </c>
      <c r="K11" s="228">
        <v>5</v>
      </c>
      <c r="L11" s="228">
        <v>5</v>
      </c>
      <c r="M11" s="223">
        <f>L11/K11*100</f>
        <v>100</v>
      </c>
      <c r="N11" s="222"/>
      <c r="O11" s="224"/>
    </row>
    <row r="12" spans="1:46" ht="16.5" customHeight="1">
      <c r="A12" s="219"/>
      <c r="B12" s="219"/>
      <c r="C12" s="220"/>
      <c r="D12" s="213"/>
      <c r="E12" s="213"/>
      <c r="F12" s="213"/>
      <c r="G12" s="213"/>
      <c r="H12" s="221"/>
      <c r="I12" s="226"/>
      <c r="J12" s="229"/>
      <c r="K12" s="228"/>
      <c r="L12" s="228"/>
      <c r="M12" s="223"/>
      <c r="N12" s="222"/>
      <c r="O12" s="224"/>
      <c r="Q12" s="230"/>
      <c r="R12" s="230"/>
    </row>
    <row r="13" spans="1:46" s="267" customFormat="1" ht="39" customHeight="1">
      <c r="A13" s="269"/>
      <c r="B13" s="269"/>
      <c r="C13" s="270"/>
      <c r="D13" s="271"/>
      <c r="E13" s="271"/>
      <c r="F13" s="271"/>
      <c r="G13" s="271" t="s">
        <v>246</v>
      </c>
      <c r="H13" s="272"/>
      <c r="I13" s="231" t="s">
        <v>277</v>
      </c>
      <c r="J13" s="273" t="s">
        <v>239</v>
      </c>
      <c r="K13" s="274">
        <f>L14</f>
        <v>23676</v>
      </c>
      <c r="L13" s="584">
        <f>'PKK Tri 1'!L13+4527</f>
        <v>9510</v>
      </c>
      <c r="M13" s="275">
        <f>L13/K13*100</f>
        <v>40.16725798276736</v>
      </c>
      <c r="N13" s="276"/>
      <c r="O13" s="277"/>
      <c r="P13" s="788">
        <f>L13-'PKK Tri 1'!L13</f>
        <v>4527</v>
      </c>
      <c r="Q13" s="278"/>
      <c r="R13" s="278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</row>
    <row r="14" spans="1:46" ht="25.5" customHeight="1">
      <c r="A14" s="219"/>
      <c r="B14" s="219"/>
      <c r="C14" s="220"/>
      <c r="D14" s="213"/>
      <c r="E14" s="213"/>
      <c r="F14" s="213"/>
      <c r="G14" s="213" t="s">
        <v>247</v>
      </c>
      <c r="H14" s="229"/>
      <c r="I14" s="268" t="s">
        <v>278</v>
      </c>
      <c r="J14" s="233" t="s">
        <v>248</v>
      </c>
      <c r="K14" s="232">
        <v>32375</v>
      </c>
      <c r="L14" s="232">
        <v>23676</v>
      </c>
      <c r="M14" s="223">
        <f>L14/K14*100</f>
        <v>73.130501930501936</v>
      </c>
      <c r="N14" s="222"/>
      <c r="O14" s="224"/>
      <c r="Q14" s="842"/>
      <c r="R14" s="234"/>
      <c r="S14" s="235"/>
      <c r="U14" s="192">
        <f>87474000/6000</f>
        <v>14579</v>
      </c>
    </row>
    <row r="15" spans="1:46" ht="15" customHeight="1">
      <c r="A15" s="236"/>
      <c r="B15" s="236"/>
      <c r="C15" s="237"/>
      <c r="D15" s="238"/>
      <c r="E15" s="238"/>
      <c r="F15" s="238"/>
      <c r="G15" s="238"/>
      <c r="H15" s="239"/>
      <c r="I15" s="240"/>
      <c r="J15" s="241"/>
      <c r="K15" s="242"/>
      <c r="L15" s="242"/>
      <c r="M15" s="243"/>
      <c r="N15" s="224"/>
      <c r="O15" s="224"/>
      <c r="Q15" s="842"/>
      <c r="R15" s="234"/>
      <c r="S15" s="235"/>
    </row>
    <row r="16" spans="1:46">
      <c r="K16" s="863" t="s">
        <v>448</v>
      </c>
      <c r="L16" s="863"/>
      <c r="M16" s="863"/>
      <c r="N16" s="863"/>
      <c r="Q16" s="842"/>
      <c r="R16" s="230"/>
    </row>
    <row r="17" spans="1:46">
      <c r="D17" s="591" t="s">
        <v>182</v>
      </c>
      <c r="K17" s="863" t="s">
        <v>79</v>
      </c>
      <c r="L17" s="863"/>
      <c r="M17" s="863"/>
      <c r="N17" s="863"/>
      <c r="O17" s="589"/>
      <c r="Q17" s="842"/>
      <c r="R17" s="230"/>
    </row>
    <row r="18" spans="1:46">
      <c r="D18" s="591" t="s">
        <v>183</v>
      </c>
      <c r="K18" s="247"/>
      <c r="L18" s="247"/>
      <c r="M18" s="247"/>
      <c r="N18" s="247"/>
      <c r="O18" s="589"/>
      <c r="Q18" s="836" t="s">
        <v>249</v>
      </c>
    </row>
    <row r="19" spans="1:46">
      <c r="D19" s="591"/>
      <c r="K19" s="247"/>
      <c r="L19" s="247"/>
      <c r="M19" s="247"/>
      <c r="N19" s="247"/>
      <c r="O19" s="247"/>
      <c r="Q19" s="836"/>
    </row>
    <row r="20" spans="1:46">
      <c r="D20" s="591"/>
      <c r="I20" s="248"/>
      <c r="J20" s="590"/>
      <c r="K20" s="250"/>
      <c r="L20" s="250"/>
      <c r="M20" s="250"/>
      <c r="N20" s="250"/>
      <c r="O20" s="247"/>
      <c r="Q20" s="836"/>
    </row>
    <row r="21" spans="1:46" s="248" customFormat="1">
      <c r="J21" s="590"/>
      <c r="K21" s="860"/>
      <c r="L21" s="860"/>
      <c r="M21" s="860"/>
      <c r="N21" s="860"/>
      <c r="O21" s="250"/>
      <c r="P21" s="251"/>
      <c r="Q21" s="836"/>
      <c r="R21" s="251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</row>
    <row r="22" spans="1:46" s="570" customFormat="1" ht="12.75">
      <c r="D22" s="578" t="s">
        <v>180</v>
      </c>
      <c r="I22" s="193"/>
      <c r="J22" s="565"/>
      <c r="K22" s="861" t="s">
        <v>177</v>
      </c>
      <c r="L22" s="861"/>
      <c r="M22" s="861"/>
      <c r="N22" s="861"/>
      <c r="O22" s="579"/>
      <c r="P22" s="576"/>
      <c r="Q22" s="836"/>
      <c r="R22" s="576"/>
      <c r="S22" s="577"/>
      <c r="T22" s="577"/>
      <c r="U22" s="577"/>
      <c r="V22" s="577"/>
      <c r="W22" s="577"/>
      <c r="X22" s="577"/>
      <c r="Y22" s="577"/>
      <c r="Z22" s="577"/>
      <c r="AA22" s="577"/>
      <c r="AB22" s="577"/>
      <c r="AC22" s="577"/>
      <c r="AD22" s="577"/>
      <c r="AE22" s="577"/>
      <c r="AF22" s="576"/>
      <c r="AG22" s="576"/>
      <c r="AH22" s="576"/>
      <c r="AI22" s="576"/>
      <c r="AJ22" s="576"/>
      <c r="AK22" s="576"/>
      <c r="AL22" s="576"/>
      <c r="AM22" s="576"/>
      <c r="AN22" s="576"/>
      <c r="AO22" s="576"/>
      <c r="AP22" s="576"/>
      <c r="AQ22" s="576"/>
      <c r="AR22" s="576"/>
      <c r="AS22" s="576"/>
      <c r="AT22" s="576"/>
    </row>
    <row r="23" spans="1:46" ht="12.75">
      <c r="A23" s="193"/>
      <c r="B23" s="193"/>
      <c r="C23" s="193"/>
      <c r="D23" s="580" t="s">
        <v>181</v>
      </c>
      <c r="E23" s="193"/>
      <c r="F23" s="193"/>
      <c r="G23" s="193"/>
      <c r="H23" s="193"/>
      <c r="I23" s="193"/>
      <c r="J23" s="565"/>
      <c r="K23" s="862" t="s">
        <v>178</v>
      </c>
      <c r="L23" s="862"/>
      <c r="M23" s="862"/>
      <c r="N23" s="862"/>
      <c r="O23" s="566"/>
      <c r="Q23" s="836"/>
    </row>
    <row r="24" spans="1:46" s="189" customFormat="1">
      <c r="J24" s="244"/>
      <c r="K24" s="254"/>
      <c r="L24" s="255"/>
      <c r="P24" s="256"/>
      <c r="Q24" s="836"/>
      <c r="R24" s="256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</row>
    <row r="25" spans="1:46" ht="51">
      <c r="Q25" s="836"/>
      <c r="R25" s="587"/>
      <c r="S25" s="259"/>
      <c r="T25" s="259" t="s">
        <v>251</v>
      </c>
      <c r="U25" s="259" t="s">
        <v>252</v>
      </c>
      <c r="V25" s="259" t="s">
        <v>253</v>
      </c>
      <c r="W25" s="259" t="s">
        <v>254</v>
      </c>
      <c r="X25" s="259" t="s">
        <v>201</v>
      </c>
      <c r="Y25" s="259" t="s">
        <v>255</v>
      </c>
      <c r="Z25" s="259" t="s">
        <v>256</v>
      </c>
      <c r="AA25" s="259" t="s">
        <v>257</v>
      </c>
      <c r="AB25" s="259" t="s">
        <v>258</v>
      </c>
      <c r="AC25" s="259" t="s">
        <v>259</v>
      </c>
      <c r="AD25" s="259" t="s">
        <v>260</v>
      </c>
      <c r="AE25" s="259" t="s">
        <v>261</v>
      </c>
    </row>
    <row r="26" spans="1:46" ht="15" customHeight="1">
      <c r="Q26" s="836" t="s">
        <v>262</v>
      </c>
      <c r="T26" s="259"/>
      <c r="U26" s="259">
        <v>150000</v>
      </c>
      <c r="V26" s="259"/>
      <c r="W26" s="259"/>
      <c r="X26" s="259"/>
      <c r="Y26" s="259"/>
      <c r="Z26" s="259"/>
      <c r="AA26" s="259"/>
      <c r="AB26" s="259"/>
      <c r="AC26" s="259"/>
      <c r="AD26" s="259"/>
      <c r="AE26" s="259">
        <f t="shared" ref="AE26:AE31" si="0">SUM(T26:AD26)</f>
        <v>150000</v>
      </c>
      <c r="AG26" s="192">
        <v>374000</v>
      </c>
      <c r="AH26" s="191">
        <f>AG26/5500</f>
        <v>68</v>
      </c>
    </row>
    <row r="27" spans="1:46">
      <c r="Q27" s="836"/>
      <c r="T27" s="259"/>
      <c r="U27" s="259"/>
      <c r="V27" s="259">
        <v>600000</v>
      </c>
      <c r="W27" s="259"/>
      <c r="X27" s="259"/>
      <c r="Y27" s="259"/>
      <c r="Z27" s="259"/>
      <c r="AA27" s="259"/>
      <c r="AB27" s="259"/>
      <c r="AC27" s="259"/>
      <c r="AD27" s="259"/>
      <c r="AE27" s="259">
        <f t="shared" si="0"/>
        <v>600000</v>
      </c>
      <c r="AG27" s="192">
        <v>260000</v>
      </c>
    </row>
    <row r="28" spans="1:46">
      <c r="Q28" s="836"/>
      <c r="R28" s="260" t="s">
        <v>263</v>
      </c>
      <c r="S28" s="235"/>
      <c r="T28" s="259"/>
      <c r="U28" s="259"/>
      <c r="V28" s="259"/>
      <c r="W28" s="259"/>
      <c r="X28" s="259"/>
      <c r="Y28" s="259"/>
      <c r="Z28" s="259"/>
      <c r="AA28" s="259"/>
      <c r="AB28" s="259"/>
      <c r="AC28" s="259"/>
      <c r="AD28" s="259"/>
      <c r="AE28" s="259">
        <f t="shared" si="0"/>
        <v>0</v>
      </c>
      <c r="AG28" s="192">
        <v>165000</v>
      </c>
      <c r="AH28" s="191">
        <f>AG28/5500</f>
        <v>30</v>
      </c>
    </row>
    <row r="29" spans="1:46">
      <c r="Q29" s="836"/>
      <c r="R29" s="260" t="s">
        <v>264</v>
      </c>
      <c r="S29" s="235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>
        <f t="shared" si="0"/>
        <v>0</v>
      </c>
    </row>
    <row r="30" spans="1:46">
      <c r="Q30" s="836"/>
      <c r="R30" s="260" t="s">
        <v>265</v>
      </c>
      <c r="S30" s="235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59">
        <f t="shared" si="0"/>
        <v>0</v>
      </c>
    </row>
    <row r="31" spans="1:46">
      <c r="Q31" s="836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>
        <f t="shared" si="0"/>
        <v>0</v>
      </c>
    </row>
    <row r="32" spans="1:46">
      <c r="Q32" s="836"/>
      <c r="R32" s="262"/>
      <c r="S32" s="263"/>
      <c r="T32" s="263">
        <f>SUM(T26:T31)</f>
        <v>0</v>
      </c>
      <c r="U32" s="263">
        <f t="shared" ref="U32:AE32" si="1">SUM(U26:U31)</f>
        <v>150000</v>
      </c>
      <c r="V32" s="263">
        <f t="shared" si="1"/>
        <v>600000</v>
      </c>
      <c r="W32" s="263">
        <f t="shared" si="1"/>
        <v>0</v>
      </c>
      <c r="X32" s="263">
        <f t="shared" si="1"/>
        <v>0</v>
      </c>
      <c r="Y32" s="263">
        <f t="shared" si="1"/>
        <v>0</v>
      </c>
      <c r="Z32" s="263">
        <f t="shared" si="1"/>
        <v>0</v>
      </c>
      <c r="AA32" s="263">
        <f t="shared" si="1"/>
        <v>0</v>
      </c>
      <c r="AB32" s="263">
        <f t="shared" si="1"/>
        <v>0</v>
      </c>
      <c r="AC32" s="263">
        <f t="shared" si="1"/>
        <v>0</v>
      </c>
      <c r="AD32" s="263">
        <f t="shared" si="1"/>
        <v>0</v>
      </c>
      <c r="AE32" s="264">
        <f t="shared" si="1"/>
        <v>750000</v>
      </c>
    </row>
    <row r="33" spans="1:46" s="267" customFormat="1">
      <c r="A33" s="189"/>
      <c r="B33" s="189"/>
      <c r="C33" s="189"/>
      <c r="D33" s="189"/>
      <c r="E33" s="189"/>
      <c r="F33" s="189"/>
      <c r="G33" s="189"/>
      <c r="H33" s="189"/>
      <c r="I33" s="189"/>
      <c r="J33" s="244"/>
      <c r="K33" s="254"/>
      <c r="L33" s="255"/>
      <c r="M33" s="189"/>
      <c r="N33" s="189"/>
      <c r="O33" s="189"/>
      <c r="P33" s="265"/>
      <c r="Q33" s="836"/>
      <c r="R33" s="265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265"/>
      <c r="AT33" s="265"/>
    </row>
    <row r="34" spans="1:46" ht="12.75" customHeight="1">
      <c r="Q34" s="836" t="s">
        <v>266</v>
      </c>
      <c r="R34" s="587"/>
      <c r="S34" s="259"/>
      <c r="T34" s="259" t="s">
        <v>251</v>
      </c>
      <c r="U34" s="259" t="s">
        <v>252</v>
      </c>
      <c r="V34" s="259" t="s">
        <v>253</v>
      </c>
      <c r="W34" s="259" t="s">
        <v>254</v>
      </c>
      <c r="X34" s="259" t="s">
        <v>201</v>
      </c>
      <c r="Y34" s="259" t="s">
        <v>255</v>
      </c>
      <c r="Z34" s="259" t="s">
        <v>256</v>
      </c>
      <c r="AA34" s="259" t="s">
        <v>257</v>
      </c>
      <c r="AB34" s="259" t="s">
        <v>258</v>
      </c>
      <c r="AC34" s="259" t="s">
        <v>259</v>
      </c>
      <c r="AD34" s="259" t="s">
        <v>260</v>
      </c>
      <c r="AE34" s="259" t="s">
        <v>261</v>
      </c>
    </row>
    <row r="35" spans="1:46">
      <c r="Q35" s="836"/>
      <c r="R35" s="587" t="s">
        <v>267</v>
      </c>
      <c r="S35" s="259">
        <v>540000</v>
      </c>
      <c r="T35" s="259">
        <f>10*5500</f>
        <v>55000</v>
      </c>
      <c r="U35" s="259"/>
      <c r="V35" s="259">
        <f>10*5500</f>
        <v>55000</v>
      </c>
      <c r="W35" s="259"/>
      <c r="X35" s="259"/>
      <c r="Y35" s="259"/>
      <c r="Z35" s="259"/>
      <c r="AA35" s="259"/>
      <c r="AB35" s="259"/>
      <c r="AC35" s="259"/>
      <c r="AD35" s="259"/>
      <c r="AE35" s="259">
        <f t="shared" ref="AE35:AE40" si="2">SUM(T35:AD35)</f>
        <v>110000</v>
      </c>
      <c r="AF35" s="225">
        <f>AE35+AE43+AE51+AE59+AE67+AE75+AE26</f>
        <v>799000</v>
      </c>
      <c r="AG35" s="225" t="e">
        <f>#REF!</f>
        <v>#REF!</v>
      </c>
      <c r="AH35" s="225" t="e">
        <f>AF35-AG35</f>
        <v>#REF!</v>
      </c>
    </row>
    <row r="36" spans="1:46">
      <c r="Q36" s="836"/>
      <c r="R36" s="587" t="s">
        <v>268</v>
      </c>
      <c r="S36" s="259">
        <v>90000</v>
      </c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>
        <f t="shared" si="2"/>
        <v>0</v>
      </c>
      <c r="AF36" s="225">
        <f>AE36+AE44+AE52+AE60+AE68+AE76+AE27</f>
        <v>600000</v>
      </c>
      <c r="AG36" s="225" t="e">
        <f>#REF!</f>
        <v>#REF!</v>
      </c>
      <c r="AH36" s="225" t="e">
        <f>AF36-AG36</f>
        <v>#REF!</v>
      </c>
    </row>
    <row r="37" spans="1:46">
      <c r="Q37" s="836"/>
      <c r="R37" s="587" t="s">
        <v>269</v>
      </c>
      <c r="S37" s="259">
        <v>3168000</v>
      </c>
      <c r="T37" s="259">
        <v>450000</v>
      </c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>
        <f t="shared" si="2"/>
        <v>450000</v>
      </c>
      <c r="AF37" s="225">
        <f>AE37+AE45+AE53+AE61+AE69+AE77</f>
        <v>4657500</v>
      </c>
      <c r="AG37" s="225" t="e">
        <f>#REF!</f>
        <v>#REF!</v>
      </c>
      <c r="AH37" s="225" t="e">
        <f>AF37-AG37</f>
        <v>#REF!</v>
      </c>
    </row>
    <row r="38" spans="1:46">
      <c r="Q38" s="836"/>
      <c r="R38" s="587" t="s">
        <v>270</v>
      </c>
      <c r="S38" s="259">
        <v>3000000</v>
      </c>
      <c r="T38" s="259">
        <v>500000</v>
      </c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>
        <f t="shared" si="2"/>
        <v>500000</v>
      </c>
      <c r="AF38" s="225">
        <f>AE38+AE46+AE54+AE62+AE70+AE78</f>
        <v>4000000</v>
      </c>
      <c r="AG38" s="225" t="e">
        <f>#REF!</f>
        <v>#REF!</v>
      </c>
      <c r="AH38" s="225" t="e">
        <f>AF38-AG38</f>
        <v>#REF!</v>
      </c>
    </row>
    <row r="39" spans="1:46" s="191" customFormat="1">
      <c r="A39" s="189"/>
      <c r="B39" s="189"/>
      <c r="C39" s="189"/>
      <c r="D39" s="189"/>
      <c r="E39" s="189"/>
      <c r="F39" s="189"/>
      <c r="G39" s="189"/>
      <c r="H39" s="189"/>
      <c r="I39" s="189"/>
      <c r="J39" s="244"/>
      <c r="K39" s="254"/>
      <c r="L39" s="255"/>
      <c r="M39" s="189"/>
      <c r="N39" s="189"/>
      <c r="O39" s="189"/>
      <c r="Q39" s="836"/>
      <c r="R39" s="191" t="s">
        <v>271</v>
      </c>
      <c r="S39" s="192">
        <v>3000000</v>
      </c>
      <c r="T39" s="261">
        <v>500000</v>
      </c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59">
        <f t="shared" si="2"/>
        <v>500000</v>
      </c>
      <c r="AF39" s="225">
        <f>AE39+AE47+AE55+AE63+AE71+AE79</f>
        <v>4700000</v>
      </c>
      <c r="AG39" s="225" t="e">
        <f>#REF!</f>
        <v>#REF!</v>
      </c>
      <c r="AH39" s="225" t="e">
        <f>AF39-AG39</f>
        <v>#REF!</v>
      </c>
    </row>
    <row r="40" spans="1:46" s="191" customFormat="1">
      <c r="A40" s="189"/>
      <c r="B40" s="189"/>
      <c r="C40" s="189"/>
      <c r="D40" s="189"/>
      <c r="E40" s="189"/>
      <c r="F40" s="189"/>
      <c r="G40" s="189"/>
      <c r="H40" s="189"/>
      <c r="I40" s="189"/>
      <c r="J40" s="244"/>
      <c r="K40" s="254"/>
      <c r="L40" s="255"/>
      <c r="M40" s="189"/>
      <c r="N40" s="189"/>
      <c r="O40" s="189"/>
      <c r="Q40" s="836"/>
      <c r="S40" s="192"/>
      <c r="T40" s="259"/>
      <c r="U40" s="259"/>
      <c r="V40" s="259"/>
      <c r="W40" s="259"/>
      <c r="X40" s="259"/>
      <c r="Y40" s="259"/>
      <c r="Z40" s="259"/>
      <c r="AA40" s="259"/>
      <c r="AB40" s="259"/>
      <c r="AC40" s="259"/>
      <c r="AD40" s="259"/>
      <c r="AE40" s="259">
        <f t="shared" si="2"/>
        <v>0</v>
      </c>
    </row>
    <row r="41" spans="1:46" s="191" customFormat="1">
      <c r="A41" s="189"/>
      <c r="B41" s="189"/>
      <c r="C41" s="189"/>
      <c r="D41" s="189"/>
      <c r="E41" s="189"/>
      <c r="F41" s="189"/>
      <c r="G41" s="189"/>
      <c r="H41" s="189"/>
      <c r="I41" s="189"/>
      <c r="J41" s="244"/>
      <c r="K41" s="254"/>
      <c r="L41" s="255"/>
      <c r="M41" s="189"/>
      <c r="N41" s="189"/>
      <c r="O41" s="189"/>
      <c r="Q41" s="836"/>
      <c r="R41" s="262"/>
      <c r="S41" s="263"/>
      <c r="T41" s="263">
        <f>SUM(T35:T40)</f>
        <v>1505000</v>
      </c>
      <c r="U41" s="263">
        <f t="shared" ref="U41:AE41" si="3">SUM(U35:U40)</f>
        <v>0</v>
      </c>
      <c r="V41" s="263">
        <f t="shared" si="3"/>
        <v>55000</v>
      </c>
      <c r="W41" s="263">
        <f t="shared" si="3"/>
        <v>0</v>
      </c>
      <c r="X41" s="263">
        <f t="shared" si="3"/>
        <v>0</v>
      </c>
      <c r="Y41" s="263">
        <f t="shared" si="3"/>
        <v>0</v>
      </c>
      <c r="Z41" s="263">
        <f t="shared" si="3"/>
        <v>0</v>
      </c>
      <c r="AA41" s="263">
        <f t="shared" si="3"/>
        <v>0</v>
      </c>
      <c r="AB41" s="263">
        <f t="shared" si="3"/>
        <v>0</v>
      </c>
      <c r="AC41" s="263">
        <f t="shared" si="3"/>
        <v>0</v>
      </c>
      <c r="AD41" s="263">
        <f t="shared" si="3"/>
        <v>0</v>
      </c>
      <c r="AE41" s="264">
        <f t="shared" si="3"/>
        <v>1560000</v>
      </c>
    </row>
    <row r="42" spans="1:46" s="191" customFormat="1" ht="12.75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244"/>
      <c r="K42" s="254"/>
      <c r="L42" s="255"/>
      <c r="M42" s="189"/>
      <c r="N42" s="189"/>
      <c r="O42" s="189"/>
      <c r="Q42" s="836" t="s">
        <v>272</v>
      </c>
      <c r="R42" s="587"/>
      <c r="S42" s="259"/>
      <c r="T42" s="259" t="s">
        <v>251</v>
      </c>
      <c r="U42" s="259" t="s">
        <v>252</v>
      </c>
      <c r="V42" s="259" t="s">
        <v>253</v>
      </c>
      <c r="W42" s="259" t="s">
        <v>254</v>
      </c>
      <c r="X42" s="259" t="s">
        <v>201</v>
      </c>
      <c r="Y42" s="259" t="s">
        <v>255</v>
      </c>
      <c r="Z42" s="259" t="s">
        <v>256</v>
      </c>
      <c r="AA42" s="259" t="s">
        <v>257</v>
      </c>
      <c r="AB42" s="259" t="s">
        <v>258</v>
      </c>
      <c r="AC42" s="259" t="s">
        <v>259</v>
      </c>
      <c r="AD42" s="259" t="s">
        <v>260</v>
      </c>
      <c r="AE42" s="259" t="s">
        <v>261</v>
      </c>
    </row>
    <row r="43" spans="1:46" s="191" customFormat="1">
      <c r="A43" s="189"/>
      <c r="B43" s="189"/>
      <c r="C43" s="189"/>
      <c r="D43" s="189"/>
      <c r="E43" s="189"/>
      <c r="F43" s="189"/>
      <c r="G43" s="189"/>
      <c r="H43" s="189"/>
      <c r="I43" s="189"/>
      <c r="J43" s="244"/>
      <c r="K43" s="254"/>
      <c r="L43" s="255"/>
      <c r="M43" s="189"/>
      <c r="N43" s="189"/>
      <c r="O43" s="189"/>
      <c r="Q43" s="836"/>
      <c r="R43" s="587" t="s">
        <v>267</v>
      </c>
      <c r="S43" s="259">
        <v>540000</v>
      </c>
      <c r="T43" s="259"/>
      <c r="U43" s="259">
        <f>20*5500</f>
        <v>110000</v>
      </c>
      <c r="V43" s="259"/>
      <c r="W43" s="259"/>
      <c r="X43" s="259"/>
      <c r="Y43" s="259"/>
      <c r="Z43" s="259"/>
      <c r="AA43" s="259"/>
      <c r="AB43" s="259"/>
      <c r="AC43" s="259"/>
      <c r="AD43" s="259"/>
      <c r="AE43" s="259">
        <f t="shared" ref="AE43:AE48" si="4">SUM(T43:AD43)</f>
        <v>110000</v>
      </c>
    </row>
    <row r="44" spans="1:46" s="191" customFormat="1">
      <c r="A44" s="189"/>
      <c r="B44" s="189"/>
      <c r="C44" s="189"/>
      <c r="D44" s="189"/>
      <c r="E44" s="189"/>
      <c r="F44" s="189"/>
      <c r="G44" s="189"/>
      <c r="H44" s="189"/>
      <c r="I44" s="189"/>
      <c r="J44" s="244"/>
      <c r="K44" s="254"/>
      <c r="L44" s="255"/>
      <c r="M44" s="189"/>
      <c r="N44" s="189"/>
      <c r="O44" s="189"/>
      <c r="Q44" s="836"/>
      <c r="R44" s="587" t="s">
        <v>268</v>
      </c>
      <c r="S44" s="259">
        <v>90000</v>
      </c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>
        <f t="shared" si="4"/>
        <v>0</v>
      </c>
    </row>
    <row r="45" spans="1:46" s="191" customFormat="1">
      <c r="A45" s="189"/>
      <c r="B45" s="189"/>
      <c r="C45" s="189"/>
      <c r="D45" s="189"/>
      <c r="E45" s="189"/>
      <c r="F45" s="189"/>
      <c r="G45" s="189"/>
      <c r="H45" s="189"/>
      <c r="I45" s="189"/>
      <c r="J45" s="244"/>
      <c r="K45" s="254"/>
      <c r="L45" s="255"/>
      <c r="M45" s="189"/>
      <c r="N45" s="189"/>
      <c r="O45" s="189"/>
      <c r="Q45" s="836"/>
      <c r="R45" s="587" t="s">
        <v>269</v>
      </c>
      <c r="S45" s="259">
        <v>3168000</v>
      </c>
      <c r="T45" s="259"/>
      <c r="U45" s="259">
        <v>450000</v>
      </c>
      <c r="V45" s="259"/>
      <c r="W45" s="259"/>
      <c r="X45" s="259"/>
      <c r="Y45" s="259"/>
      <c r="Z45" s="259"/>
      <c r="AA45" s="259"/>
      <c r="AB45" s="259"/>
      <c r="AC45" s="259"/>
      <c r="AD45" s="259"/>
      <c r="AE45" s="259">
        <f t="shared" si="4"/>
        <v>450000</v>
      </c>
    </row>
    <row r="46" spans="1:46" s="191" customFormat="1">
      <c r="A46" s="189"/>
      <c r="B46" s="189"/>
      <c r="C46" s="189"/>
      <c r="D46" s="189"/>
      <c r="E46" s="189"/>
      <c r="F46" s="189"/>
      <c r="G46" s="189"/>
      <c r="H46" s="189"/>
      <c r="I46" s="189"/>
      <c r="J46" s="244"/>
      <c r="K46" s="254"/>
      <c r="L46" s="255"/>
      <c r="M46" s="189"/>
      <c r="N46" s="189"/>
      <c r="O46" s="189"/>
      <c r="Q46" s="836"/>
      <c r="R46" s="587" t="s">
        <v>270</v>
      </c>
      <c r="S46" s="259">
        <v>3000000</v>
      </c>
      <c r="T46" s="259"/>
      <c r="U46" s="259">
        <v>500000</v>
      </c>
      <c r="V46" s="259"/>
      <c r="W46" s="259"/>
      <c r="X46" s="259"/>
      <c r="Y46" s="259"/>
      <c r="Z46" s="259"/>
      <c r="AA46" s="259"/>
      <c r="AB46" s="259"/>
      <c r="AC46" s="259"/>
      <c r="AD46" s="259"/>
      <c r="AE46" s="259">
        <f t="shared" si="4"/>
        <v>500000</v>
      </c>
    </row>
    <row r="47" spans="1:46" s="191" customFormat="1">
      <c r="A47" s="189"/>
      <c r="B47" s="189"/>
      <c r="C47" s="189"/>
      <c r="D47" s="189"/>
      <c r="E47" s="189"/>
      <c r="F47" s="189"/>
      <c r="G47" s="189"/>
      <c r="H47" s="189"/>
      <c r="I47" s="189"/>
      <c r="J47" s="244"/>
      <c r="K47" s="254"/>
      <c r="L47" s="255"/>
      <c r="M47" s="189"/>
      <c r="N47" s="189"/>
      <c r="O47" s="189"/>
      <c r="Q47" s="836"/>
      <c r="R47" s="191" t="s">
        <v>271</v>
      </c>
      <c r="S47" s="192">
        <v>3000000</v>
      </c>
      <c r="T47" s="261"/>
      <c r="U47" s="261">
        <v>500000</v>
      </c>
      <c r="V47" s="261"/>
      <c r="W47" s="261"/>
      <c r="X47" s="261"/>
      <c r="Y47" s="261"/>
      <c r="Z47" s="261"/>
      <c r="AA47" s="261"/>
      <c r="AB47" s="261"/>
      <c r="AC47" s="261"/>
      <c r="AD47" s="261"/>
      <c r="AE47" s="259">
        <f t="shared" si="4"/>
        <v>500000</v>
      </c>
    </row>
    <row r="48" spans="1:46" s="191" customFormat="1">
      <c r="A48" s="189"/>
      <c r="B48" s="189"/>
      <c r="C48" s="189"/>
      <c r="D48" s="189"/>
      <c r="E48" s="189"/>
      <c r="F48" s="189"/>
      <c r="G48" s="189"/>
      <c r="H48" s="189"/>
      <c r="I48" s="189"/>
      <c r="J48" s="244"/>
      <c r="K48" s="254"/>
      <c r="L48" s="255"/>
      <c r="M48" s="189"/>
      <c r="N48" s="189"/>
      <c r="O48" s="189"/>
      <c r="Q48" s="836"/>
      <c r="S48" s="192"/>
      <c r="T48" s="259"/>
      <c r="U48" s="259"/>
      <c r="V48" s="259"/>
      <c r="W48" s="259"/>
      <c r="X48" s="259"/>
      <c r="Y48" s="259"/>
      <c r="Z48" s="259"/>
      <c r="AA48" s="259"/>
      <c r="AB48" s="259"/>
      <c r="AC48" s="259"/>
      <c r="AD48" s="259"/>
      <c r="AE48" s="259">
        <f t="shared" si="4"/>
        <v>0</v>
      </c>
    </row>
    <row r="49" spans="1:31" s="191" customFormat="1">
      <c r="A49" s="189"/>
      <c r="B49" s="189"/>
      <c r="C49" s="189"/>
      <c r="D49" s="189"/>
      <c r="E49" s="189"/>
      <c r="F49" s="189"/>
      <c r="G49" s="189"/>
      <c r="H49" s="189"/>
      <c r="I49" s="189"/>
      <c r="J49" s="244"/>
      <c r="K49" s="254"/>
      <c r="L49" s="255"/>
      <c r="M49" s="189"/>
      <c r="N49" s="189"/>
      <c r="O49" s="189"/>
      <c r="Q49" s="836"/>
      <c r="R49" s="587"/>
      <c r="S49" s="192"/>
      <c r="T49" s="263">
        <f>SUM(T43:T48)</f>
        <v>0</v>
      </c>
      <c r="U49" s="263">
        <f t="shared" ref="U49:AE49" si="5">SUM(U43:U48)</f>
        <v>1560000</v>
      </c>
      <c r="V49" s="263">
        <f t="shared" si="5"/>
        <v>0</v>
      </c>
      <c r="W49" s="263">
        <f t="shared" si="5"/>
        <v>0</v>
      </c>
      <c r="X49" s="263">
        <f t="shared" si="5"/>
        <v>0</v>
      </c>
      <c r="Y49" s="263">
        <f t="shared" si="5"/>
        <v>0</v>
      </c>
      <c r="Z49" s="263">
        <f t="shared" si="5"/>
        <v>0</v>
      </c>
      <c r="AA49" s="263">
        <f t="shared" si="5"/>
        <v>0</v>
      </c>
      <c r="AB49" s="263">
        <f t="shared" si="5"/>
        <v>0</v>
      </c>
      <c r="AC49" s="263">
        <f t="shared" si="5"/>
        <v>0</v>
      </c>
      <c r="AD49" s="263">
        <f t="shared" si="5"/>
        <v>0</v>
      </c>
      <c r="AE49" s="264">
        <f t="shared" si="5"/>
        <v>1560000</v>
      </c>
    </row>
    <row r="50" spans="1:31" s="191" customFormat="1" ht="51">
      <c r="A50" s="189"/>
      <c r="B50" s="189"/>
      <c r="C50" s="189"/>
      <c r="D50" s="189"/>
      <c r="E50" s="189"/>
      <c r="F50" s="189"/>
      <c r="G50" s="189"/>
      <c r="H50" s="189"/>
      <c r="I50" s="189"/>
      <c r="J50" s="244"/>
      <c r="K50" s="254"/>
      <c r="L50" s="255"/>
      <c r="M50" s="189"/>
      <c r="N50" s="189"/>
      <c r="O50" s="189"/>
      <c r="Q50" s="836" t="s">
        <v>273</v>
      </c>
      <c r="R50" s="587"/>
      <c r="S50" s="259"/>
      <c r="T50" s="259" t="s">
        <v>251</v>
      </c>
      <c r="U50" s="259" t="s">
        <v>252</v>
      </c>
      <c r="V50" s="259" t="s">
        <v>253</v>
      </c>
      <c r="W50" s="259" t="s">
        <v>254</v>
      </c>
      <c r="X50" s="259" t="s">
        <v>201</v>
      </c>
      <c r="Y50" s="259" t="s">
        <v>255</v>
      </c>
      <c r="Z50" s="259" t="s">
        <v>256</v>
      </c>
      <c r="AA50" s="259" t="s">
        <v>257</v>
      </c>
      <c r="AB50" s="259" t="s">
        <v>258</v>
      </c>
      <c r="AC50" s="259" t="s">
        <v>259</v>
      </c>
      <c r="AD50" s="259" t="s">
        <v>260</v>
      </c>
      <c r="AE50" s="259" t="s">
        <v>261</v>
      </c>
    </row>
    <row r="51" spans="1:31" s="191" customFormat="1">
      <c r="A51" s="189"/>
      <c r="B51" s="189"/>
      <c r="C51" s="189"/>
      <c r="D51" s="189"/>
      <c r="E51" s="189"/>
      <c r="F51" s="189"/>
      <c r="G51" s="189"/>
      <c r="H51" s="189"/>
      <c r="I51" s="189"/>
      <c r="J51" s="244"/>
      <c r="K51" s="254"/>
      <c r="L51" s="255"/>
      <c r="M51" s="189"/>
      <c r="N51" s="189"/>
      <c r="O51" s="189"/>
      <c r="Q51" s="836"/>
      <c r="R51" s="587" t="s">
        <v>267</v>
      </c>
      <c r="S51" s="259">
        <v>540000</v>
      </c>
      <c r="T51" s="259">
        <f>10*5500</f>
        <v>55000</v>
      </c>
      <c r="U51" s="259"/>
      <c r="V51" s="259">
        <f>10*5500</f>
        <v>55000</v>
      </c>
      <c r="W51" s="259"/>
      <c r="X51" s="259"/>
      <c r="Y51" s="259"/>
      <c r="Z51" s="259"/>
      <c r="AA51" s="259"/>
      <c r="AB51" s="259"/>
      <c r="AC51" s="259"/>
      <c r="AD51" s="259"/>
      <c r="AE51" s="259">
        <f t="shared" ref="AE51:AE56" si="6">SUM(T51:AD51)</f>
        <v>110000</v>
      </c>
    </row>
    <row r="52" spans="1:31" s="191" customFormat="1">
      <c r="A52" s="189"/>
      <c r="B52" s="189"/>
      <c r="C52" s="189"/>
      <c r="D52" s="189"/>
      <c r="E52" s="189"/>
      <c r="F52" s="189"/>
      <c r="G52" s="189"/>
      <c r="H52" s="189"/>
      <c r="I52" s="189"/>
      <c r="J52" s="244"/>
      <c r="K52" s="254"/>
      <c r="L52" s="255"/>
      <c r="M52" s="189"/>
      <c r="N52" s="189"/>
      <c r="O52" s="189"/>
      <c r="Q52" s="836"/>
      <c r="R52" s="587" t="s">
        <v>268</v>
      </c>
      <c r="S52" s="259">
        <v>90000</v>
      </c>
      <c r="T52" s="259"/>
      <c r="U52" s="259"/>
      <c r="V52" s="259"/>
      <c r="W52" s="259"/>
      <c r="X52" s="259"/>
      <c r="Y52" s="259"/>
      <c r="Z52" s="259"/>
      <c r="AA52" s="259"/>
      <c r="AB52" s="259"/>
      <c r="AC52" s="259"/>
      <c r="AD52" s="259"/>
      <c r="AE52" s="259">
        <f t="shared" si="6"/>
        <v>0</v>
      </c>
    </row>
    <row r="53" spans="1:31" s="191" customFormat="1">
      <c r="A53" s="189"/>
      <c r="B53" s="189"/>
      <c r="C53" s="189"/>
      <c r="D53" s="189"/>
      <c r="E53" s="189"/>
      <c r="F53" s="189"/>
      <c r="G53" s="189"/>
      <c r="H53" s="189"/>
      <c r="I53" s="189"/>
      <c r="J53" s="244"/>
      <c r="K53" s="254"/>
      <c r="L53" s="255"/>
      <c r="M53" s="189"/>
      <c r="N53" s="189"/>
      <c r="O53" s="189"/>
      <c r="Q53" s="836"/>
      <c r="R53" s="587" t="s">
        <v>269</v>
      </c>
      <c r="S53" s="259">
        <v>3168000</v>
      </c>
      <c r="T53" s="259">
        <v>450000</v>
      </c>
      <c r="U53" s="259"/>
      <c r="V53" s="259">
        <v>450000</v>
      </c>
      <c r="W53" s="259"/>
      <c r="X53" s="259"/>
      <c r="Y53" s="259"/>
      <c r="Z53" s="259"/>
      <c r="AA53" s="259"/>
      <c r="AB53" s="259"/>
      <c r="AC53" s="259"/>
      <c r="AD53" s="259"/>
      <c r="AE53" s="259">
        <f t="shared" si="6"/>
        <v>900000</v>
      </c>
    </row>
    <row r="54" spans="1:31" s="191" customFormat="1">
      <c r="A54" s="189"/>
      <c r="B54" s="189"/>
      <c r="C54" s="189"/>
      <c r="D54" s="189"/>
      <c r="E54" s="189"/>
      <c r="F54" s="189"/>
      <c r="G54" s="189"/>
      <c r="H54" s="189"/>
      <c r="I54" s="189"/>
      <c r="J54" s="244"/>
      <c r="K54" s="254"/>
      <c r="L54" s="255"/>
      <c r="M54" s="189"/>
      <c r="N54" s="189"/>
      <c r="O54" s="189"/>
      <c r="Q54" s="836"/>
      <c r="R54" s="587" t="s">
        <v>270</v>
      </c>
      <c r="S54" s="259">
        <v>3000000</v>
      </c>
      <c r="T54" s="259">
        <v>500000</v>
      </c>
      <c r="U54" s="259"/>
      <c r="V54" s="259">
        <v>500000</v>
      </c>
      <c r="W54" s="259"/>
      <c r="X54" s="259"/>
      <c r="Y54" s="259"/>
      <c r="Z54" s="259"/>
      <c r="AA54" s="259"/>
      <c r="AB54" s="259"/>
      <c r="AC54" s="259"/>
      <c r="AD54" s="259"/>
      <c r="AE54" s="259">
        <f t="shared" si="6"/>
        <v>1000000</v>
      </c>
    </row>
    <row r="55" spans="1:31" s="191" customFormat="1">
      <c r="A55" s="189"/>
      <c r="B55" s="189"/>
      <c r="C55" s="189"/>
      <c r="D55" s="189"/>
      <c r="E55" s="189"/>
      <c r="F55" s="189"/>
      <c r="G55" s="189"/>
      <c r="H55" s="189"/>
      <c r="I55" s="189"/>
      <c r="J55" s="244"/>
      <c r="K55" s="254"/>
      <c r="L55" s="255"/>
      <c r="M55" s="189"/>
      <c r="N55" s="189"/>
      <c r="O55" s="189"/>
      <c r="Q55" s="836"/>
      <c r="R55" s="191" t="s">
        <v>271</v>
      </c>
      <c r="S55" s="192">
        <v>3000000</v>
      </c>
      <c r="T55" s="261">
        <v>500000</v>
      </c>
      <c r="U55" s="261"/>
      <c r="V55" s="261">
        <v>500000</v>
      </c>
      <c r="W55" s="261"/>
      <c r="X55" s="261"/>
      <c r="Y55" s="261"/>
      <c r="Z55" s="261"/>
      <c r="AA55" s="261"/>
      <c r="AB55" s="261"/>
      <c r="AC55" s="261"/>
      <c r="AD55" s="261"/>
      <c r="AE55" s="259">
        <f t="shared" si="6"/>
        <v>1000000</v>
      </c>
    </row>
    <row r="56" spans="1:31" s="191" customFormat="1">
      <c r="A56" s="189"/>
      <c r="B56" s="189"/>
      <c r="C56" s="189"/>
      <c r="D56" s="189"/>
      <c r="E56" s="189"/>
      <c r="F56" s="189"/>
      <c r="G56" s="189"/>
      <c r="H56" s="189"/>
      <c r="I56" s="189"/>
      <c r="J56" s="244"/>
      <c r="K56" s="254"/>
      <c r="L56" s="255"/>
      <c r="M56" s="189"/>
      <c r="N56" s="189"/>
      <c r="O56" s="189"/>
      <c r="Q56" s="836"/>
      <c r="S56" s="192"/>
      <c r="T56" s="259"/>
      <c r="U56" s="259"/>
      <c r="V56" s="259"/>
      <c r="W56" s="259"/>
      <c r="X56" s="259"/>
      <c r="Y56" s="259"/>
      <c r="Z56" s="259"/>
      <c r="AA56" s="259"/>
      <c r="AB56" s="259"/>
      <c r="AC56" s="259"/>
      <c r="AD56" s="259"/>
      <c r="AE56" s="259">
        <f t="shared" si="6"/>
        <v>0</v>
      </c>
    </row>
    <row r="57" spans="1:31" s="191" customFormat="1">
      <c r="A57" s="189"/>
      <c r="B57" s="189"/>
      <c r="C57" s="189"/>
      <c r="D57" s="189"/>
      <c r="E57" s="189"/>
      <c r="F57" s="189"/>
      <c r="G57" s="189"/>
      <c r="H57" s="189"/>
      <c r="I57" s="189"/>
      <c r="J57" s="244"/>
      <c r="K57" s="254"/>
      <c r="L57" s="255"/>
      <c r="M57" s="189"/>
      <c r="N57" s="189"/>
      <c r="O57" s="189"/>
      <c r="Q57" s="836"/>
      <c r="R57" s="587"/>
      <c r="S57" s="263">
        <f>SUM(S51:S56)</f>
        <v>9798000</v>
      </c>
      <c r="T57" s="263">
        <f>SUM(T51:T56)</f>
        <v>1505000</v>
      </c>
      <c r="U57" s="263">
        <f t="shared" ref="U57:AE57" si="7">SUM(U51:U56)</f>
        <v>0</v>
      </c>
      <c r="V57" s="263">
        <f t="shared" si="7"/>
        <v>1505000</v>
      </c>
      <c r="W57" s="263">
        <f t="shared" si="7"/>
        <v>0</v>
      </c>
      <c r="X57" s="263">
        <f t="shared" si="7"/>
        <v>0</v>
      </c>
      <c r="Y57" s="263">
        <f t="shared" si="7"/>
        <v>0</v>
      </c>
      <c r="Z57" s="263">
        <f t="shared" si="7"/>
        <v>0</v>
      </c>
      <c r="AA57" s="263">
        <f t="shared" si="7"/>
        <v>0</v>
      </c>
      <c r="AB57" s="263">
        <f t="shared" si="7"/>
        <v>0</v>
      </c>
      <c r="AC57" s="263">
        <f t="shared" si="7"/>
        <v>0</v>
      </c>
      <c r="AD57" s="263">
        <f t="shared" si="7"/>
        <v>0</v>
      </c>
      <c r="AE57" s="264">
        <f t="shared" si="7"/>
        <v>3010000</v>
      </c>
    </row>
    <row r="58" spans="1:31" s="191" customFormat="1" ht="51">
      <c r="A58" s="189"/>
      <c r="B58" s="189"/>
      <c r="C58" s="189"/>
      <c r="D58" s="189"/>
      <c r="E58" s="189"/>
      <c r="F58" s="189"/>
      <c r="G58" s="189"/>
      <c r="H58" s="189"/>
      <c r="I58" s="189"/>
      <c r="J58" s="244"/>
      <c r="K58" s="254"/>
      <c r="L58" s="255"/>
      <c r="M58" s="189"/>
      <c r="N58" s="189"/>
      <c r="O58" s="189"/>
      <c r="Q58" s="836" t="s">
        <v>274</v>
      </c>
      <c r="R58" s="587"/>
      <c r="S58" s="259"/>
      <c r="T58" s="259" t="s">
        <v>251</v>
      </c>
      <c r="U58" s="259" t="s">
        <v>252</v>
      </c>
      <c r="V58" s="259" t="s">
        <v>253</v>
      </c>
      <c r="W58" s="259" t="s">
        <v>254</v>
      </c>
      <c r="X58" s="259" t="s">
        <v>201</v>
      </c>
      <c r="Y58" s="259" t="s">
        <v>255</v>
      </c>
      <c r="Z58" s="259" t="s">
        <v>256</v>
      </c>
      <c r="AA58" s="259" t="s">
        <v>257</v>
      </c>
      <c r="AB58" s="259" t="s">
        <v>258</v>
      </c>
      <c r="AC58" s="259" t="s">
        <v>259</v>
      </c>
      <c r="AD58" s="259" t="s">
        <v>260</v>
      </c>
      <c r="AE58" s="259" t="s">
        <v>261</v>
      </c>
    </row>
    <row r="59" spans="1:31" s="191" customFormat="1">
      <c r="A59" s="189"/>
      <c r="B59" s="189"/>
      <c r="C59" s="189"/>
      <c r="D59" s="189"/>
      <c r="E59" s="189"/>
      <c r="F59" s="189"/>
      <c r="G59" s="189"/>
      <c r="H59" s="189"/>
      <c r="I59" s="189"/>
      <c r="J59" s="244"/>
      <c r="K59" s="254"/>
      <c r="L59" s="255"/>
      <c r="M59" s="189"/>
      <c r="N59" s="189"/>
      <c r="O59" s="189"/>
      <c r="Q59" s="836"/>
      <c r="R59" s="587" t="s">
        <v>267</v>
      </c>
      <c r="S59" s="259">
        <v>540000</v>
      </c>
      <c r="T59" s="259"/>
      <c r="U59" s="259"/>
      <c r="V59" s="259"/>
      <c r="W59" s="259"/>
      <c r="X59" s="259"/>
      <c r="Y59" s="259"/>
      <c r="Z59" s="259"/>
      <c r="AA59" s="259"/>
      <c r="AB59" s="259"/>
      <c r="AC59" s="259"/>
      <c r="AD59" s="259"/>
      <c r="AE59" s="259">
        <f t="shared" ref="AE59:AE64" si="8">SUM(T59:AD59)</f>
        <v>0</v>
      </c>
    </row>
    <row r="60" spans="1:31" s="191" customFormat="1">
      <c r="A60" s="189"/>
      <c r="B60" s="189"/>
      <c r="C60" s="189"/>
      <c r="D60" s="189"/>
      <c r="E60" s="189"/>
      <c r="F60" s="189"/>
      <c r="G60" s="189"/>
      <c r="H60" s="189"/>
      <c r="I60" s="189"/>
      <c r="J60" s="244"/>
      <c r="K60" s="254"/>
      <c r="L60" s="255"/>
      <c r="M60" s="189"/>
      <c r="N60" s="189"/>
      <c r="O60" s="189"/>
      <c r="Q60" s="836"/>
      <c r="R60" s="587" t="s">
        <v>268</v>
      </c>
      <c r="S60" s="259">
        <v>90000</v>
      </c>
      <c r="T60" s="259"/>
      <c r="U60" s="259"/>
      <c r="V60" s="259"/>
      <c r="W60" s="259"/>
      <c r="X60" s="259"/>
      <c r="Y60" s="259"/>
      <c r="Z60" s="259"/>
      <c r="AA60" s="259"/>
      <c r="AB60" s="259"/>
      <c r="AC60" s="259"/>
      <c r="AD60" s="259"/>
      <c r="AE60" s="259">
        <f t="shared" si="8"/>
        <v>0</v>
      </c>
    </row>
    <row r="61" spans="1:31" s="191" customFormat="1">
      <c r="A61" s="189"/>
      <c r="B61" s="189"/>
      <c r="C61" s="189"/>
      <c r="D61" s="189"/>
      <c r="E61" s="189"/>
      <c r="F61" s="189"/>
      <c r="G61" s="189"/>
      <c r="H61" s="189"/>
      <c r="I61" s="189"/>
      <c r="J61" s="244"/>
      <c r="K61" s="254"/>
      <c r="L61" s="255"/>
      <c r="M61" s="189"/>
      <c r="N61" s="189"/>
      <c r="O61" s="189"/>
      <c r="Q61" s="836"/>
      <c r="R61" s="587" t="s">
        <v>269</v>
      </c>
      <c r="S61" s="259">
        <v>3168000</v>
      </c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>
        <f t="shared" si="8"/>
        <v>0</v>
      </c>
    </row>
    <row r="62" spans="1:31" s="191" customFormat="1">
      <c r="A62" s="189"/>
      <c r="B62" s="189"/>
      <c r="C62" s="189"/>
      <c r="D62" s="189"/>
      <c r="E62" s="189"/>
      <c r="F62" s="189"/>
      <c r="G62" s="189"/>
      <c r="H62" s="189"/>
      <c r="I62" s="189"/>
      <c r="J62" s="244"/>
      <c r="K62" s="254"/>
      <c r="L62" s="255"/>
      <c r="M62" s="189"/>
      <c r="N62" s="189"/>
      <c r="O62" s="189"/>
      <c r="Q62" s="836"/>
      <c r="R62" s="587" t="s">
        <v>270</v>
      </c>
      <c r="S62" s="259">
        <v>3000000</v>
      </c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59">
        <f t="shared" si="8"/>
        <v>0</v>
      </c>
    </row>
    <row r="63" spans="1:31" s="191" customFormat="1">
      <c r="A63" s="189"/>
      <c r="B63" s="189"/>
      <c r="C63" s="189"/>
      <c r="D63" s="189"/>
      <c r="E63" s="189"/>
      <c r="F63" s="189"/>
      <c r="G63" s="189"/>
      <c r="H63" s="189"/>
      <c r="I63" s="189"/>
      <c r="J63" s="244"/>
      <c r="K63" s="254"/>
      <c r="L63" s="255"/>
      <c r="M63" s="189"/>
      <c r="N63" s="189"/>
      <c r="O63" s="189"/>
      <c r="Q63" s="836"/>
      <c r="R63" s="191" t="s">
        <v>271</v>
      </c>
      <c r="S63" s="192">
        <v>3000000</v>
      </c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59">
        <f t="shared" si="8"/>
        <v>0</v>
      </c>
    </row>
    <row r="64" spans="1:31" s="191" customFormat="1">
      <c r="A64" s="189"/>
      <c r="B64" s="189"/>
      <c r="C64" s="189"/>
      <c r="D64" s="189"/>
      <c r="E64" s="189"/>
      <c r="F64" s="189"/>
      <c r="G64" s="189"/>
      <c r="H64" s="189"/>
      <c r="I64" s="189"/>
      <c r="J64" s="244"/>
      <c r="K64" s="254"/>
      <c r="L64" s="255"/>
      <c r="M64" s="189"/>
      <c r="N64" s="189"/>
      <c r="O64" s="189"/>
      <c r="Q64" s="836"/>
      <c r="S64" s="192"/>
      <c r="T64" s="259"/>
      <c r="U64" s="259"/>
      <c r="V64" s="259"/>
      <c r="W64" s="259"/>
      <c r="X64" s="259"/>
      <c r="Y64" s="259"/>
      <c r="Z64" s="259"/>
      <c r="AA64" s="259"/>
      <c r="AB64" s="259"/>
      <c r="AC64" s="259"/>
      <c r="AD64" s="259"/>
      <c r="AE64" s="259">
        <f t="shared" si="8"/>
        <v>0</v>
      </c>
    </row>
    <row r="65" spans="1:33" s="191" customFormat="1">
      <c r="A65" s="189"/>
      <c r="B65" s="189"/>
      <c r="C65" s="189"/>
      <c r="D65" s="189"/>
      <c r="E65" s="189"/>
      <c r="F65" s="189"/>
      <c r="G65" s="189"/>
      <c r="H65" s="189"/>
      <c r="I65" s="189"/>
      <c r="J65" s="244"/>
      <c r="K65" s="254"/>
      <c r="L65" s="255"/>
      <c r="M65" s="189"/>
      <c r="N65" s="189"/>
      <c r="O65" s="189"/>
      <c r="Q65" s="836"/>
      <c r="R65" s="587"/>
      <c r="S65" s="263">
        <f>SUM(S59:S64)</f>
        <v>9798000</v>
      </c>
      <c r="T65" s="263">
        <f>SUM(T59:T64)</f>
        <v>0</v>
      </c>
      <c r="U65" s="263">
        <f t="shared" ref="U65:AE65" si="9">SUM(U59:U64)</f>
        <v>0</v>
      </c>
      <c r="V65" s="263">
        <f t="shared" si="9"/>
        <v>0</v>
      </c>
      <c r="W65" s="263">
        <f t="shared" si="9"/>
        <v>0</v>
      </c>
      <c r="X65" s="263">
        <f t="shared" si="9"/>
        <v>0</v>
      </c>
      <c r="Y65" s="263">
        <f t="shared" si="9"/>
        <v>0</v>
      </c>
      <c r="Z65" s="263">
        <f t="shared" si="9"/>
        <v>0</v>
      </c>
      <c r="AA65" s="263">
        <f t="shared" si="9"/>
        <v>0</v>
      </c>
      <c r="AB65" s="263">
        <f t="shared" si="9"/>
        <v>0</v>
      </c>
      <c r="AC65" s="263">
        <f t="shared" si="9"/>
        <v>0</v>
      </c>
      <c r="AD65" s="263">
        <f t="shared" si="9"/>
        <v>0</v>
      </c>
      <c r="AE65" s="264">
        <f t="shared" si="9"/>
        <v>0</v>
      </c>
    </row>
    <row r="66" spans="1:33" s="191" customFormat="1" ht="51">
      <c r="A66" s="189"/>
      <c r="B66" s="189"/>
      <c r="C66" s="189"/>
      <c r="D66" s="189"/>
      <c r="E66" s="189"/>
      <c r="F66" s="189"/>
      <c r="G66" s="189"/>
      <c r="H66" s="189"/>
      <c r="I66" s="189"/>
      <c r="J66" s="244"/>
      <c r="K66" s="254"/>
      <c r="L66" s="255"/>
      <c r="M66" s="189"/>
      <c r="N66" s="189"/>
      <c r="O66" s="189"/>
      <c r="Q66" s="836" t="s">
        <v>275</v>
      </c>
      <c r="R66" s="587"/>
      <c r="S66" s="259"/>
      <c r="T66" s="259" t="s">
        <v>251</v>
      </c>
      <c r="U66" s="259" t="s">
        <v>252</v>
      </c>
      <c r="V66" s="259" t="s">
        <v>253</v>
      </c>
      <c r="W66" s="259" t="s">
        <v>254</v>
      </c>
      <c r="X66" s="259" t="s">
        <v>201</v>
      </c>
      <c r="Y66" s="259" t="s">
        <v>255</v>
      </c>
      <c r="Z66" s="259" t="s">
        <v>256</v>
      </c>
      <c r="AA66" s="259" t="s">
        <v>257</v>
      </c>
      <c r="AB66" s="259" t="s">
        <v>258</v>
      </c>
      <c r="AC66" s="259" t="s">
        <v>259</v>
      </c>
      <c r="AD66" s="259" t="s">
        <v>260</v>
      </c>
      <c r="AE66" s="259" t="s">
        <v>261</v>
      </c>
    </row>
    <row r="67" spans="1:33" s="191" customFormat="1">
      <c r="A67" s="189"/>
      <c r="B67" s="189"/>
      <c r="C67" s="189"/>
      <c r="D67" s="189"/>
      <c r="E67" s="189"/>
      <c r="F67" s="189"/>
      <c r="G67" s="189"/>
      <c r="H67" s="189"/>
      <c r="I67" s="189"/>
      <c r="J67" s="244"/>
      <c r="K67" s="254"/>
      <c r="L67" s="255"/>
      <c r="M67" s="189"/>
      <c r="N67" s="189"/>
      <c r="O67" s="189"/>
      <c r="Q67" s="836"/>
      <c r="R67" s="587" t="s">
        <v>267</v>
      </c>
      <c r="S67" s="259">
        <v>540000</v>
      </c>
      <c r="T67" s="259">
        <f>10*5500</f>
        <v>55000</v>
      </c>
      <c r="U67" s="259"/>
      <c r="V67" s="259">
        <f>10*5500</f>
        <v>55000</v>
      </c>
      <c r="W67" s="259"/>
      <c r="X67" s="259"/>
      <c r="Y67" s="259"/>
      <c r="Z67" s="259"/>
      <c r="AA67" s="259"/>
      <c r="AB67" s="259"/>
      <c r="AC67" s="259"/>
      <c r="AD67" s="259"/>
      <c r="AE67" s="259">
        <f t="shared" ref="AE67:AE72" si="10">SUM(T67:AD67)</f>
        <v>110000</v>
      </c>
    </row>
    <row r="68" spans="1:33" s="191" customFormat="1">
      <c r="A68" s="189"/>
      <c r="B68" s="189"/>
      <c r="C68" s="189"/>
      <c r="D68" s="189"/>
      <c r="E68" s="189"/>
      <c r="F68" s="189"/>
      <c r="G68" s="189"/>
      <c r="H68" s="189"/>
      <c r="I68" s="189"/>
      <c r="J68" s="244"/>
      <c r="K68" s="254"/>
      <c r="L68" s="255"/>
      <c r="M68" s="189"/>
      <c r="N68" s="189"/>
      <c r="O68" s="189"/>
      <c r="Q68" s="836"/>
      <c r="R68" s="587" t="s">
        <v>268</v>
      </c>
      <c r="S68" s="259">
        <v>90000</v>
      </c>
      <c r="T68" s="259"/>
      <c r="U68" s="259"/>
      <c r="V68" s="259"/>
      <c r="W68" s="259"/>
      <c r="X68" s="259"/>
      <c r="Y68" s="259"/>
      <c r="Z68" s="259"/>
      <c r="AA68" s="259"/>
      <c r="AB68" s="259"/>
      <c r="AC68" s="259"/>
      <c r="AD68" s="259"/>
      <c r="AE68" s="259">
        <f t="shared" si="10"/>
        <v>0</v>
      </c>
    </row>
    <row r="69" spans="1:33" s="191" customFormat="1">
      <c r="A69" s="189"/>
      <c r="B69" s="189"/>
      <c r="C69" s="189"/>
      <c r="D69" s="189"/>
      <c r="E69" s="189"/>
      <c r="F69" s="189"/>
      <c r="G69" s="189"/>
      <c r="H69" s="189"/>
      <c r="I69" s="189"/>
      <c r="J69" s="244"/>
      <c r="K69" s="254"/>
      <c r="L69" s="255"/>
      <c r="M69" s="189"/>
      <c r="N69" s="189"/>
      <c r="O69" s="189"/>
      <c r="Q69" s="836"/>
      <c r="R69" s="587" t="s">
        <v>269</v>
      </c>
      <c r="S69" s="259">
        <v>3168000</v>
      </c>
      <c r="T69" s="259">
        <v>450000</v>
      </c>
      <c r="U69" s="259"/>
      <c r="V69" s="259">
        <v>450000</v>
      </c>
      <c r="W69" s="259"/>
      <c r="X69" s="259"/>
      <c r="Y69" s="259"/>
      <c r="Z69" s="259"/>
      <c r="AA69" s="259"/>
      <c r="AB69" s="259"/>
      <c r="AC69" s="259"/>
      <c r="AD69" s="259"/>
      <c r="AE69" s="259">
        <f t="shared" si="10"/>
        <v>900000</v>
      </c>
    </row>
    <row r="70" spans="1:33" s="191" customFormat="1">
      <c r="A70" s="189"/>
      <c r="B70" s="189"/>
      <c r="C70" s="189"/>
      <c r="D70" s="189"/>
      <c r="E70" s="189"/>
      <c r="F70" s="189"/>
      <c r="G70" s="189"/>
      <c r="H70" s="189"/>
      <c r="I70" s="189"/>
      <c r="J70" s="244"/>
      <c r="K70" s="254"/>
      <c r="L70" s="255"/>
      <c r="M70" s="189"/>
      <c r="N70" s="189"/>
      <c r="O70" s="189"/>
      <c r="Q70" s="836"/>
      <c r="R70" s="587" t="s">
        <v>270</v>
      </c>
      <c r="S70" s="259">
        <v>3000000</v>
      </c>
      <c r="T70" s="259">
        <v>500000</v>
      </c>
      <c r="U70" s="259"/>
      <c r="V70" s="259">
        <v>500000</v>
      </c>
      <c r="W70" s="259"/>
      <c r="X70" s="259"/>
      <c r="Y70" s="259"/>
      <c r="Z70" s="259"/>
      <c r="AA70" s="259"/>
      <c r="AB70" s="259"/>
      <c r="AC70" s="259"/>
      <c r="AD70" s="259"/>
      <c r="AE70" s="259">
        <f t="shared" si="10"/>
        <v>1000000</v>
      </c>
    </row>
    <row r="71" spans="1:33" s="191" customFormat="1">
      <c r="A71" s="189"/>
      <c r="B71" s="189"/>
      <c r="C71" s="189"/>
      <c r="D71" s="189"/>
      <c r="E71" s="189"/>
      <c r="F71" s="189"/>
      <c r="G71" s="189"/>
      <c r="H71" s="189"/>
      <c r="I71" s="189"/>
      <c r="J71" s="244"/>
      <c r="K71" s="254"/>
      <c r="L71" s="255"/>
      <c r="M71" s="189"/>
      <c r="N71" s="189"/>
      <c r="O71" s="189"/>
      <c r="Q71" s="836"/>
      <c r="R71" s="191" t="s">
        <v>271</v>
      </c>
      <c r="S71" s="192">
        <v>3000000</v>
      </c>
      <c r="T71" s="261">
        <v>500000</v>
      </c>
      <c r="U71" s="261"/>
      <c r="V71" s="261">
        <v>500000</v>
      </c>
      <c r="W71" s="261"/>
      <c r="X71" s="261"/>
      <c r="Y71" s="261"/>
      <c r="Z71" s="261"/>
      <c r="AA71" s="261"/>
      <c r="AB71" s="261"/>
      <c r="AC71" s="261"/>
      <c r="AD71" s="261"/>
      <c r="AE71" s="259">
        <f t="shared" si="10"/>
        <v>1000000</v>
      </c>
    </row>
    <row r="72" spans="1:33" s="191" customFormat="1">
      <c r="A72" s="189"/>
      <c r="B72" s="189"/>
      <c r="C72" s="189"/>
      <c r="D72" s="189"/>
      <c r="E72" s="189"/>
      <c r="F72" s="189"/>
      <c r="G72" s="189"/>
      <c r="H72" s="189"/>
      <c r="I72" s="189"/>
      <c r="J72" s="244"/>
      <c r="K72" s="254"/>
      <c r="L72" s="255"/>
      <c r="M72" s="189"/>
      <c r="N72" s="189"/>
      <c r="O72" s="189"/>
      <c r="Q72" s="836"/>
      <c r="S72" s="192"/>
      <c r="T72" s="259"/>
      <c r="U72" s="259"/>
      <c r="V72" s="259"/>
      <c r="W72" s="259"/>
      <c r="X72" s="259"/>
      <c r="Y72" s="259"/>
      <c r="Z72" s="259"/>
      <c r="AA72" s="259"/>
      <c r="AB72" s="259"/>
      <c r="AC72" s="259"/>
      <c r="AD72" s="259"/>
      <c r="AE72" s="259">
        <f t="shared" si="10"/>
        <v>0</v>
      </c>
    </row>
    <row r="73" spans="1:33" s="191" customFormat="1">
      <c r="A73" s="189"/>
      <c r="B73" s="189"/>
      <c r="C73" s="189"/>
      <c r="D73" s="189"/>
      <c r="E73" s="189"/>
      <c r="F73" s="189"/>
      <c r="G73" s="189"/>
      <c r="H73" s="189"/>
      <c r="I73" s="189"/>
      <c r="J73" s="244"/>
      <c r="K73" s="254"/>
      <c r="L73" s="255"/>
      <c r="M73" s="189"/>
      <c r="N73" s="189"/>
      <c r="O73" s="189"/>
      <c r="Q73" s="836"/>
      <c r="R73" s="587"/>
      <c r="S73" s="263">
        <f>SUM(S67:S72)</f>
        <v>9798000</v>
      </c>
      <c r="T73" s="263">
        <f>SUM(T67:T72)</f>
        <v>1505000</v>
      </c>
      <c r="U73" s="263">
        <f t="shared" ref="U73:AE73" si="11">SUM(U67:U72)</f>
        <v>0</v>
      </c>
      <c r="V73" s="263">
        <f t="shared" si="11"/>
        <v>1505000</v>
      </c>
      <c r="W73" s="263">
        <f t="shared" si="11"/>
        <v>0</v>
      </c>
      <c r="X73" s="263">
        <f t="shared" si="11"/>
        <v>0</v>
      </c>
      <c r="Y73" s="263">
        <f t="shared" si="11"/>
        <v>0</v>
      </c>
      <c r="Z73" s="263">
        <f t="shared" si="11"/>
        <v>0</v>
      </c>
      <c r="AA73" s="263">
        <f t="shared" si="11"/>
        <v>0</v>
      </c>
      <c r="AB73" s="263">
        <f t="shared" si="11"/>
        <v>0</v>
      </c>
      <c r="AC73" s="263">
        <f t="shared" si="11"/>
        <v>0</v>
      </c>
      <c r="AD73" s="263">
        <f t="shared" si="11"/>
        <v>0</v>
      </c>
      <c r="AE73" s="264">
        <f t="shared" si="11"/>
        <v>3010000</v>
      </c>
    </row>
    <row r="74" spans="1:33" s="191" customFormat="1" ht="51">
      <c r="A74" s="189"/>
      <c r="B74" s="189"/>
      <c r="C74" s="189"/>
      <c r="D74" s="189"/>
      <c r="E74" s="189"/>
      <c r="F74" s="189"/>
      <c r="G74" s="189"/>
      <c r="H74" s="189"/>
      <c r="I74" s="189"/>
      <c r="J74" s="244"/>
      <c r="K74" s="254"/>
      <c r="L74" s="255"/>
      <c r="M74" s="189"/>
      <c r="N74" s="189"/>
      <c r="O74" s="189"/>
      <c r="Q74" s="836" t="s">
        <v>276</v>
      </c>
      <c r="R74" s="587"/>
      <c r="S74" s="259"/>
      <c r="T74" s="259" t="s">
        <v>251</v>
      </c>
      <c r="U74" s="259" t="s">
        <v>252</v>
      </c>
      <c r="V74" s="259" t="s">
        <v>253</v>
      </c>
      <c r="W74" s="259" t="s">
        <v>254</v>
      </c>
      <c r="X74" s="259" t="s">
        <v>201</v>
      </c>
      <c r="Y74" s="259" t="s">
        <v>255</v>
      </c>
      <c r="Z74" s="259" t="s">
        <v>256</v>
      </c>
      <c r="AA74" s="259" t="s">
        <v>257</v>
      </c>
      <c r="AB74" s="259" t="s">
        <v>258</v>
      </c>
      <c r="AC74" s="259" t="s">
        <v>259</v>
      </c>
      <c r="AD74" s="259" t="s">
        <v>260</v>
      </c>
      <c r="AE74" s="259" t="s">
        <v>261</v>
      </c>
    </row>
    <row r="75" spans="1:33" s="191" customFormat="1">
      <c r="A75" s="189"/>
      <c r="B75" s="189"/>
      <c r="C75" s="189"/>
      <c r="D75" s="189"/>
      <c r="E75" s="189"/>
      <c r="F75" s="189"/>
      <c r="G75" s="189"/>
      <c r="H75" s="189"/>
      <c r="I75" s="189"/>
      <c r="J75" s="244"/>
      <c r="K75" s="254"/>
      <c r="L75" s="255"/>
      <c r="M75" s="189"/>
      <c r="N75" s="189"/>
      <c r="O75" s="189"/>
      <c r="Q75" s="836"/>
      <c r="R75" s="587" t="s">
        <v>267</v>
      </c>
      <c r="S75" s="259">
        <v>1368000</v>
      </c>
      <c r="T75" s="259">
        <f>38*5500</f>
        <v>209000</v>
      </c>
      <c r="U75" s="259"/>
      <c r="V75" s="259"/>
      <c r="W75" s="259"/>
      <c r="X75" s="259"/>
      <c r="Y75" s="259"/>
      <c r="Z75" s="259"/>
      <c r="AA75" s="259"/>
      <c r="AB75" s="259"/>
      <c r="AC75" s="259"/>
      <c r="AD75" s="259"/>
      <c r="AE75" s="259">
        <f t="shared" ref="AE75:AE80" si="12">SUM(T75:AD75)</f>
        <v>209000</v>
      </c>
      <c r="AG75" s="225">
        <f>T75+T67+T51+T35</f>
        <v>374000</v>
      </c>
    </row>
    <row r="76" spans="1:33" s="191" customFormat="1">
      <c r="A76" s="189"/>
      <c r="B76" s="189"/>
      <c r="C76" s="189"/>
      <c r="D76" s="189"/>
      <c r="E76" s="189"/>
      <c r="F76" s="189"/>
      <c r="G76" s="189"/>
      <c r="H76" s="189"/>
      <c r="I76" s="189"/>
      <c r="J76" s="244"/>
      <c r="K76" s="254"/>
      <c r="L76" s="255"/>
      <c r="M76" s="189"/>
      <c r="N76" s="189"/>
      <c r="O76" s="189"/>
      <c r="Q76" s="836"/>
      <c r="R76" s="587" t="s">
        <v>268</v>
      </c>
      <c r="S76" s="259">
        <v>300000</v>
      </c>
      <c r="T76" s="259"/>
      <c r="U76" s="259"/>
      <c r="V76" s="259"/>
      <c r="W76" s="259"/>
      <c r="X76" s="259"/>
      <c r="Y76" s="259"/>
      <c r="Z76" s="259"/>
      <c r="AA76" s="259"/>
      <c r="AB76" s="259"/>
      <c r="AC76" s="259"/>
      <c r="AD76" s="259"/>
      <c r="AE76" s="259">
        <f t="shared" si="12"/>
        <v>0</v>
      </c>
    </row>
    <row r="77" spans="1:33" s="191" customFormat="1">
      <c r="A77" s="189"/>
      <c r="B77" s="189"/>
      <c r="C77" s="189"/>
      <c r="D77" s="189"/>
      <c r="E77" s="189"/>
      <c r="F77" s="189"/>
      <c r="G77" s="189"/>
      <c r="H77" s="189"/>
      <c r="I77" s="189"/>
      <c r="J77" s="244"/>
      <c r="K77" s="254"/>
      <c r="L77" s="255"/>
      <c r="M77" s="189"/>
      <c r="N77" s="189"/>
      <c r="O77" s="189"/>
      <c r="Q77" s="836"/>
      <c r="R77" s="587" t="s">
        <v>269</v>
      </c>
      <c r="S77" s="259">
        <v>8640000</v>
      </c>
      <c r="T77" s="259">
        <f>1350000+607500</f>
        <v>1957500</v>
      </c>
      <c r="U77" s="259"/>
      <c r="V77" s="259"/>
      <c r="W77" s="259"/>
      <c r="X77" s="259"/>
      <c r="Y77" s="259"/>
      <c r="Z77" s="259"/>
      <c r="AA77" s="259"/>
      <c r="AB77" s="259"/>
      <c r="AC77" s="259"/>
      <c r="AD77" s="259"/>
      <c r="AE77" s="259">
        <f t="shared" si="12"/>
        <v>1957500</v>
      </c>
    </row>
    <row r="78" spans="1:33" s="191" customFormat="1">
      <c r="A78" s="189"/>
      <c r="B78" s="189"/>
      <c r="C78" s="189"/>
      <c r="D78" s="189"/>
      <c r="E78" s="189"/>
      <c r="F78" s="189"/>
      <c r="G78" s="189"/>
      <c r="H78" s="189"/>
      <c r="I78" s="189"/>
      <c r="J78" s="244"/>
      <c r="K78" s="254"/>
      <c r="L78" s="255"/>
      <c r="M78" s="189"/>
      <c r="N78" s="189"/>
      <c r="O78" s="189"/>
      <c r="Q78" s="836"/>
      <c r="R78" s="587" t="s">
        <v>270</v>
      </c>
      <c r="S78" s="259">
        <v>4000000</v>
      </c>
      <c r="T78" s="259">
        <v>1000000</v>
      </c>
      <c r="U78" s="259"/>
      <c r="V78" s="259"/>
      <c r="W78" s="259"/>
      <c r="X78" s="259"/>
      <c r="Y78" s="259"/>
      <c r="Z78" s="259"/>
      <c r="AA78" s="259"/>
      <c r="AB78" s="259"/>
      <c r="AC78" s="259"/>
      <c r="AD78" s="259"/>
      <c r="AE78" s="259">
        <f t="shared" si="12"/>
        <v>1000000</v>
      </c>
    </row>
    <row r="79" spans="1:33" s="191" customFormat="1">
      <c r="A79" s="189"/>
      <c r="B79" s="189"/>
      <c r="C79" s="189"/>
      <c r="D79" s="189"/>
      <c r="E79" s="189"/>
      <c r="F79" s="189"/>
      <c r="G79" s="189"/>
      <c r="H79" s="189"/>
      <c r="I79" s="189"/>
      <c r="J79" s="244"/>
      <c r="K79" s="254"/>
      <c r="L79" s="255"/>
      <c r="M79" s="189"/>
      <c r="N79" s="189"/>
      <c r="O79" s="189"/>
      <c r="Q79" s="836"/>
      <c r="R79" s="191" t="s">
        <v>271</v>
      </c>
      <c r="S79" s="192">
        <v>7600000</v>
      </c>
      <c r="T79" s="261">
        <v>1700000</v>
      </c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59">
        <f t="shared" si="12"/>
        <v>1700000</v>
      </c>
    </row>
    <row r="80" spans="1:33" s="191" customFormat="1">
      <c r="A80" s="189"/>
      <c r="B80" s="189"/>
      <c r="C80" s="189"/>
      <c r="D80" s="189"/>
      <c r="E80" s="189"/>
      <c r="F80" s="189"/>
      <c r="G80" s="189"/>
      <c r="H80" s="189"/>
      <c r="I80" s="189"/>
      <c r="J80" s="244"/>
      <c r="K80" s="254"/>
      <c r="L80" s="255"/>
      <c r="M80" s="189"/>
      <c r="N80" s="189"/>
      <c r="O80" s="189"/>
      <c r="Q80" s="836"/>
      <c r="S80" s="192"/>
      <c r="T80" s="259"/>
      <c r="U80" s="259"/>
      <c r="V80" s="259"/>
      <c r="W80" s="259"/>
      <c r="X80" s="259"/>
      <c r="Y80" s="259"/>
      <c r="Z80" s="259"/>
      <c r="AA80" s="259"/>
      <c r="AB80" s="259"/>
      <c r="AC80" s="259"/>
      <c r="AD80" s="259"/>
      <c r="AE80" s="259">
        <f t="shared" si="12"/>
        <v>0</v>
      </c>
    </row>
    <row r="81" spans="1:31" s="191" customFormat="1">
      <c r="A81" s="189"/>
      <c r="B81" s="189"/>
      <c r="C81" s="189"/>
      <c r="D81" s="189"/>
      <c r="E81" s="189"/>
      <c r="F81" s="189"/>
      <c r="G81" s="189"/>
      <c r="H81" s="189"/>
      <c r="I81" s="189"/>
      <c r="J81" s="244"/>
      <c r="K81" s="254"/>
      <c r="L81" s="255"/>
      <c r="M81" s="189"/>
      <c r="N81" s="189"/>
      <c r="O81" s="189"/>
      <c r="Q81" s="836"/>
      <c r="R81" s="587"/>
      <c r="S81" s="263">
        <f>SUM(S75:S80)</f>
        <v>21908000</v>
      </c>
      <c r="T81" s="263">
        <f>SUM(T75:T80)</f>
        <v>4866500</v>
      </c>
      <c r="U81" s="263">
        <f t="shared" ref="U81:AE81" si="13">SUM(U75:U80)</f>
        <v>0</v>
      </c>
      <c r="V81" s="263">
        <f t="shared" si="13"/>
        <v>0</v>
      </c>
      <c r="W81" s="263">
        <f t="shared" si="13"/>
        <v>0</v>
      </c>
      <c r="X81" s="263">
        <f t="shared" si="13"/>
        <v>0</v>
      </c>
      <c r="Y81" s="263">
        <f t="shared" si="13"/>
        <v>0</v>
      </c>
      <c r="Z81" s="263">
        <f t="shared" si="13"/>
        <v>0</v>
      </c>
      <c r="AA81" s="263">
        <f t="shared" si="13"/>
        <v>0</v>
      </c>
      <c r="AB81" s="263">
        <f t="shared" si="13"/>
        <v>0</v>
      </c>
      <c r="AC81" s="263">
        <f t="shared" si="13"/>
        <v>0</v>
      </c>
      <c r="AD81" s="263">
        <f t="shared" si="13"/>
        <v>0</v>
      </c>
      <c r="AE81" s="264">
        <f t="shared" si="13"/>
        <v>4866500</v>
      </c>
    </row>
    <row r="82" spans="1:31" s="191" customFormat="1">
      <c r="A82" s="189"/>
      <c r="B82" s="189"/>
      <c r="C82" s="189"/>
      <c r="D82" s="189"/>
      <c r="E82" s="189"/>
      <c r="F82" s="189"/>
      <c r="G82" s="189"/>
      <c r="H82" s="189"/>
      <c r="I82" s="189"/>
      <c r="J82" s="244"/>
      <c r="K82" s="254"/>
      <c r="L82" s="255"/>
      <c r="M82" s="189"/>
      <c r="N82" s="189"/>
      <c r="O82" s="189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</row>
    <row r="87" spans="1:31" s="191" customFormat="1">
      <c r="A87" s="189"/>
      <c r="B87" s="189"/>
      <c r="C87" s="189"/>
      <c r="D87" s="189"/>
      <c r="E87" s="189"/>
      <c r="F87" s="189"/>
      <c r="G87" s="189"/>
      <c r="H87" s="189"/>
      <c r="I87" s="189"/>
      <c r="J87" s="244"/>
      <c r="K87" s="254"/>
      <c r="L87" s="255"/>
      <c r="M87" s="189"/>
      <c r="N87" s="189"/>
      <c r="O87" s="189"/>
      <c r="P87" s="225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</row>
    <row r="90" spans="1:31" s="191" customFormat="1">
      <c r="A90" s="189"/>
      <c r="B90" s="189"/>
      <c r="C90" s="189"/>
      <c r="D90" s="189"/>
      <c r="E90" s="189"/>
      <c r="F90" s="189"/>
      <c r="G90" s="189"/>
      <c r="H90" s="189"/>
      <c r="I90" s="189"/>
      <c r="J90" s="244"/>
      <c r="K90" s="254"/>
      <c r="L90" s="255"/>
      <c r="M90" s="189"/>
      <c r="N90" s="189"/>
      <c r="O90" s="189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</row>
    <row r="106" spans="10:46" s="189" customFormat="1" ht="15" customHeight="1">
      <c r="J106" s="244"/>
      <c r="K106" s="254"/>
      <c r="L106" s="255"/>
      <c r="P106" s="191"/>
      <c r="Q106" s="191"/>
      <c r="R106" s="191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</row>
    <row r="122" spans="10:46" s="189" customFormat="1" ht="6" customHeight="1">
      <c r="J122" s="244"/>
      <c r="K122" s="254"/>
      <c r="L122" s="255"/>
      <c r="P122" s="191"/>
      <c r="Q122" s="191"/>
      <c r="R122" s="191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</row>
  </sheetData>
  <mergeCells count="26">
    <mergeCell ref="C1:N1"/>
    <mergeCell ref="C2:N2"/>
    <mergeCell ref="A3:D3"/>
    <mergeCell ref="A4:B5"/>
    <mergeCell ref="C4:D5"/>
    <mergeCell ref="E4:F4"/>
    <mergeCell ref="G4:M4"/>
    <mergeCell ref="N4:N5"/>
    <mergeCell ref="G5:I5"/>
    <mergeCell ref="A6:B6"/>
    <mergeCell ref="C6:D6"/>
    <mergeCell ref="G6:I6"/>
    <mergeCell ref="Q14:Q17"/>
    <mergeCell ref="K16:N16"/>
    <mergeCell ref="K17:N17"/>
    <mergeCell ref="K21:N21"/>
    <mergeCell ref="K22:N22"/>
    <mergeCell ref="Q26:Q33"/>
    <mergeCell ref="Q34:Q41"/>
    <mergeCell ref="Q42:Q49"/>
    <mergeCell ref="K23:N23"/>
    <mergeCell ref="Q50:Q57"/>
    <mergeCell ref="Q58:Q65"/>
    <mergeCell ref="Q66:Q73"/>
    <mergeCell ref="Q74:Q81"/>
    <mergeCell ref="Q18:Q25"/>
  </mergeCells>
  <pageMargins left="0.7" right="0.7" top="0.75" bottom="0.75" header="0.3" footer="0.3"/>
  <pageSetup paperSize="14" scale="9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2"/>
  <sheetViews>
    <sheetView view="pageBreakPreview" topLeftCell="K1" zoomScale="60" workbookViewId="0">
      <selection activeCell="N12" activeCellId="1" sqref="P12 N12"/>
    </sheetView>
  </sheetViews>
  <sheetFormatPr defaultRowHeight="16.5"/>
  <cols>
    <col min="1" max="1" width="2.140625" style="24" bestFit="1" customWidth="1"/>
    <col min="2" max="5" width="3.28515625" style="24" bestFit="1" customWidth="1"/>
    <col min="6" max="8" width="2.140625" style="24" bestFit="1" customWidth="1"/>
    <col min="9" max="10" width="3.28515625" style="24" bestFit="1" customWidth="1"/>
    <col min="11" max="11" width="67.85546875" style="24" customWidth="1"/>
    <col min="12" max="12" width="10.85546875" style="24" customWidth="1"/>
    <col min="13" max="13" width="17.140625" style="24" customWidth="1"/>
    <col min="14" max="14" width="17.28515625" style="24" customWidth="1"/>
    <col min="15" max="15" width="8.5703125" style="24" customWidth="1"/>
    <col min="16" max="16" width="17.85546875" style="117" customWidth="1"/>
    <col min="17" max="17" width="10.140625" style="24" customWidth="1"/>
    <col min="18" max="18" width="17.5703125" style="24" customWidth="1"/>
    <col min="19" max="19" width="8.5703125" style="24" customWidth="1"/>
    <col min="20" max="20" width="9.140625" style="806" customWidth="1"/>
    <col min="21" max="21" width="17.5703125" style="24" customWidth="1"/>
    <col min="22" max="22" width="15" style="24" customWidth="1"/>
    <col min="23" max="16384" width="9.140625" style="24"/>
  </cols>
  <sheetData>
    <row r="1" spans="1:26" ht="20.25">
      <c r="A1" s="809" t="s">
        <v>0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  <c r="W1" s="1"/>
      <c r="X1" s="1"/>
      <c r="Y1" s="1"/>
      <c r="Z1" s="1"/>
    </row>
    <row r="2" spans="1:26" ht="20.25">
      <c r="A2" s="809" t="s">
        <v>684</v>
      </c>
      <c r="B2" s="809"/>
      <c r="C2" s="809"/>
      <c r="D2" s="809"/>
      <c r="E2" s="809"/>
      <c r="F2" s="809"/>
      <c r="G2" s="809"/>
      <c r="H2" s="809"/>
      <c r="I2" s="809"/>
      <c r="J2" s="809"/>
      <c r="K2" s="809"/>
      <c r="L2" s="809"/>
      <c r="M2" s="809"/>
      <c r="N2" s="809"/>
      <c r="O2" s="809"/>
      <c r="P2" s="809"/>
      <c r="Q2" s="809"/>
      <c r="R2" s="809"/>
      <c r="S2" s="809"/>
      <c r="T2" s="809"/>
      <c r="U2" s="809"/>
      <c r="V2" s="809"/>
      <c r="W2" s="1"/>
      <c r="X2" s="1"/>
      <c r="Y2" s="1"/>
      <c r="Z2" s="1"/>
    </row>
    <row r="3" spans="1:26" ht="20.25">
      <c r="A3" s="809" t="s">
        <v>443</v>
      </c>
      <c r="B3" s="809"/>
      <c r="C3" s="809"/>
      <c r="D3" s="809"/>
      <c r="E3" s="809"/>
      <c r="F3" s="809"/>
      <c r="G3" s="809"/>
      <c r="H3" s="809"/>
      <c r="I3" s="809"/>
      <c r="J3" s="809"/>
      <c r="K3" s="809"/>
      <c r="L3" s="809"/>
      <c r="M3" s="809"/>
      <c r="N3" s="809"/>
      <c r="O3" s="809"/>
      <c r="P3" s="809"/>
      <c r="Q3" s="809"/>
      <c r="R3" s="809"/>
      <c r="S3" s="809"/>
      <c r="T3" s="809"/>
      <c r="U3" s="809"/>
      <c r="V3" s="809"/>
      <c r="W3" s="1"/>
      <c r="X3" s="1"/>
      <c r="Y3" s="1"/>
      <c r="Z3" s="1"/>
    </row>
    <row r="4" spans="1:26" ht="20.25">
      <c r="A4" s="809" t="s">
        <v>664</v>
      </c>
      <c r="B4" s="809"/>
      <c r="C4" s="809"/>
      <c r="D4" s="809"/>
      <c r="E4" s="809"/>
      <c r="F4" s="809"/>
      <c r="G4" s="809"/>
      <c r="H4" s="809"/>
      <c r="I4" s="809"/>
      <c r="J4" s="809"/>
      <c r="K4" s="809"/>
      <c r="L4" s="809"/>
      <c r="M4" s="809"/>
      <c r="N4" s="809"/>
      <c r="O4" s="809"/>
      <c r="P4" s="809"/>
      <c r="Q4" s="809"/>
      <c r="R4" s="809"/>
      <c r="S4" s="809"/>
      <c r="T4" s="809"/>
      <c r="U4" s="809"/>
      <c r="V4" s="809"/>
      <c r="W4" s="1"/>
      <c r="X4" s="1"/>
      <c r="Y4" s="1"/>
      <c r="Z4" s="1"/>
    </row>
    <row r="5" spans="1:26" ht="21">
      <c r="J5" s="3"/>
      <c r="K5" s="3"/>
      <c r="L5" s="3"/>
      <c r="M5" s="3"/>
      <c r="N5" s="3"/>
      <c r="O5" s="3"/>
      <c r="P5" s="3"/>
      <c r="Q5" s="3"/>
      <c r="R5" s="3"/>
      <c r="S5" s="3"/>
      <c r="T5" s="798"/>
      <c r="U5" s="3"/>
      <c r="V5" s="3"/>
    </row>
    <row r="6" spans="1:26" ht="13.5" customHeight="1">
      <c r="A6" s="810" t="s">
        <v>3</v>
      </c>
      <c r="B6" s="811"/>
      <c r="C6" s="811"/>
      <c r="D6" s="811"/>
      <c r="E6" s="811"/>
      <c r="F6" s="811"/>
      <c r="G6" s="811"/>
      <c r="H6" s="811"/>
      <c r="I6" s="811"/>
      <c r="J6" s="812"/>
      <c r="K6" s="819" t="s">
        <v>4</v>
      </c>
      <c r="L6" s="820" t="s">
        <v>5</v>
      </c>
      <c r="M6" s="823" t="s">
        <v>6</v>
      </c>
      <c r="N6" s="826" t="s">
        <v>7</v>
      </c>
      <c r="O6" s="827"/>
      <c r="P6" s="827"/>
      <c r="Q6" s="827"/>
      <c r="R6" s="827"/>
      <c r="S6" s="827"/>
      <c r="T6" s="828"/>
      <c r="U6" s="807" t="s">
        <v>8</v>
      </c>
      <c r="V6" s="807" t="s">
        <v>9</v>
      </c>
    </row>
    <row r="7" spans="1:26" ht="13.5" customHeight="1">
      <c r="A7" s="813"/>
      <c r="B7" s="814"/>
      <c r="C7" s="814"/>
      <c r="D7" s="814"/>
      <c r="E7" s="814"/>
      <c r="F7" s="814"/>
      <c r="G7" s="814"/>
      <c r="H7" s="814"/>
      <c r="I7" s="814"/>
      <c r="J7" s="815"/>
      <c r="K7" s="819"/>
      <c r="L7" s="821"/>
      <c r="M7" s="824"/>
      <c r="N7" s="829" t="s">
        <v>10</v>
      </c>
      <c r="O7" s="830"/>
      <c r="P7" s="829" t="s">
        <v>11</v>
      </c>
      <c r="Q7" s="830"/>
      <c r="R7" s="829" t="s">
        <v>12</v>
      </c>
      <c r="S7" s="830"/>
      <c r="T7" s="799" t="s">
        <v>13</v>
      </c>
      <c r="U7" s="807"/>
      <c r="V7" s="807"/>
    </row>
    <row r="8" spans="1:26" ht="13.5" customHeight="1">
      <c r="A8" s="813"/>
      <c r="B8" s="814"/>
      <c r="C8" s="814"/>
      <c r="D8" s="814"/>
      <c r="E8" s="814"/>
      <c r="F8" s="814"/>
      <c r="G8" s="814"/>
      <c r="H8" s="814"/>
      <c r="I8" s="814"/>
      <c r="J8" s="815"/>
      <c r="K8" s="819"/>
      <c r="L8" s="821"/>
      <c r="M8" s="824"/>
      <c r="N8" s="829" t="s">
        <v>14</v>
      </c>
      <c r="O8" s="830"/>
      <c r="P8" s="829" t="s">
        <v>14</v>
      </c>
      <c r="Q8" s="830"/>
      <c r="R8" s="829" t="s">
        <v>14</v>
      </c>
      <c r="S8" s="830"/>
      <c r="T8" s="799"/>
      <c r="U8" s="807"/>
      <c r="V8" s="807"/>
    </row>
    <row r="9" spans="1:26" ht="13.5" customHeight="1">
      <c r="A9" s="816"/>
      <c r="B9" s="817"/>
      <c r="C9" s="817"/>
      <c r="D9" s="817"/>
      <c r="E9" s="817"/>
      <c r="F9" s="817"/>
      <c r="G9" s="817"/>
      <c r="H9" s="817"/>
      <c r="I9" s="817"/>
      <c r="J9" s="818"/>
      <c r="K9" s="819"/>
      <c r="L9" s="822"/>
      <c r="M9" s="825"/>
      <c r="N9" s="793" t="s">
        <v>15</v>
      </c>
      <c r="O9" s="793" t="s">
        <v>16</v>
      </c>
      <c r="P9" s="793" t="s">
        <v>15</v>
      </c>
      <c r="Q9" s="793" t="s">
        <v>16</v>
      </c>
      <c r="R9" s="794" t="s">
        <v>15</v>
      </c>
      <c r="S9" s="794" t="s">
        <v>16</v>
      </c>
      <c r="T9" s="799" t="s">
        <v>16</v>
      </c>
      <c r="U9" s="807"/>
      <c r="V9" s="807"/>
    </row>
    <row r="10" spans="1:26" ht="15" customHeight="1">
      <c r="A10" s="561">
        <v>1</v>
      </c>
      <c r="B10" s="291" t="s">
        <v>17</v>
      </c>
      <c r="C10" s="291" t="s">
        <v>18</v>
      </c>
      <c r="D10" s="292">
        <v>38</v>
      </c>
      <c r="E10" s="292"/>
      <c r="F10" s="292"/>
      <c r="G10" s="292"/>
      <c r="H10" s="292"/>
      <c r="I10" s="292"/>
      <c r="J10" s="293"/>
      <c r="K10" s="294" t="s">
        <v>684</v>
      </c>
      <c r="L10" s="795" t="s">
        <v>685</v>
      </c>
      <c r="M10" s="796"/>
      <c r="N10" s="796"/>
      <c r="O10" s="796"/>
      <c r="P10" s="794"/>
      <c r="Q10" s="794"/>
      <c r="R10" s="794"/>
      <c r="S10" s="794"/>
      <c r="T10" s="799"/>
      <c r="U10" s="794"/>
      <c r="V10" s="556"/>
    </row>
    <row r="11" spans="1:26" ht="33" customHeight="1">
      <c r="A11" s="561">
        <v>1</v>
      </c>
      <c r="B11" s="291" t="s">
        <v>17</v>
      </c>
      <c r="C11" s="291" t="s">
        <v>18</v>
      </c>
      <c r="D11" s="292">
        <v>38</v>
      </c>
      <c r="E11" s="291" t="s">
        <v>25</v>
      </c>
      <c r="F11" s="292"/>
      <c r="G11" s="292"/>
      <c r="H11" s="292"/>
      <c r="I11" s="292"/>
      <c r="J11" s="293"/>
      <c r="K11" s="294" t="s">
        <v>687</v>
      </c>
      <c r="L11" s="795" t="s">
        <v>19</v>
      </c>
      <c r="M11" s="796"/>
      <c r="N11" s="796"/>
      <c r="O11" s="796"/>
      <c r="P11" s="794"/>
      <c r="Q11" s="794"/>
      <c r="R11" s="794"/>
      <c r="S11" s="794"/>
      <c r="T11" s="799"/>
      <c r="U11" s="794"/>
      <c r="V11" s="556"/>
    </row>
    <row r="12" spans="1:26">
      <c r="A12" s="561">
        <v>1</v>
      </c>
      <c r="B12" s="291" t="s">
        <v>17</v>
      </c>
      <c r="C12" s="291" t="s">
        <v>18</v>
      </c>
      <c r="D12" s="292">
        <v>38</v>
      </c>
      <c r="E12" s="291" t="s">
        <v>25</v>
      </c>
      <c r="F12" s="292">
        <v>5</v>
      </c>
      <c r="G12" s="292">
        <v>2</v>
      </c>
      <c r="H12" s="292"/>
      <c r="I12" s="292"/>
      <c r="J12" s="293"/>
      <c r="K12" s="295" t="s">
        <v>21</v>
      </c>
      <c r="L12" s="4"/>
      <c r="M12" s="5">
        <f>M13+M18+M76</f>
        <v>1836864000</v>
      </c>
      <c r="N12" s="5">
        <f>N13+N18+N76</f>
        <v>636405386</v>
      </c>
      <c r="O12" s="6">
        <f>N12/M12*100</f>
        <v>34.64629858280199</v>
      </c>
      <c r="P12" s="5">
        <f>P13+P18+P76</f>
        <v>102433800</v>
      </c>
      <c r="Q12" s="285">
        <f>P12/M12*100</f>
        <v>5.5765587435977846</v>
      </c>
      <c r="R12" s="5">
        <f>R13+R18+R76</f>
        <v>738839186</v>
      </c>
      <c r="S12" s="285">
        <f>R12/M12*100</f>
        <v>40.222857326399776</v>
      </c>
      <c r="T12" s="800">
        <f>T13+T18+T76/3</f>
        <v>10.481997677119626</v>
      </c>
      <c r="U12" s="12"/>
      <c r="V12" s="11"/>
    </row>
    <row r="13" spans="1:26">
      <c r="A13" s="561">
        <v>1</v>
      </c>
      <c r="B13" s="291" t="s">
        <v>17</v>
      </c>
      <c r="C13" s="291" t="s">
        <v>18</v>
      </c>
      <c r="D13" s="292">
        <v>38</v>
      </c>
      <c r="E13" s="291" t="s">
        <v>25</v>
      </c>
      <c r="F13" s="292">
        <v>5</v>
      </c>
      <c r="G13" s="292">
        <v>2</v>
      </c>
      <c r="H13" s="292">
        <v>1</v>
      </c>
      <c r="I13" s="292"/>
      <c r="J13" s="293"/>
      <c r="K13" s="295" t="s">
        <v>22</v>
      </c>
      <c r="L13" s="7"/>
      <c r="M13" s="5">
        <f>M15</f>
        <v>1102118400</v>
      </c>
      <c r="N13" s="5">
        <f>N15</f>
        <v>461481120</v>
      </c>
      <c r="O13" s="6">
        <f>N13/M13*100</f>
        <v>41.872190864429811</v>
      </c>
      <c r="P13" s="5">
        <f>P15</f>
        <v>77274900</v>
      </c>
      <c r="Q13" s="285">
        <f>P13/M13*100</f>
        <v>7.0114880579073908</v>
      </c>
      <c r="R13" s="5">
        <f>R15</f>
        <v>538756020</v>
      </c>
      <c r="S13" s="285">
        <f>R13/M13*100</f>
        <v>48.883678922337197</v>
      </c>
      <c r="T13" s="800">
        <f>T15</f>
        <v>8.3333333333333321</v>
      </c>
      <c r="U13" s="296"/>
      <c r="V13" s="11"/>
    </row>
    <row r="14" spans="1:26" ht="7.5" customHeight="1">
      <c r="A14" s="561"/>
      <c r="B14" s="291"/>
      <c r="C14" s="291"/>
      <c r="D14" s="291"/>
      <c r="E14" s="291"/>
      <c r="F14" s="291"/>
      <c r="G14" s="292"/>
      <c r="H14" s="292"/>
      <c r="I14" s="292"/>
      <c r="J14" s="293"/>
      <c r="K14" s="295"/>
      <c r="L14" s="4"/>
      <c r="M14" s="5"/>
      <c r="N14" s="5"/>
      <c r="O14" s="5"/>
      <c r="P14" s="5"/>
      <c r="Q14" s="286"/>
      <c r="R14" s="5"/>
      <c r="S14" s="285"/>
      <c r="T14" s="800"/>
      <c r="U14" s="11"/>
      <c r="V14" s="11"/>
    </row>
    <row r="15" spans="1:26" s="27" customFormat="1" ht="14.25" customHeight="1">
      <c r="A15" s="561">
        <v>1</v>
      </c>
      <c r="B15" s="291" t="s">
        <v>17</v>
      </c>
      <c r="C15" s="291" t="s">
        <v>18</v>
      </c>
      <c r="D15" s="292">
        <v>38</v>
      </c>
      <c r="E15" s="291" t="s">
        <v>25</v>
      </c>
      <c r="F15" s="292">
        <v>5</v>
      </c>
      <c r="G15" s="292">
        <v>2</v>
      </c>
      <c r="H15" s="292">
        <v>1</v>
      </c>
      <c r="I15" s="291" t="s">
        <v>26</v>
      </c>
      <c r="J15" s="297"/>
      <c r="K15" s="298" t="s">
        <v>27</v>
      </c>
      <c r="L15" s="4"/>
      <c r="M15" s="5">
        <f>M16</f>
        <v>1102118400</v>
      </c>
      <c r="N15" s="5">
        <f>N16</f>
        <v>461481120</v>
      </c>
      <c r="O15" s="6">
        <f t="shared" ref="O15:O85" si="0">N15/M15*100</f>
        <v>41.872190864429811</v>
      </c>
      <c r="P15" s="5">
        <f>P16</f>
        <v>77274900</v>
      </c>
      <c r="Q15" s="285">
        <f t="shared" ref="Q15:Q85" si="1">P15/M15*100</f>
        <v>7.0114880579073908</v>
      </c>
      <c r="R15" s="17">
        <f t="shared" ref="R15:R85" si="2">N15+P15</f>
        <v>538756020</v>
      </c>
      <c r="S15" s="285">
        <f t="shared" ref="S15:S85" si="3">R15/M15*100</f>
        <v>48.883678922337197</v>
      </c>
      <c r="T15" s="800">
        <f>T16</f>
        <v>8.3333333333333321</v>
      </c>
      <c r="U15" s="12"/>
      <c r="V15" s="12"/>
    </row>
    <row r="16" spans="1:26">
      <c r="A16" s="562"/>
      <c r="B16" s="287"/>
      <c r="C16" s="287" t="s">
        <v>18</v>
      </c>
      <c r="D16" s="288">
        <v>38</v>
      </c>
      <c r="E16" s="287" t="s">
        <v>25</v>
      </c>
      <c r="F16" s="288">
        <v>5</v>
      </c>
      <c r="G16" s="288">
        <v>2</v>
      </c>
      <c r="H16" s="288">
        <v>1</v>
      </c>
      <c r="I16" s="287" t="s">
        <v>26</v>
      </c>
      <c r="J16" s="289" t="s">
        <v>18</v>
      </c>
      <c r="K16" s="290" t="s">
        <v>28</v>
      </c>
      <c r="L16" s="10"/>
      <c r="M16" s="9">
        <v>1102118400</v>
      </c>
      <c r="N16" s="9">
        <f>jun!R16</f>
        <v>461481120</v>
      </c>
      <c r="O16" s="111">
        <f t="shared" si="0"/>
        <v>41.872190864429811</v>
      </c>
      <c r="P16" s="9">
        <v>77274900</v>
      </c>
      <c r="Q16" s="286">
        <f t="shared" si="1"/>
        <v>7.0114880579073908</v>
      </c>
      <c r="R16" s="19">
        <f t="shared" si="2"/>
        <v>538756020</v>
      </c>
      <c r="S16" s="286">
        <f t="shared" si="3"/>
        <v>48.883678922337197</v>
      </c>
      <c r="T16" s="801">
        <f>1/12*100</f>
        <v>8.3333333333333321</v>
      </c>
      <c r="U16" s="11"/>
      <c r="V16" s="11"/>
    </row>
    <row r="17" spans="1:22" ht="7.5" customHeight="1">
      <c r="A17" s="561"/>
      <c r="B17" s="291"/>
      <c r="C17" s="291"/>
      <c r="D17" s="291"/>
      <c r="E17" s="291"/>
      <c r="F17" s="291"/>
      <c r="G17" s="292"/>
      <c r="H17" s="292"/>
      <c r="I17" s="292"/>
      <c r="J17" s="293"/>
      <c r="K17" s="295"/>
      <c r="L17" s="4"/>
      <c r="M17" s="5"/>
      <c r="N17" s="5"/>
      <c r="O17" s="5"/>
      <c r="P17" s="5"/>
      <c r="Q17" s="286"/>
      <c r="R17" s="5"/>
      <c r="S17" s="285"/>
      <c r="T17" s="800"/>
      <c r="U17" s="11"/>
      <c r="V17" s="11"/>
    </row>
    <row r="18" spans="1:22" s="27" customFormat="1">
      <c r="A18" s="561">
        <v>1</v>
      </c>
      <c r="B18" s="291" t="s">
        <v>17</v>
      </c>
      <c r="C18" s="291" t="s">
        <v>18</v>
      </c>
      <c r="D18" s="292">
        <v>38</v>
      </c>
      <c r="E18" s="291" t="s">
        <v>25</v>
      </c>
      <c r="F18" s="292">
        <v>5</v>
      </c>
      <c r="G18" s="292">
        <v>2</v>
      </c>
      <c r="H18" s="292">
        <v>2</v>
      </c>
      <c r="I18" s="292"/>
      <c r="J18" s="293"/>
      <c r="K18" s="295" t="s">
        <v>29</v>
      </c>
      <c r="L18" s="4"/>
      <c r="M18" s="5">
        <f>M19+M32+M35+M46+M52+M54+M57+M59+M64+M68+M73+M42+M50+M71+M40</f>
        <v>608153300</v>
      </c>
      <c r="N18" s="5">
        <f>N19+N32+N35+N46+N52+N54+N57+N59+N64+N68+N73+N42+N71+N40+N50</f>
        <v>140051766</v>
      </c>
      <c r="O18" s="6">
        <f t="shared" si="0"/>
        <v>23.029023438662588</v>
      </c>
      <c r="P18" s="5">
        <f>P19+P32+P35+P46+P52+P54+P57+P59+P64+P68+P73+P42+P50+P71</f>
        <v>25158900</v>
      </c>
      <c r="Q18" s="285">
        <f t="shared" si="1"/>
        <v>4.1369338947926453</v>
      </c>
      <c r="R18" s="17">
        <f t="shared" si="2"/>
        <v>165210666</v>
      </c>
      <c r="S18" s="285">
        <f t="shared" si="3"/>
        <v>27.165957333455232</v>
      </c>
      <c r="T18" s="800">
        <f>SUM(T20:T74)/41</f>
        <v>2.1486643437862947</v>
      </c>
      <c r="U18" s="12"/>
      <c r="V18" s="12"/>
    </row>
    <row r="19" spans="1:22" s="27" customFormat="1">
      <c r="A19" s="561">
        <v>1</v>
      </c>
      <c r="B19" s="291" t="s">
        <v>17</v>
      </c>
      <c r="C19" s="291" t="s">
        <v>18</v>
      </c>
      <c r="D19" s="292">
        <v>38</v>
      </c>
      <c r="E19" s="291" t="s">
        <v>25</v>
      </c>
      <c r="F19" s="292">
        <v>5</v>
      </c>
      <c r="G19" s="292">
        <v>2</v>
      </c>
      <c r="H19" s="292">
        <v>2</v>
      </c>
      <c r="I19" s="291" t="s">
        <v>18</v>
      </c>
      <c r="J19" s="297"/>
      <c r="K19" s="298" t="s">
        <v>30</v>
      </c>
      <c r="L19" s="4"/>
      <c r="M19" s="5">
        <f>SUM(M20:M31)</f>
        <v>245654800</v>
      </c>
      <c r="N19" s="5">
        <f>SUM(N20:N31)</f>
        <v>29136850</v>
      </c>
      <c r="O19" s="6">
        <f t="shared" si="0"/>
        <v>11.860891787988674</v>
      </c>
      <c r="P19" s="5">
        <f>SUM(P20:P31)</f>
        <v>1590000</v>
      </c>
      <c r="Q19" s="285">
        <f t="shared" si="1"/>
        <v>0.64724971789682106</v>
      </c>
      <c r="R19" s="17">
        <f>N19+P19</f>
        <v>30726850</v>
      </c>
      <c r="S19" s="285">
        <f t="shared" si="3"/>
        <v>12.508141505885495</v>
      </c>
      <c r="T19" s="800"/>
      <c r="U19" s="12"/>
      <c r="V19" s="12"/>
    </row>
    <row r="20" spans="1:22">
      <c r="A20" s="562">
        <v>1</v>
      </c>
      <c r="B20" s="287" t="s">
        <v>17</v>
      </c>
      <c r="C20" s="287" t="s">
        <v>18</v>
      </c>
      <c r="D20" s="288">
        <v>38</v>
      </c>
      <c r="E20" s="287" t="s">
        <v>25</v>
      </c>
      <c r="F20" s="288">
        <v>5</v>
      </c>
      <c r="G20" s="288">
        <v>2</v>
      </c>
      <c r="H20" s="288">
        <v>2</v>
      </c>
      <c r="I20" s="287" t="s">
        <v>18</v>
      </c>
      <c r="J20" s="289" t="s">
        <v>18</v>
      </c>
      <c r="K20" s="290" t="s">
        <v>31</v>
      </c>
      <c r="L20" s="8"/>
      <c r="M20" s="9">
        <v>27929800</v>
      </c>
      <c r="N20" s="9">
        <f>jun!R20</f>
        <v>13994900</v>
      </c>
      <c r="O20" s="111">
        <f t="shared" si="0"/>
        <v>50.107412154759437</v>
      </c>
      <c r="P20" s="115"/>
      <c r="Q20" s="286">
        <f t="shared" si="1"/>
        <v>0</v>
      </c>
      <c r="R20" s="19">
        <f t="shared" si="2"/>
        <v>13994900</v>
      </c>
      <c r="S20" s="286">
        <f t="shared" si="3"/>
        <v>50.107412154759437</v>
      </c>
      <c r="T20" s="801">
        <v>0</v>
      </c>
      <c r="U20" s="11"/>
      <c r="V20" s="11"/>
    </row>
    <row r="21" spans="1:22" ht="21" customHeight="1">
      <c r="A21" s="562">
        <v>1</v>
      </c>
      <c r="B21" s="287" t="s">
        <v>17</v>
      </c>
      <c r="C21" s="287" t="s">
        <v>18</v>
      </c>
      <c r="D21" s="288">
        <v>38</v>
      </c>
      <c r="E21" s="287" t="s">
        <v>25</v>
      </c>
      <c r="F21" s="288">
        <v>5</v>
      </c>
      <c r="G21" s="288">
        <v>2</v>
      </c>
      <c r="H21" s="288">
        <v>2</v>
      </c>
      <c r="I21" s="287" t="s">
        <v>18</v>
      </c>
      <c r="J21" s="289" t="s">
        <v>44</v>
      </c>
      <c r="K21" s="290" t="s">
        <v>629</v>
      </c>
      <c r="L21" s="8"/>
      <c r="M21" s="9">
        <v>1750000</v>
      </c>
      <c r="N21" s="9">
        <f>jun!R21</f>
        <v>1698000</v>
      </c>
      <c r="O21" s="111">
        <f t="shared" si="0"/>
        <v>97.028571428571425</v>
      </c>
      <c r="P21" s="115"/>
      <c r="Q21" s="286">
        <f t="shared" si="1"/>
        <v>0</v>
      </c>
      <c r="R21" s="19">
        <f t="shared" si="2"/>
        <v>1698000</v>
      </c>
      <c r="S21" s="286">
        <f t="shared" si="3"/>
        <v>97.028571428571425</v>
      </c>
      <c r="T21" s="801">
        <v>0</v>
      </c>
      <c r="U21" s="299"/>
      <c r="V21" s="11"/>
    </row>
    <row r="22" spans="1:22">
      <c r="A22" s="562">
        <v>1</v>
      </c>
      <c r="B22" s="287" t="s">
        <v>17</v>
      </c>
      <c r="C22" s="287" t="s">
        <v>18</v>
      </c>
      <c r="D22" s="288">
        <v>38</v>
      </c>
      <c r="E22" s="287" t="s">
        <v>25</v>
      </c>
      <c r="F22" s="288">
        <v>5</v>
      </c>
      <c r="G22" s="288">
        <v>2</v>
      </c>
      <c r="H22" s="288">
        <v>2</v>
      </c>
      <c r="I22" s="287" t="s">
        <v>18</v>
      </c>
      <c r="J22" s="289" t="s">
        <v>32</v>
      </c>
      <c r="K22" s="290" t="s">
        <v>33</v>
      </c>
      <c r="L22" s="8"/>
      <c r="M22" s="9">
        <v>2100000</v>
      </c>
      <c r="N22" s="9">
        <f>jun!R22</f>
        <v>1500000</v>
      </c>
      <c r="O22" s="111">
        <f t="shared" si="0"/>
        <v>71.428571428571431</v>
      </c>
      <c r="P22" s="115"/>
      <c r="Q22" s="286">
        <f t="shared" si="1"/>
        <v>0</v>
      </c>
      <c r="R22" s="19">
        <f t="shared" si="2"/>
        <v>1500000</v>
      </c>
      <c r="S22" s="286">
        <f t="shared" si="3"/>
        <v>71.428571428571431</v>
      </c>
      <c r="T22" s="801">
        <f>S22</f>
        <v>71.428571428571431</v>
      </c>
      <c r="U22" s="299"/>
      <c r="V22" s="11"/>
    </row>
    <row r="23" spans="1:22">
      <c r="A23" s="562">
        <v>1</v>
      </c>
      <c r="B23" s="287" t="s">
        <v>17</v>
      </c>
      <c r="C23" s="287" t="s">
        <v>18</v>
      </c>
      <c r="D23" s="288">
        <v>38</v>
      </c>
      <c r="E23" s="287" t="s">
        <v>25</v>
      </c>
      <c r="F23" s="288">
        <v>5</v>
      </c>
      <c r="G23" s="288">
        <v>2</v>
      </c>
      <c r="H23" s="288">
        <v>2</v>
      </c>
      <c r="I23" s="287" t="s">
        <v>18</v>
      </c>
      <c r="J23" s="289" t="s">
        <v>24</v>
      </c>
      <c r="K23" s="290" t="s">
        <v>34</v>
      </c>
      <c r="L23" s="8"/>
      <c r="M23" s="9">
        <v>8125000</v>
      </c>
      <c r="N23" s="9">
        <f>jun!R23</f>
        <v>8000000</v>
      </c>
      <c r="O23" s="111">
        <f t="shared" si="0"/>
        <v>98.461538461538467</v>
      </c>
      <c r="P23" s="115"/>
      <c r="Q23" s="286">
        <f t="shared" si="1"/>
        <v>0</v>
      </c>
      <c r="R23" s="19">
        <f t="shared" si="2"/>
        <v>8000000</v>
      </c>
      <c r="S23" s="286">
        <f t="shared" si="3"/>
        <v>98.461538461538467</v>
      </c>
      <c r="T23" s="801">
        <v>0</v>
      </c>
      <c r="U23" s="299"/>
      <c r="V23" s="11"/>
    </row>
    <row r="24" spans="1:22">
      <c r="A24" s="562">
        <v>1</v>
      </c>
      <c r="B24" s="287" t="s">
        <v>17</v>
      </c>
      <c r="C24" s="287" t="s">
        <v>18</v>
      </c>
      <c r="D24" s="288">
        <v>38</v>
      </c>
      <c r="E24" s="287" t="s">
        <v>25</v>
      </c>
      <c r="F24" s="288">
        <v>5</v>
      </c>
      <c r="G24" s="288">
        <v>2</v>
      </c>
      <c r="H24" s="288">
        <v>2</v>
      </c>
      <c r="I24" s="287" t="s">
        <v>18</v>
      </c>
      <c r="J24" s="289" t="s">
        <v>433</v>
      </c>
      <c r="K24" s="290" t="s">
        <v>444</v>
      </c>
      <c r="L24" s="8"/>
      <c r="M24" s="9">
        <v>1200000</v>
      </c>
      <c r="N24" s="9">
        <f>jun!R24</f>
        <v>0</v>
      </c>
      <c r="O24" s="111">
        <f t="shared" si="0"/>
        <v>0</v>
      </c>
      <c r="P24" s="115"/>
      <c r="Q24" s="286">
        <f t="shared" si="1"/>
        <v>0</v>
      </c>
      <c r="R24" s="19">
        <f t="shared" si="2"/>
        <v>0</v>
      </c>
      <c r="S24" s="286">
        <f t="shared" si="3"/>
        <v>0</v>
      </c>
      <c r="T24" s="801">
        <v>0</v>
      </c>
      <c r="U24" s="299"/>
      <c r="V24" s="11"/>
    </row>
    <row r="25" spans="1:22">
      <c r="A25" s="562">
        <v>1</v>
      </c>
      <c r="B25" s="287" t="s">
        <v>17</v>
      </c>
      <c r="C25" s="287" t="s">
        <v>18</v>
      </c>
      <c r="D25" s="288">
        <v>38</v>
      </c>
      <c r="E25" s="287" t="s">
        <v>25</v>
      </c>
      <c r="F25" s="288">
        <v>5</v>
      </c>
      <c r="G25" s="288">
        <v>2</v>
      </c>
      <c r="H25" s="288">
        <v>2</v>
      </c>
      <c r="I25" s="287" t="s">
        <v>18</v>
      </c>
      <c r="J25" s="289" t="s">
        <v>26</v>
      </c>
      <c r="K25" s="290" t="s">
        <v>35</v>
      </c>
      <c r="L25" s="8"/>
      <c r="M25" s="9">
        <v>1000000</v>
      </c>
      <c r="N25" s="9">
        <f>jun!R25</f>
        <v>175000</v>
      </c>
      <c r="O25" s="111">
        <f t="shared" si="0"/>
        <v>17.5</v>
      </c>
      <c r="P25" s="115"/>
      <c r="Q25" s="286">
        <f t="shared" si="1"/>
        <v>0</v>
      </c>
      <c r="R25" s="19">
        <f t="shared" si="2"/>
        <v>175000</v>
      </c>
      <c r="S25" s="286">
        <f t="shared" si="3"/>
        <v>17.5</v>
      </c>
      <c r="T25" s="801">
        <v>0</v>
      </c>
      <c r="U25" s="299"/>
      <c r="V25" s="11"/>
    </row>
    <row r="26" spans="1:22">
      <c r="A26" s="562">
        <v>1</v>
      </c>
      <c r="B26" s="287" t="s">
        <v>17</v>
      </c>
      <c r="C26" s="287" t="s">
        <v>18</v>
      </c>
      <c r="D26" s="288">
        <v>38</v>
      </c>
      <c r="E26" s="287" t="s">
        <v>25</v>
      </c>
      <c r="F26" s="288">
        <v>5</v>
      </c>
      <c r="G26" s="288">
        <v>2</v>
      </c>
      <c r="H26" s="288">
        <v>2</v>
      </c>
      <c r="I26" s="287" t="s">
        <v>18</v>
      </c>
      <c r="J26" s="289">
        <v>10</v>
      </c>
      <c r="K26" s="290" t="s">
        <v>36</v>
      </c>
      <c r="L26" s="8"/>
      <c r="M26" s="9">
        <v>17900000</v>
      </c>
      <c r="N26" s="9">
        <f>jun!R26</f>
        <v>2225950</v>
      </c>
      <c r="O26" s="111">
        <f t="shared" si="0"/>
        <v>12.435474860335196</v>
      </c>
      <c r="P26" s="115">
        <v>1020000</v>
      </c>
      <c r="Q26" s="286">
        <f t="shared" si="1"/>
        <v>5.6983240223463687</v>
      </c>
      <c r="R26" s="19">
        <f t="shared" si="2"/>
        <v>3245950</v>
      </c>
      <c r="S26" s="286">
        <f t="shared" si="3"/>
        <v>18.133798882681564</v>
      </c>
      <c r="T26" s="801">
        <v>0</v>
      </c>
      <c r="U26" s="299"/>
      <c r="V26" s="11"/>
    </row>
    <row r="27" spans="1:22">
      <c r="A27" s="562">
        <v>1</v>
      </c>
      <c r="B27" s="287" t="s">
        <v>17</v>
      </c>
      <c r="C27" s="287" t="s">
        <v>18</v>
      </c>
      <c r="D27" s="288">
        <v>38</v>
      </c>
      <c r="E27" s="287" t="s">
        <v>25</v>
      </c>
      <c r="F27" s="288">
        <v>5</v>
      </c>
      <c r="G27" s="288">
        <v>2</v>
      </c>
      <c r="H27" s="288">
        <v>2</v>
      </c>
      <c r="I27" s="287" t="s">
        <v>18</v>
      </c>
      <c r="J27" s="289">
        <v>11</v>
      </c>
      <c r="K27" s="290" t="s">
        <v>369</v>
      </c>
      <c r="L27" s="11"/>
      <c r="M27" s="9">
        <v>165000000</v>
      </c>
      <c r="N27" s="9">
        <f>jun!R27</f>
        <v>0</v>
      </c>
      <c r="O27" s="111">
        <f t="shared" si="0"/>
        <v>0</v>
      </c>
      <c r="P27" s="112"/>
      <c r="Q27" s="286">
        <f t="shared" si="1"/>
        <v>0</v>
      </c>
      <c r="R27" s="19">
        <f t="shared" si="2"/>
        <v>0</v>
      </c>
      <c r="S27" s="286">
        <f t="shared" si="3"/>
        <v>0</v>
      </c>
      <c r="T27" s="801">
        <v>0</v>
      </c>
      <c r="U27" s="11"/>
      <c r="V27" s="11"/>
    </row>
    <row r="28" spans="1:22">
      <c r="A28" s="562">
        <v>1</v>
      </c>
      <c r="B28" s="287" t="s">
        <v>17</v>
      </c>
      <c r="C28" s="287" t="s">
        <v>18</v>
      </c>
      <c r="D28" s="288">
        <v>38</v>
      </c>
      <c r="E28" s="287" t="s">
        <v>25</v>
      </c>
      <c r="F28" s="288">
        <v>5</v>
      </c>
      <c r="G28" s="288">
        <v>2</v>
      </c>
      <c r="H28" s="288">
        <v>2</v>
      </c>
      <c r="I28" s="287" t="s">
        <v>18</v>
      </c>
      <c r="J28" s="289">
        <v>12</v>
      </c>
      <c r="K28" s="290" t="s">
        <v>37</v>
      </c>
      <c r="L28" s="11"/>
      <c r="M28" s="9">
        <v>6400000</v>
      </c>
      <c r="N28" s="9">
        <f>jun!R28</f>
        <v>1543000</v>
      </c>
      <c r="O28" s="111">
        <f t="shared" si="0"/>
        <v>24.109375</v>
      </c>
      <c r="P28" s="115">
        <v>250000</v>
      </c>
      <c r="Q28" s="286">
        <f t="shared" si="1"/>
        <v>3.90625</v>
      </c>
      <c r="R28" s="19">
        <f t="shared" si="2"/>
        <v>1793000</v>
      </c>
      <c r="S28" s="286">
        <f t="shared" si="3"/>
        <v>28.015625</v>
      </c>
      <c r="T28" s="801">
        <v>0</v>
      </c>
      <c r="U28" s="11"/>
      <c r="V28" s="11"/>
    </row>
    <row r="29" spans="1:22">
      <c r="A29" s="562">
        <v>1</v>
      </c>
      <c r="B29" s="287" t="s">
        <v>17</v>
      </c>
      <c r="C29" s="287" t="s">
        <v>18</v>
      </c>
      <c r="D29" s="288">
        <v>38</v>
      </c>
      <c r="E29" s="287" t="s">
        <v>25</v>
      </c>
      <c r="F29" s="288">
        <v>5</v>
      </c>
      <c r="G29" s="288">
        <v>2</v>
      </c>
      <c r="H29" s="288">
        <v>2</v>
      </c>
      <c r="I29" s="287" t="s">
        <v>18</v>
      </c>
      <c r="J29" s="289">
        <v>13</v>
      </c>
      <c r="K29" s="290" t="s">
        <v>630</v>
      </c>
      <c r="L29" s="11"/>
      <c r="M29" s="9">
        <v>400000</v>
      </c>
      <c r="N29" s="9">
        <f>jun!R29</f>
        <v>0</v>
      </c>
      <c r="O29" s="111">
        <f t="shared" si="0"/>
        <v>0</v>
      </c>
      <c r="P29" s="564"/>
      <c r="Q29" s="286">
        <f t="shared" si="1"/>
        <v>0</v>
      </c>
      <c r="R29" s="19"/>
      <c r="S29" s="286"/>
      <c r="T29" s="801">
        <v>0</v>
      </c>
      <c r="U29" s="11"/>
      <c r="V29" s="11"/>
    </row>
    <row r="30" spans="1:22">
      <c r="A30" s="562">
        <v>1</v>
      </c>
      <c r="B30" s="287" t="s">
        <v>17</v>
      </c>
      <c r="C30" s="287" t="s">
        <v>18</v>
      </c>
      <c r="D30" s="288">
        <v>38</v>
      </c>
      <c r="E30" s="287" t="s">
        <v>25</v>
      </c>
      <c r="F30" s="288">
        <v>5</v>
      </c>
      <c r="G30" s="288">
        <v>2</v>
      </c>
      <c r="H30" s="288">
        <v>2</v>
      </c>
      <c r="I30" s="287" t="s">
        <v>18</v>
      </c>
      <c r="J30" s="289">
        <v>14</v>
      </c>
      <c r="K30" s="290" t="s">
        <v>38</v>
      </c>
      <c r="L30" s="11"/>
      <c r="M30" s="9">
        <v>5250000</v>
      </c>
      <c r="N30" s="9">
        <f>jun!R30</f>
        <v>0</v>
      </c>
      <c r="O30" s="111">
        <f t="shared" si="0"/>
        <v>0</v>
      </c>
      <c r="P30" s="115"/>
      <c r="Q30" s="286">
        <f t="shared" si="1"/>
        <v>0</v>
      </c>
      <c r="R30" s="19">
        <f t="shared" si="2"/>
        <v>0</v>
      </c>
      <c r="S30" s="286">
        <f t="shared" si="3"/>
        <v>0</v>
      </c>
      <c r="T30" s="801">
        <v>0</v>
      </c>
      <c r="U30" s="11"/>
      <c r="V30" s="11"/>
    </row>
    <row r="31" spans="1:22">
      <c r="A31" s="562">
        <v>1</v>
      </c>
      <c r="B31" s="287" t="s">
        <v>17</v>
      </c>
      <c r="C31" s="287" t="s">
        <v>18</v>
      </c>
      <c r="D31" s="288">
        <v>38</v>
      </c>
      <c r="E31" s="287" t="s">
        <v>25</v>
      </c>
      <c r="F31" s="288">
        <v>5</v>
      </c>
      <c r="G31" s="288">
        <v>2</v>
      </c>
      <c r="H31" s="288">
        <v>2</v>
      </c>
      <c r="I31" s="287" t="s">
        <v>18</v>
      </c>
      <c r="J31" s="289">
        <v>16</v>
      </c>
      <c r="K31" s="290" t="s">
        <v>40</v>
      </c>
      <c r="L31" s="11"/>
      <c r="M31" s="9">
        <v>8600000</v>
      </c>
      <c r="N31" s="9">
        <f>jun!R31</f>
        <v>0</v>
      </c>
      <c r="O31" s="111">
        <f t="shared" si="0"/>
        <v>0</v>
      </c>
      <c r="P31" s="115">
        <v>320000</v>
      </c>
      <c r="Q31" s="286">
        <f t="shared" si="1"/>
        <v>3.7209302325581395</v>
      </c>
      <c r="R31" s="19">
        <f t="shared" si="2"/>
        <v>320000</v>
      </c>
      <c r="S31" s="286">
        <f t="shared" si="3"/>
        <v>3.7209302325581395</v>
      </c>
      <c r="T31" s="801">
        <v>0</v>
      </c>
      <c r="U31" s="11"/>
      <c r="V31" s="11"/>
    </row>
    <row r="32" spans="1:22" s="27" customFormat="1">
      <c r="A32" s="561">
        <v>1</v>
      </c>
      <c r="B32" s="291" t="s">
        <v>17</v>
      </c>
      <c r="C32" s="291" t="s">
        <v>18</v>
      </c>
      <c r="D32" s="292">
        <v>38</v>
      </c>
      <c r="E32" s="291" t="s">
        <v>25</v>
      </c>
      <c r="F32" s="292">
        <v>5</v>
      </c>
      <c r="G32" s="292">
        <v>2</v>
      </c>
      <c r="H32" s="292">
        <v>2</v>
      </c>
      <c r="I32" s="291" t="s">
        <v>17</v>
      </c>
      <c r="J32" s="297"/>
      <c r="K32" s="298" t="s">
        <v>41</v>
      </c>
      <c r="L32" s="12"/>
      <c r="M32" s="5">
        <f>SUM(M33:M34)</f>
        <v>60760000</v>
      </c>
      <c r="N32" s="5">
        <f>SUM(N33:N34)</f>
        <v>4728000</v>
      </c>
      <c r="O32" s="6">
        <f t="shared" si="0"/>
        <v>7.7814351547070437</v>
      </c>
      <c r="P32" s="5">
        <f>SUM(P34:P34)</f>
        <v>706000</v>
      </c>
      <c r="Q32" s="285">
        <f t="shared" si="1"/>
        <v>1.1619486504279131</v>
      </c>
      <c r="R32" s="17">
        <f t="shared" si="2"/>
        <v>5434000</v>
      </c>
      <c r="S32" s="285">
        <f t="shared" si="3"/>
        <v>8.9433838051349586</v>
      </c>
      <c r="T32" s="800"/>
      <c r="U32" s="12"/>
      <c r="V32" s="12"/>
    </row>
    <row r="33" spans="1:22" s="27" customFormat="1">
      <c r="A33" s="562">
        <v>1</v>
      </c>
      <c r="B33" s="287" t="s">
        <v>17</v>
      </c>
      <c r="C33" s="287" t="s">
        <v>18</v>
      </c>
      <c r="D33" s="288">
        <v>38</v>
      </c>
      <c r="E33" s="287" t="s">
        <v>25</v>
      </c>
      <c r="F33" s="288">
        <v>5</v>
      </c>
      <c r="G33" s="288">
        <v>2</v>
      </c>
      <c r="H33" s="288">
        <v>2</v>
      </c>
      <c r="I33" s="287" t="s">
        <v>17</v>
      </c>
      <c r="J33" s="289" t="s">
        <v>32</v>
      </c>
      <c r="K33" s="290" t="s">
        <v>631</v>
      </c>
      <c r="L33" s="12"/>
      <c r="M33" s="9">
        <v>46000000</v>
      </c>
      <c r="N33" s="9">
        <f>jun!R33</f>
        <v>0</v>
      </c>
      <c r="O33" s="6"/>
      <c r="P33" s="5"/>
      <c r="Q33" s="285"/>
      <c r="R33" s="19"/>
      <c r="S33" s="285"/>
      <c r="T33" s="801">
        <v>0</v>
      </c>
      <c r="U33" s="12"/>
      <c r="V33" s="12"/>
    </row>
    <row r="34" spans="1:22">
      <c r="A34" s="562">
        <v>1</v>
      </c>
      <c r="B34" s="287" t="s">
        <v>17</v>
      </c>
      <c r="C34" s="287" t="s">
        <v>18</v>
      </c>
      <c r="D34" s="288">
        <v>38</v>
      </c>
      <c r="E34" s="287" t="s">
        <v>25</v>
      </c>
      <c r="F34" s="288">
        <v>5</v>
      </c>
      <c r="G34" s="288">
        <v>2</v>
      </c>
      <c r="H34" s="288">
        <v>2</v>
      </c>
      <c r="I34" s="287" t="s">
        <v>17</v>
      </c>
      <c r="J34" s="289" t="s">
        <v>25</v>
      </c>
      <c r="K34" s="290" t="s">
        <v>43</v>
      </c>
      <c r="L34" s="11"/>
      <c r="M34" s="9">
        <v>14760000</v>
      </c>
      <c r="N34" s="9">
        <f>jun!R34</f>
        <v>4728000</v>
      </c>
      <c r="O34" s="111">
        <f t="shared" si="0"/>
        <v>32.032520325203251</v>
      </c>
      <c r="P34" s="115">
        <v>706000</v>
      </c>
      <c r="Q34" s="286">
        <f t="shared" si="1"/>
        <v>4.7831978319783195</v>
      </c>
      <c r="R34" s="19">
        <f t="shared" si="2"/>
        <v>5434000</v>
      </c>
      <c r="S34" s="286">
        <f t="shared" si="3"/>
        <v>36.815718157181571</v>
      </c>
      <c r="T34" s="801">
        <f>1/12*100</f>
        <v>8.3333333333333321</v>
      </c>
      <c r="U34" s="11"/>
      <c r="V34" s="11"/>
    </row>
    <row r="35" spans="1:22" s="27" customFormat="1">
      <c r="A35" s="561">
        <v>1</v>
      </c>
      <c r="B35" s="291" t="s">
        <v>17</v>
      </c>
      <c r="C35" s="291" t="s">
        <v>18</v>
      </c>
      <c r="D35" s="292">
        <v>38</v>
      </c>
      <c r="E35" s="291" t="s">
        <v>25</v>
      </c>
      <c r="F35" s="292">
        <v>5</v>
      </c>
      <c r="G35" s="292">
        <v>2</v>
      </c>
      <c r="H35" s="292">
        <v>2</v>
      </c>
      <c r="I35" s="291" t="s">
        <v>44</v>
      </c>
      <c r="J35" s="297"/>
      <c r="K35" s="298" t="s">
        <v>45</v>
      </c>
      <c r="L35" s="4"/>
      <c r="M35" s="5">
        <f>SUM(M36:M39)</f>
        <v>37160000</v>
      </c>
      <c r="N35" s="5">
        <f>SUM(N36:N39)</f>
        <v>1639200</v>
      </c>
      <c r="O35" s="6">
        <f t="shared" si="0"/>
        <v>4.411194833153929</v>
      </c>
      <c r="P35" s="5">
        <f>SUM(P36:P39)</f>
        <v>92900</v>
      </c>
      <c r="Q35" s="285">
        <f t="shared" si="1"/>
        <v>0.25</v>
      </c>
      <c r="R35" s="17">
        <f t="shared" si="2"/>
        <v>1732100</v>
      </c>
      <c r="S35" s="285">
        <f t="shared" si="3"/>
        <v>4.661194833153929</v>
      </c>
      <c r="T35" s="800"/>
      <c r="U35" s="12"/>
      <c r="V35" s="12"/>
    </row>
    <row r="36" spans="1:22">
      <c r="A36" s="562">
        <v>1</v>
      </c>
      <c r="B36" s="287" t="s">
        <v>17</v>
      </c>
      <c r="C36" s="287" t="s">
        <v>18</v>
      </c>
      <c r="D36" s="288">
        <v>38</v>
      </c>
      <c r="E36" s="287" t="s">
        <v>25</v>
      </c>
      <c r="F36" s="288">
        <v>5</v>
      </c>
      <c r="G36" s="288">
        <v>2</v>
      </c>
      <c r="H36" s="288">
        <v>2</v>
      </c>
      <c r="I36" s="287" t="s">
        <v>44</v>
      </c>
      <c r="J36" s="289" t="s">
        <v>25</v>
      </c>
      <c r="K36" s="290" t="s">
        <v>46</v>
      </c>
      <c r="L36" s="8"/>
      <c r="M36" s="9">
        <v>12000000</v>
      </c>
      <c r="N36" s="9">
        <f>jun!R36</f>
        <v>0</v>
      </c>
      <c r="O36" s="111">
        <f t="shared" si="0"/>
        <v>0</v>
      </c>
      <c r="P36" s="115"/>
      <c r="Q36" s="286">
        <f t="shared" si="1"/>
        <v>0</v>
      </c>
      <c r="R36" s="19">
        <f t="shared" si="2"/>
        <v>0</v>
      </c>
      <c r="S36" s="286">
        <f t="shared" si="3"/>
        <v>0</v>
      </c>
      <c r="T36" s="801">
        <v>0</v>
      </c>
      <c r="U36" s="300"/>
      <c r="V36" s="11"/>
    </row>
    <row r="37" spans="1:22">
      <c r="A37" s="562">
        <v>1</v>
      </c>
      <c r="B37" s="287" t="s">
        <v>17</v>
      </c>
      <c r="C37" s="287" t="s">
        <v>18</v>
      </c>
      <c r="D37" s="288">
        <v>38</v>
      </c>
      <c r="E37" s="287" t="s">
        <v>25</v>
      </c>
      <c r="F37" s="288">
        <v>5</v>
      </c>
      <c r="G37" s="288">
        <v>2</v>
      </c>
      <c r="H37" s="288">
        <v>2</v>
      </c>
      <c r="I37" s="287" t="s">
        <v>44</v>
      </c>
      <c r="J37" s="289" t="s">
        <v>47</v>
      </c>
      <c r="K37" s="290" t="s">
        <v>48</v>
      </c>
      <c r="L37" s="8"/>
      <c r="M37" s="9">
        <v>560000</v>
      </c>
      <c r="N37" s="9">
        <f>jun!R37</f>
        <v>19200</v>
      </c>
      <c r="O37" s="111">
        <f t="shared" si="0"/>
        <v>3.4285714285714288</v>
      </c>
      <c r="P37" s="115">
        <v>92900</v>
      </c>
      <c r="Q37" s="286">
        <f t="shared" si="1"/>
        <v>16.589285714285715</v>
      </c>
      <c r="R37" s="19">
        <f t="shared" si="2"/>
        <v>112100</v>
      </c>
      <c r="S37" s="286">
        <f t="shared" si="3"/>
        <v>20.017857142857142</v>
      </c>
      <c r="T37" s="801">
        <v>0</v>
      </c>
      <c r="U37" s="301"/>
      <c r="V37" s="11"/>
    </row>
    <row r="38" spans="1:22" ht="21" customHeight="1">
      <c r="A38" s="562">
        <v>1</v>
      </c>
      <c r="B38" s="287" t="s">
        <v>17</v>
      </c>
      <c r="C38" s="287" t="s">
        <v>18</v>
      </c>
      <c r="D38" s="288">
        <v>38</v>
      </c>
      <c r="E38" s="287" t="s">
        <v>25</v>
      </c>
      <c r="F38" s="288">
        <v>5</v>
      </c>
      <c r="G38" s="288">
        <v>2</v>
      </c>
      <c r="H38" s="288">
        <v>2</v>
      </c>
      <c r="I38" s="287" t="s">
        <v>44</v>
      </c>
      <c r="J38" s="289">
        <v>12</v>
      </c>
      <c r="K38" s="290" t="s">
        <v>49</v>
      </c>
      <c r="L38" s="8"/>
      <c r="M38" s="9">
        <v>10000000</v>
      </c>
      <c r="N38" s="9">
        <f>jun!R38</f>
        <v>1620000</v>
      </c>
      <c r="O38" s="111">
        <f t="shared" si="0"/>
        <v>16.2</v>
      </c>
      <c r="P38" s="115"/>
      <c r="Q38" s="286">
        <f t="shared" si="1"/>
        <v>0</v>
      </c>
      <c r="R38" s="19">
        <f t="shared" si="2"/>
        <v>1620000</v>
      </c>
      <c r="S38" s="286">
        <f t="shared" si="3"/>
        <v>16.2</v>
      </c>
      <c r="T38" s="801">
        <v>0</v>
      </c>
      <c r="U38" s="301"/>
      <c r="V38" s="11"/>
    </row>
    <row r="39" spans="1:22">
      <c r="A39" s="562">
        <v>1</v>
      </c>
      <c r="B39" s="287" t="s">
        <v>17</v>
      </c>
      <c r="C39" s="287" t="s">
        <v>18</v>
      </c>
      <c r="D39" s="288">
        <v>38</v>
      </c>
      <c r="E39" s="287" t="s">
        <v>25</v>
      </c>
      <c r="F39" s="288">
        <v>5</v>
      </c>
      <c r="G39" s="288">
        <v>2</v>
      </c>
      <c r="H39" s="288">
        <v>2</v>
      </c>
      <c r="I39" s="287" t="s">
        <v>44</v>
      </c>
      <c r="J39" s="289">
        <v>13</v>
      </c>
      <c r="K39" s="290" t="s">
        <v>632</v>
      </c>
      <c r="L39" s="8"/>
      <c r="M39" s="9">
        <v>14600000</v>
      </c>
      <c r="N39" s="9">
        <f>jun!R39</f>
        <v>0</v>
      </c>
      <c r="O39" s="111">
        <f t="shared" si="0"/>
        <v>0</v>
      </c>
      <c r="P39" s="115"/>
      <c r="Q39" s="286">
        <f t="shared" si="1"/>
        <v>0</v>
      </c>
      <c r="R39" s="19">
        <f t="shared" si="2"/>
        <v>0</v>
      </c>
      <c r="S39" s="286">
        <f t="shared" si="3"/>
        <v>0</v>
      </c>
      <c r="T39" s="801">
        <v>0</v>
      </c>
      <c r="U39" s="301"/>
      <c r="V39" s="11"/>
    </row>
    <row r="40" spans="1:22" s="27" customFormat="1">
      <c r="A40" s="561">
        <v>1</v>
      </c>
      <c r="B40" s="291" t="s">
        <v>17</v>
      </c>
      <c r="C40" s="291" t="s">
        <v>18</v>
      </c>
      <c r="D40" s="292">
        <v>38</v>
      </c>
      <c r="E40" s="291" t="s">
        <v>25</v>
      </c>
      <c r="F40" s="292">
        <v>5</v>
      </c>
      <c r="G40" s="292">
        <v>2</v>
      </c>
      <c r="H40" s="292">
        <v>2</v>
      </c>
      <c r="I40" s="291" t="s">
        <v>32</v>
      </c>
      <c r="J40" s="297"/>
      <c r="K40" s="298" t="s">
        <v>656</v>
      </c>
      <c r="L40" s="4"/>
      <c r="M40" s="5">
        <f>M41</f>
        <v>5000000</v>
      </c>
      <c r="N40" s="5">
        <f>N41</f>
        <v>0</v>
      </c>
      <c r="O40" s="6">
        <f t="shared" si="0"/>
        <v>0</v>
      </c>
      <c r="P40" s="5">
        <f>SUM(P41)</f>
        <v>0</v>
      </c>
      <c r="Q40" s="285">
        <f t="shared" si="1"/>
        <v>0</v>
      </c>
      <c r="R40" s="17">
        <f t="shared" si="2"/>
        <v>0</v>
      </c>
      <c r="S40" s="285">
        <f t="shared" si="3"/>
        <v>0</v>
      </c>
      <c r="T40" s="800"/>
      <c r="U40" s="12"/>
      <c r="V40" s="12"/>
    </row>
    <row r="41" spans="1:22">
      <c r="A41" s="562">
        <v>1</v>
      </c>
      <c r="B41" s="287" t="s">
        <v>17</v>
      </c>
      <c r="C41" s="287" t="s">
        <v>18</v>
      </c>
      <c r="D41" s="288">
        <v>38</v>
      </c>
      <c r="E41" s="287" t="s">
        <v>25</v>
      </c>
      <c r="F41" s="288">
        <v>5</v>
      </c>
      <c r="G41" s="288">
        <v>2</v>
      </c>
      <c r="H41" s="288">
        <v>2</v>
      </c>
      <c r="I41" s="287" t="s">
        <v>32</v>
      </c>
      <c r="J41" s="289" t="s">
        <v>17</v>
      </c>
      <c r="K41" s="290" t="s">
        <v>657</v>
      </c>
      <c r="L41" s="8"/>
      <c r="M41" s="9">
        <v>5000000</v>
      </c>
      <c r="N41" s="9">
        <f>jun!R41</f>
        <v>0</v>
      </c>
      <c r="O41" s="111">
        <f t="shared" si="0"/>
        <v>0</v>
      </c>
      <c r="P41" s="115"/>
      <c r="Q41" s="286">
        <f t="shared" si="1"/>
        <v>0</v>
      </c>
      <c r="R41" s="19">
        <f t="shared" si="2"/>
        <v>0</v>
      </c>
      <c r="S41" s="286">
        <f t="shared" si="3"/>
        <v>0</v>
      </c>
      <c r="T41" s="801">
        <v>0</v>
      </c>
      <c r="U41" s="11"/>
      <c r="V41" s="11"/>
    </row>
    <row r="42" spans="1:22" s="27" customFormat="1">
      <c r="A42" s="561">
        <v>1</v>
      </c>
      <c r="B42" s="291" t="s">
        <v>17</v>
      </c>
      <c r="C42" s="291" t="s">
        <v>18</v>
      </c>
      <c r="D42" s="292">
        <v>38</v>
      </c>
      <c r="E42" s="291" t="s">
        <v>25</v>
      </c>
      <c r="F42" s="292">
        <v>5</v>
      </c>
      <c r="G42" s="292">
        <v>2</v>
      </c>
      <c r="H42" s="292">
        <v>2</v>
      </c>
      <c r="I42" s="291" t="s">
        <v>24</v>
      </c>
      <c r="J42" s="297"/>
      <c r="K42" s="298" t="s">
        <v>633</v>
      </c>
      <c r="L42" s="4"/>
      <c r="M42" s="5">
        <f>M43+M44+M45</f>
        <v>11400000</v>
      </c>
      <c r="N42" s="5">
        <f>N43+N44+N45</f>
        <v>221000</v>
      </c>
      <c r="O42" s="6">
        <f t="shared" si="0"/>
        <v>1.9385964912280702</v>
      </c>
      <c r="P42" s="5">
        <f>P43+P44+P45</f>
        <v>400000</v>
      </c>
      <c r="Q42" s="285">
        <f t="shared" si="1"/>
        <v>3.5087719298245612</v>
      </c>
      <c r="R42" s="17">
        <f t="shared" si="2"/>
        <v>621000</v>
      </c>
      <c r="S42" s="285">
        <f t="shared" si="3"/>
        <v>5.447368421052631</v>
      </c>
      <c r="T42" s="800"/>
      <c r="U42" s="12"/>
      <c r="V42" s="12"/>
    </row>
    <row r="43" spans="1:22">
      <c r="A43" s="562">
        <v>1</v>
      </c>
      <c r="B43" s="287" t="s">
        <v>17</v>
      </c>
      <c r="C43" s="287" t="s">
        <v>18</v>
      </c>
      <c r="D43" s="288">
        <v>38</v>
      </c>
      <c r="E43" s="287" t="s">
        <v>25</v>
      </c>
      <c r="F43" s="288">
        <v>5</v>
      </c>
      <c r="G43" s="288">
        <v>2</v>
      </c>
      <c r="H43" s="288">
        <v>2</v>
      </c>
      <c r="I43" s="287" t="s">
        <v>24</v>
      </c>
      <c r="J43" s="289" t="s">
        <v>18</v>
      </c>
      <c r="K43" s="290" t="s">
        <v>634</v>
      </c>
      <c r="L43" s="8"/>
      <c r="M43" s="9">
        <v>2800000</v>
      </c>
      <c r="N43" s="9">
        <f>jun!R43</f>
        <v>120000</v>
      </c>
      <c r="O43" s="111">
        <f t="shared" si="0"/>
        <v>4.2857142857142856</v>
      </c>
      <c r="P43" s="115">
        <v>400000</v>
      </c>
      <c r="Q43" s="286">
        <f t="shared" si="1"/>
        <v>14.285714285714285</v>
      </c>
      <c r="R43" s="19">
        <f t="shared" si="2"/>
        <v>520000</v>
      </c>
      <c r="S43" s="286">
        <f t="shared" si="3"/>
        <v>18.571428571428573</v>
      </c>
      <c r="T43" s="801">
        <v>0</v>
      </c>
      <c r="U43" s="11"/>
      <c r="V43" s="11"/>
    </row>
    <row r="44" spans="1:22">
      <c r="A44" s="562">
        <v>1</v>
      </c>
      <c r="B44" s="287" t="s">
        <v>17</v>
      </c>
      <c r="C44" s="287" t="s">
        <v>18</v>
      </c>
      <c r="D44" s="288">
        <v>38</v>
      </c>
      <c r="E44" s="287" t="s">
        <v>25</v>
      </c>
      <c r="F44" s="288">
        <v>5</v>
      </c>
      <c r="G44" s="288">
        <v>2</v>
      </c>
      <c r="H44" s="288">
        <v>2</v>
      </c>
      <c r="I44" s="287" t="s">
        <v>24</v>
      </c>
      <c r="J44" s="289" t="s">
        <v>17</v>
      </c>
      <c r="K44" s="290" t="s">
        <v>635</v>
      </c>
      <c r="L44" s="8"/>
      <c r="M44" s="13">
        <v>6800000</v>
      </c>
      <c r="N44" s="9">
        <f>jun!R44</f>
        <v>101000</v>
      </c>
      <c r="O44" s="111">
        <f t="shared" si="0"/>
        <v>1.4852941176470589</v>
      </c>
      <c r="P44" s="116"/>
      <c r="Q44" s="286">
        <f t="shared" si="1"/>
        <v>0</v>
      </c>
      <c r="R44" s="19">
        <f t="shared" si="2"/>
        <v>101000</v>
      </c>
      <c r="S44" s="286">
        <f t="shared" si="3"/>
        <v>1.4852941176470589</v>
      </c>
      <c r="T44" s="801">
        <v>0</v>
      </c>
      <c r="U44" s="30"/>
      <c r="V44" s="11"/>
    </row>
    <row r="45" spans="1:22">
      <c r="A45" s="562">
        <v>1</v>
      </c>
      <c r="B45" s="287" t="s">
        <v>17</v>
      </c>
      <c r="C45" s="287" t="s">
        <v>18</v>
      </c>
      <c r="D45" s="288">
        <v>38</v>
      </c>
      <c r="E45" s="287" t="s">
        <v>25</v>
      </c>
      <c r="F45" s="288">
        <v>5</v>
      </c>
      <c r="G45" s="288">
        <v>2</v>
      </c>
      <c r="H45" s="288">
        <v>2</v>
      </c>
      <c r="I45" s="287" t="s">
        <v>24</v>
      </c>
      <c r="J45" s="289" t="s">
        <v>32</v>
      </c>
      <c r="K45" s="290" t="s">
        <v>636</v>
      </c>
      <c r="L45" s="8"/>
      <c r="M45" s="13">
        <v>1800000</v>
      </c>
      <c r="N45" s="9">
        <f>jun!R45</f>
        <v>0</v>
      </c>
      <c r="O45" s="111">
        <f t="shared" si="0"/>
        <v>0</v>
      </c>
      <c r="P45" s="116"/>
      <c r="Q45" s="286">
        <f t="shared" si="1"/>
        <v>0</v>
      </c>
      <c r="R45" s="19">
        <f t="shared" si="2"/>
        <v>0</v>
      </c>
      <c r="S45" s="286">
        <f t="shared" si="3"/>
        <v>0</v>
      </c>
      <c r="T45" s="801">
        <v>0</v>
      </c>
      <c r="U45" s="30"/>
      <c r="V45" s="11"/>
    </row>
    <row r="46" spans="1:22" s="27" customFormat="1">
      <c r="A46" s="561">
        <v>1</v>
      </c>
      <c r="B46" s="291" t="s">
        <v>17</v>
      </c>
      <c r="C46" s="291" t="s">
        <v>18</v>
      </c>
      <c r="D46" s="292">
        <v>38</v>
      </c>
      <c r="E46" s="291" t="s">
        <v>25</v>
      </c>
      <c r="F46" s="292">
        <v>5</v>
      </c>
      <c r="G46" s="292">
        <v>2</v>
      </c>
      <c r="H46" s="292">
        <v>2</v>
      </c>
      <c r="I46" s="291" t="s">
        <v>25</v>
      </c>
      <c r="J46" s="297"/>
      <c r="K46" s="298" t="s">
        <v>50</v>
      </c>
      <c r="L46" s="4"/>
      <c r="M46" s="5">
        <f>M47+M48+M49</f>
        <v>75630500</v>
      </c>
      <c r="N46" s="5">
        <f>N47+N48+N49</f>
        <v>65880000</v>
      </c>
      <c r="O46" s="6">
        <f t="shared" si="0"/>
        <v>87.107714480269209</v>
      </c>
      <c r="P46" s="5">
        <f>P47+P48+P49</f>
        <v>620000</v>
      </c>
      <c r="Q46" s="285">
        <f t="shared" si="1"/>
        <v>0.81977509073720267</v>
      </c>
      <c r="R46" s="17">
        <f t="shared" si="2"/>
        <v>66500000</v>
      </c>
      <c r="S46" s="285">
        <f t="shared" si="3"/>
        <v>87.927489571006404</v>
      </c>
      <c r="T46" s="800"/>
      <c r="U46" s="12"/>
      <c r="V46" s="12"/>
    </row>
    <row r="47" spans="1:22">
      <c r="A47" s="562">
        <v>1</v>
      </c>
      <c r="B47" s="287" t="s">
        <v>17</v>
      </c>
      <c r="C47" s="287" t="s">
        <v>18</v>
      </c>
      <c r="D47" s="288">
        <v>38</v>
      </c>
      <c r="E47" s="287" t="s">
        <v>25</v>
      </c>
      <c r="F47" s="288">
        <v>5</v>
      </c>
      <c r="G47" s="288">
        <v>2</v>
      </c>
      <c r="H47" s="288">
        <v>2</v>
      </c>
      <c r="I47" s="287" t="s">
        <v>25</v>
      </c>
      <c r="J47" s="289" t="s">
        <v>18</v>
      </c>
      <c r="K47" s="290" t="s">
        <v>51</v>
      </c>
      <c r="L47" s="8"/>
      <c r="M47" s="9">
        <v>65730500</v>
      </c>
      <c r="N47" s="9">
        <f>jun!R47</f>
        <v>63500000</v>
      </c>
      <c r="O47" s="111">
        <f t="shared" si="0"/>
        <v>96.606598154585768</v>
      </c>
      <c r="P47" s="115"/>
      <c r="Q47" s="286">
        <f t="shared" si="1"/>
        <v>0</v>
      </c>
      <c r="R47" s="19">
        <f t="shared" si="2"/>
        <v>63500000</v>
      </c>
      <c r="S47" s="286">
        <f t="shared" si="3"/>
        <v>96.606598154585768</v>
      </c>
      <c r="T47" s="801">
        <v>0</v>
      </c>
      <c r="U47" s="11"/>
      <c r="V47" s="11"/>
    </row>
    <row r="48" spans="1:22">
      <c r="A48" s="562">
        <v>1</v>
      </c>
      <c r="B48" s="287" t="s">
        <v>17</v>
      </c>
      <c r="C48" s="287" t="s">
        <v>18</v>
      </c>
      <c r="D48" s="288">
        <v>38</v>
      </c>
      <c r="E48" s="287" t="s">
        <v>25</v>
      </c>
      <c r="F48" s="288">
        <v>5</v>
      </c>
      <c r="G48" s="288">
        <v>2</v>
      </c>
      <c r="H48" s="288">
        <v>2</v>
      </c>
      <c r="I48" s="287" t="s">
        <v>25</v>
      </c>
      <c r="J48" s="289" t="s">
        <v>17</v>
      </c>
      <c r="K48" s="290" t="s">
        <v>52</v>
      </c>
      <c r="L48" s="8"/>
      <c r="M48" s="13">
        <v>8400000</v>
      </c>
      <c r="N48" s="9">
        <f>jun!R48</f>
        <v>2380000</v>
      </c>
      <c r="O48" s="111">
        <f t="shared" si="0"/>
        <v>28.333333333333332</v>
      </c>
      <c r="P48" s="116">
        <v>620000</v>
      </c>
      <c r="Q48" s="286">
        <f t="shared" si="1"/>
        <v>7.3809523809523814</v>
      </c>
      <c r="R48" s="19">
        <f t="shared" si="2"/>
        <v>3000000</v>
      </c>
      <c r="S48" s="286">
        <f t="shared" si="3"/>
        <v>35.714285714285715</v>
      </c>
      <c r="T48" s="801">
        <f>1/12*100</f>
        <v>8.3333333333333321</v>
      </c>
      <c r="U48" s="30"/>
      <c r="V48" s="11"/>
    </row>
    <row r="49" spans="1:22">
      <c r="A49" s="562">
        <v>1</v>
      </c>
      <c r="B49" s="287" t="s">
        <v>17</v>
      </c>
      <c r="C49" s="287" t="s">
        <v>18</v>
      </c>
      <c r="D49" s="288">
        <v>38</v>
      </c>
      <c r="E49" s="287" t="s">
        <v>25</v>
      </c>
      <c r="F49" s="288">
        <v>5</v>
      </c>
      <c r="G49" s="288">
        <v>2</v>
      </c>
      <c r="H49" s="288">
        <v>2</v>
      </c>
      <c r="I49" s="287" t="s">
        <v>25</v>
      </c>
      <c r="J49" s="289" t="s">
        <v>44</v>
      </c>
      <c r="K49" s="290" t="s">
        <v>53</v>
      </c>
      <c r="L49" s="8"/>
      <c r="M49" s="13">
        <v>1500000</v>
      </c>
      <c r="N49" s="9">
        <f>jun!R49</f>
        <v>0</v>
      </c>
      <c r="O49" s="111">
        <f t="shared" si="0"/>
        <v>0</v>
      </c>
      <c r="P49" s="116"/>
      <c r="Q49" s="286">
        <f t="shared" si="1"/>
        <v>0</v>
      </c>
      <c r="R49" s="19">
        <f t="shared" si="2"/>
        <v>0</v>
      </c>
      <c r="S49" s="286">
        <f t="shared" si="3"/>
        <v>0</v>
      </c>
      <c r="T49" s="801">
        <v>0</v>
      </c>
      <c r="U49" s="30"/>
      <c r="V49" s="11"/>
    </row>
    <row r="50" spans="1:22" s="27" customFormat="1">
      <c r="A50" s="561">
        <v>1</v>
      </c>
      <c r="B50" s="291" t="s">
        <v>17</v>
      </c>
      <c r="C50" s="291" t="s">
        <v>18</v>
      </c>
      <c r="D50" s="292">
        <v>38</v>
      </c>
      <c r="E50" s="291" t="s">
        <v>25</v>
      </c>
      <c r="F50" s="292">
        <v>5</v>
      </c>
      <c r="G50" s="292">
        <v>2</v>
      </c>
      <c r="H50" s="292">
        <v>2</v>
      </c>
      <c r="I50" s="291">
        <v>11</v>
      </c>
      <c r="J50" s="297"/>
      <c r="K50" s="298" t="s">
        <v>54</v>
      </c>
      <c r="L50" s="12"/>
      <c r="M50" s="114">
        <f>M51</f>
        <v>26050000</v>
      </c>
      <c r="N50" s="114">
        <f>N51</f>
        <v>1500000</v>
      </c>
      <c r="O50" s="6">
        <f t="shared" si="0"/>
        <v>5.7581573896353166</v>
      </c>
      <c r="P50" s="114">
        <f>P51</f>
        <v>5000000</v>
      </c>
      <c r="Q50" s="285">
        <f t="shared" si="1"/>
        <v>19.193857965451055</v>
      </c>
      <c r="R50" s="17">
        <f t="shared" si="2"/>
        <v>6500000</v>
      </c>
      <c r="S50" s="285">
        <f t="shared" si="3"/>
        <v>24.95201535508637</v>
      </c>
      <c r="T50" s="800"/>
      <c r="U50" s="557"/>
      <c r="V50" s="12"/>
    </row>
    <row r="51" spans="1:22">
      <c r="A51" s="562">
        <v>1</v>
      </c>
      <c r="B51" s="287" t="s">
        <v>17</v>
      </c>
      <c r="C51" s="287" t="s">
        <v>18</v>
      </c>
      <c r="D51" s="288">
        <v>38</v>
      </c>
      <c r="E51" s="287" t="s">
        <v>25</v>
      </c>
      <c r="F51" s="288">
        <v>5</v>
      </c>
      <c r="G51" s="288">
        <v>2</v>
      </c>
      <c r="H51" s="288">
        <v>2</v>
      </c>
      <c r="I51" s="287">
        <v>11</v>
      </c>
      <c r="J51" s="289" t="s">
        <v>17</v>
      </c>
      <c r="K51" s="290" t="s">
        <v>55</v>
      </c>
      <c r="L51" s="11"/>
      <c r="M51" s="14">
        <v>26050000</v>
      </c>
      <c r="N51" s="9">
        <f>jun!R51</f>
        <v>1500000</v>
      </c>
      <c r="O51" s="111">
        <f t="shared" si="0"/>
        <v>5.7581573896353166</v>
      </c>
      <c r="P51" s="113">
        <v>5000000</v>
      </c>
      <c r="Q51" s="286">
        <f t="shared" si="1"/>
        <v>19.193857965451055</v>
      </c>
      <c r="R51" s="19">
        <f t="shared" si="2"/>
        <v>6500000</v>
      </c>
      <c r="S51" s="286">
        <f t="shared" si="3"/>
        <v>24.95201535508637</v>
      </c>
      <c r="T51" s="802">
        <v>0</v>
      </c>
      <c r="U51" s="15"/>
      <c r="V51" s="11"/>
    </row>
    <row r="52" spans="1:22" s="27" customFormat="1">
      <c r="A52" s="561">
        <v>1</v>
      </c>
      <c r="B52" s="291" t="s">
        <v>17</v>
      </c>
      <c r="C52" s="291" t="s">
        <v>18</v>
      </c>
      <c r="D52" s="292">
        <v>38</v>
      </c>
      <c r="E52" s="291" t="s">
        <v>25</v>
      </c>
      <c r="F52" s="292">
        <v>5</v>
      </c>
      <c r="G52" s="292">
        <v>2</v>
      </c>
      <c r="H52" s="292">
        <v>2</v>
      </c>
      <c r="I52" s="291">
        <v>14</v>
      </c>
      <c r="J52" s="297"/>
      <c r="K52" s="298" t="s">
        <v>637</v>
      </c>
      <c r="L52" s="12"/>
      <c r="M52" s="114">
        <f>M53</f>
        <v>8000000</v>
      </c>
      <c r="N52" s="114">
        <f>N53</f>
        <v>0</v>
      </c>
      <c r="O52" s="6">
        <f t="shared" si="0"/>
        <v>0</v>
      </c>
      <c r="P52" s="114">
        <f>P53</f>
        <v>0</v>
      </c>
      <c r="Q52" s="285">
        <f t="shared" si="1"/>
        <v>0</v>
      </c>
      <c r="R52" s="17">
        <f t="shared" si="2"/>
        <v>0</v>
      </c>
      <c r="S52" s="285">
        <f t="shared" si="3"/>
        <v>0</v>
      </c>
      <c r="T52" s="800"/>
      <c r="U52" s="557"/>
      <c r="V52" s="12"/>
    </row>
    <row r="53" spans="1:22">
      <c r="A53" s="562">
        <v>1</v>
      </c>
      <c r="B53" s="287" t="s">
        <v>17</v>
      </c>
      <c r="C53" s="287" t="s">
        <v>18</v>
      </c>
      <c r="D53" s="288">
        <v>38</v>
      </c>
      <c r="E53" s="287" t="s">
        <v>25</v>
      </c>
      <c r="F53" s="288">
        <v>5</v>
      </c>
      <c r="G53" s="288">
        <v>2</v>
      </c>
      <c r="H53" s="288">
        <v>2</v>
      </c>
      <c r="I53" s="287">
        <v>14</v>
      </c>
      <c r="J53" s="289" t="s">
        <v>32</v>
      </c>
      <c r="K53" s="290" t="s">
        <v>638</v>
      </c>
      <c r="L53" s="11"/>
      <c r="M53" s="14">
        <v>8000000</v>
      </c>
      <c r="N53" s="9">
        <f>jun!R53</f>
        <v>0</v>
      </c>
      <c r="O53" s="111">
        <f t="shared" si="0"/>
        <v>0</v>
      </c>
      <c r="P53" s="113"/>
      <c r="Q53" s="286">
        <f t="shared" si="1"/>
        <v>0</v>
      </c>
      <c r="R53" s="19">
        <f t="shared" si="2"/>
        <v>0</v>
      </c>
      <c r="S53" s="286">
        <f t="shared" si="3"/>
        <v>0</v>
      </c>
      <c r="T53" s="802">
        <v>0</v>
      </c>
      <c r="U53" s="15"/>
      <c r="V53" s="11"/>
    </row>
    <row r="54" spans="1:22" s="27" customFormat="1">
      <c r="A54" s="561">
        <v>1</v>
      </c>
      <c r="B54" s="291" t="s">
        <v>17</v>
      </c>
      <c r="C54" s="291" t="s">
        <v>18</v>
      </c>
      <c r="D54" s="292">
        <v>38</v>
      </c>
      <c r="E54" s="291" t="s">
        <v>25</v>
      </c>
      <c r="F54" s="292">
        <v>5</v>
      </c>
      <c r="G54" s="292">
        <v>2</v>
      </c>
      <c r="H54" s="292">
        <v>2</v>
      </c>
      <c r="I54" s="291">
        <v>15</v>
      </c>
      <c r="J54" s="297"/>
      <c r="K54" s="16" t="s">
        <v>56</v>
      </c>
      <c r="L54" s="12"/>
      <c r="M54" s="17">
        <f>M55+M56</f>
        <v>20998000</v>
      </c>
      <c r="N54" s="17">
        <f>N55+N56</f>
        <v>6196716</v>
      </c>
      <c r="O54" s="6">
        <f t="shared" si="0"/>
        <v>29.510981998285551</v>
      </c>
      <c r="P54" s="17">
        <f>P55+P56</f>
        <v>0</v>
      </c>
      <c r="Q54" s="285">
        <f t="shared" si="1"/>
        <v>0</v>
      </c>
      <c r="R54" s="17">
        <f t="shared" si="2"/>
        <v>6196716</v>
      </c>
      <c r="S54" s="285">
        <f t="shared" si="3"/>
        <v>29.510981998285551</v>
      </c>
      <c r="T54" s="800"/>
      <c r="U54" s="12"/>
      <c r="V54" s="12"/>
    </row>
    <row r="55" spans="1:22">
      <c r="A55" s="562">
        <v>1</v>
      </c>
      <c r="B55" s="287" t="s">
        <v>17</v>
      </c>
      <c r="C55" s="287" t="s">
        <v>18</v>
      </c>
      <c r="D55" s="288">
        <v>38</v>
      </c>
      <c r="E55" s="287" t="s">
        <v>25</v>
      </c>
      <c r="F55" s="288">
        <v>5</v>
      </c>
      <c r="G55" s="288">
        <v>2</v>
      </c>
      <c r="H55" s="288">
        <v>2</v>
      </c>
      <c r="I55" s="287">
        <v>15</v>
      </c>
      <c r="J55" s="289" t="s">
        <v>18</v>
      </c>
      <c r="K55" s="18" t="s">
        <v>57</v>
      </c>
      <c r="L55" s="11"/>
      <c r="M55" s="19">
        <v>4500000</v>
      </c>
      <c r="N55" s="9">
        <f>jun!R55</f>
        <v>0</v>
      </c>
      <c r="O55" s="111">
        <f t="shared" si="0"/>
        <v>0</v>
      </c>
      <c r="P55" s="19"/>
      <c r="Q55" s="286">
        <f t="shared" si="1"/>
        <v>0</v>
      </c>
      <c r="R55" s="19">
        <f t="shared" si="2"/>
        <v>0</v>
      </c>
      <c r="S55" s="286">
        <f t="shared" si="3"/>
        <v>0</v>
      </c>
      <c r="T55" s="801">
        <v>0</v>
      </c>
      <c r="U55" s="11"/>
      <c r="V55" s="11"/>
    </row>
    <row r="56" spans="1:22">
      <c r="A56" s="562">
        <v>1</v>
      </c>
      <c r="B56" s="287" t="s">
        <v>17</v>
      </c>
      <c r="C56" s="287" t="s">
        <v>18</v>
      </c>
      <c r="D56" s="288">
        <v>38</v>
      </c>
      <c r="E56" s="287" t="s">
        <v>25</v>
      </c>
      <c r="F56" s="288">
        <v>5</v>
      </c>
      <c r="G56" s="288">
        <v>2</v>
      </c>
      <c r="H56" s="288">
        <v>2</v>
      </c>
      <c r="I56" s="287">
        <v>15</v>
      </c>
      <c r="J56" s="289" t="s">
        <v>17</v>
      </c>
      <c r="K56" s="18" t="s">
        <v>58</v>
      </c>
      <c r="L56" s="11"/>
      <c r="M56" s="19">
        <v>16498000</v>
      </c>
      <c r="N56" s="9">
        <f>jun!R56</f>
        <v>6196716</v>
      </c>
      <c r="O56" s="111">
        <f t="shared" si="0"/>
        <v>37.56040732209965</v>
      </c>
      <c r="P56" s="19"/>
      <c r="Q56" s="286">
        <f t="shared" si="1"/>
        <v>0</v>
      </c>
      <c r="R56" s="19">
        <f t="shared" si="2"/>
        <v>6196716</v>
      </c>
      <c r="S56" s="286">
        <f t="shared" si="3"/>
        <v>37.56040732209965</v>
      </c>
      <c r="T56" s="801">
        <v>0</v>
      </c>
      <c r="U56" s="11"/>
      <c r="V56" s="11"/>
    </row>
    <row r="57" spans="1:22" s="27" customFormat="1" ht="17.25" customHeight="1">
      <c r="A57" s="561">
        <v>1</v>
      </c>
      <c r="B57" s="291" t="s">
        <v>17</v>
      </c>
      <c r="C57" s="291" t="s">
        <v>18</v>
      </c>
      <c r="D57" s="292">
        <v>38</v>
      </c>
      <c r="E57" s="291" t="s">
        <v>25</v>
      </c>
      <c r="F57" s="292">
        <v>5</v>
      </c>
      <c r="G57" s="292">
        <v>2</v>
      </c>
      <c r="H57" s="292">
        <v>2</v>
      </c>
      <c r="I57" s="291">
        <v>17</v>
      </c>
      <c r="J57" s="297"/>
      <c r="K57" s="16" t="s">
        <v>639</v>
      </c>
      <c r="L57" s="12"/>
      <c r="M57" s="17">
        <f>M58</f>
        <v>28000000</v>
      </c>
      <c r="N57" s="17">
        <f>N58</f>
        <v>10000000</v>
      </c>
      <c r="O57" s="6">
        <f t="shared" si="0"/>
        <v>35.714285714285715</v>
      </c>
      <c r="P57" s="17">
        <f>P58</f>
        <v>0</v>
      </c>
      <c r="Q57" s="285">
        <f t="shared" si="1"/>
        <v>0</v>
      </c>
      <c r="R57" s="17">
        <f t="shared" si="2"/>
        <v>10000000</v>
      </c>
      <c r="S57" s="285">
        <f t="shared" si="3"/>
        <v>35.714285714285715</v>
      </c>
      <c r="T57" s="800"/>
      <c r="U57" s="12"/>
      <c r="V57" s="12"/>
    </row>
    <row r="58" spans="1:22">
      <c r="A58" s="562">
        <v>1</v>
      </c>
      <c r="B58" s="287" t="s">
        <v>17</v>
      </c>
      <c r="C58" s="287" t="s">
        <v>18</v>
      </c>
      <c r="D58" s="288">
        <v>38</v>
      </c>
      <c r="E58" s="287" t="s">
        <v>25</v>
      </c>
      <c r="F58" s="288">
        <v>5</v>
      </c>
      <c r="G58" s="288">
        <v>2</v>
      </c>
      <c r="H58" s="288">
        <v>2</v>
      </c>
      <c r="I58" s="287">
        <v>17</v>
      </c>
      <c r="J58" s="289" t="s">
        <v>18</v>
      </c>
      <c r="K58" s="18" t="s">
        <v>60</v>
      </c>
      <c r="L58" s="11"/>
      <c r="M58" s="19">
        <v>28000000</v>
      </c>
      <c r="N58" s="9">
        <f>jun!R58</f>
        <v>10000000</v>
      </c>
      <c r="O58" s="111">
        <f t="shared" si="0"/>
        <v>35.714285714285715</v>
      </c>
      <c r="P58" s="19"/>
      <c r="Q58" s="286">
        <f t="shared" si="1"/>
        <v>0</v>
      </c>
      <c r="R58" s="19">
        <f t="shared" si="2"/>
        <v>10000000</v>
      </c>
      <c r="S58" s="286">
        <f t="shared" si="3"/>
        <v>35.714285714285715</v>
      </c>
      <c r="T58" s="801">
        <v>0</v>
      </c>
      <c r="U58" s="11"/>
      <c r="V58" s="11"/>
    </row>
    <row r="59" spans="1:22" s="27" customFormat="1">
      <c r="A59" s="561">
        <v>1</v>
      </c>
      <c r="B59" s="291" t="s">
        <v>17</v>
      </c>
      <c r="C59" s="291" t="s">
        <v>18</v>
      </c>
      <c r="D59" s="292">
        <v>38</v>
      </c>
      <c r="E59" s="291" t="s">
        <v>25</v>
      </c>
      <c r="F59" s="292">
        <v>5</v>
      </c>
      <c r="G59" s="292">
        <v>2</v>
      </c>
      <c r="H59" s="292">
        <v>2</v>
      </c>
      <c r="I59" s="291">
        <v>20</v>
      </c>
      <c r="J59" s="297"/>
      <c r="K59" s="16" t="s">
        <v>367</v>
      </c>
      <c r="L59" s="12"/>
      <c r="M59" s="17">
        <f>SUM(M60:M63)</f>
        <v>33500000</v>
      </c>
      <c r="N59" s="17">
        <f>SUM(N60:N63)</f>
        <v>13450000</v>
      </c>
      <c r="O59" s="6">
        <f t="shared" si="0"/>
        <v>40.149253731343279</v>
      </c>
      <c r="P59" s="17">
        <f>SUM(P60:P63)</f>
        <v>500000</v>
      </c>
      <c r="Q59" s="285">
        <f t="shared" si="1"/>
        <v>1.4925373134328357</v>
      </c>
      <c r="R59" s="17">
        <f t="shared" si="2"/>
        <v>13950000</v>
      </c>
      <c r="S59" s="285">
        <f t="shared" si="3"/>
        <v>41.64179104477612</v>
      </c>
      <c r="T59" s="800"/>
      <c r="U59" s="12"/>
      <c r="V59" s="12"/>
    </row>
    <row r="60" spans="1:22">
      <c r="A60" s="562">
        <v>1</v>
      </c>
      <c r="B60" s="287" t="s">
        <v>17</v>
      </c>
      <c r="C60" s="287" t="s">
        <v>18</v>
      </c>
      <c r="D60" s="288">
        <v>38</v>
      </c>
      <c r="E60" s="287" t="s">
        <v>25</v>
      </c>
      <c r="F60" s="288">
        <v>5</v>
      </c>
      <c r="G60" s="288">
        <v>2</v>
      </c>
      <c r="H60" s="288">
        <v>2</v>
      </c>
      <c r="I60" s="287">
        <v>20</v>
      </c>
      <c r="J60" s="289" t="s">
        <v>44</v>
      </c>
      <c r="K60" s="18" t="s">
        <v>367</v>
      </c>
      <c r="L60" s="11"/>
      <c r="M60" s="19">
        <v>7000000</v>
      </c>
      <c r="N60" s="9">
        <f>jun!R60</f>
        <v>0</v>
      </c>
      <c r="O60" s="111">
        <f t="shared" si="0"/>
        <v>0</v>
      </c>
      <c r="P60" s="19"/>
      <c r="Q60" s="286">
        <f t="shared" si="1"/>
        <v>0</v>
      </c>
      <c r="R60" s="19">
        <f t="shared" si="2"/>
        <v>0</v>
      </c>
      <c r="S60" s="286">
        <f t="shared" si="3"/>
        <v>0</v>
      </c>
      <c r="T60" s="801">
        <v>0</v>
      </c>
      <c r="U60" s="11"/>
      <c r="V60" s="11"/>
    </row>
    <row r="61" spans="1:22">
      <c r="A61" s="562">
        <v>1</v>
      </c>
      <c r="B61" s="287" t="s">
        <v>17</v>
      </c>
      <c r="C61" s="287" t="s">
        <v>18</v>
      </c>
      <c r="D61" s="288">
        <v>38</v>
      </c>
      <c r="E61" s="287" t="s">
        <v>25</v>
      </c>
      <c r="F61" s="288">
        <v>5</v>
      </c>
      <c r="G61" s="288">
        <v>2</v>
      </c>
      <c r="H61" s="288">
        <v>2</v>
      </c>
      <c r="I61" s="287">
        <v>20</v>
      </c>
      <c r="J61" s="289" t="s">
        <v>32</v>
      </c>
      <c r="K61" s="18" t="s">
        <v>62</v>
      </c>
      <c r="L61" s="11"/>
      <c r="M61" s="19">
        <v>10500000</v>
      </c>
      <c r="N61" s="9">
        <f>jun!R61</f>
        <v>10450000</v>
      </c>
      <c r="O61" s="111">
        <f t="shared" si="0"/>
        <v>99.523809523809518</v>
      </c>
      <c r="P61" s="19"/>
      <c r="Q61" s="286">
        <f t="shared" si="1"/>
        <v>0</v>
      </c>
      <c r="R61" s="19">
        <f t="shared" si="2"/>
        <v>10450000</v>
      </c>
      <c r="S61" s="286">
        <f t="shared" si="3"/>
        <v>99.523809523809518</v>
      </c>
      <c r="T61" s="801">
        <v>0</v>
      </c>
      <c r="U61" s="11"/>
      <c r="V61" s="11"/>
    </row>
    <row r="62" spans="1:22">
      <c r="A62" s="562">
        <v>1</v>
      </c>
      <c r="B62" s="287" t="s">
        <v>17</v>
      </c>
      <c r="C62" s="287" t="s">
        <v>18</v>
      </c>
      <c r="D62" s="288">
        <v>38</v>
      </c>
      <c r="E62" s="287" t="s">
        <v>25</v>
      </c>
      <c r="F62" s="288">
        <v>5</v>
      </c>
      <c r="G62" s="288">
        <v>2</v>
      </c>
      <c r="H62" s="288">
        <v>2</v>
      </c>
      <c r="I62" s="287">
        <v>20</v>
      </c>
      <c r="J62" s="289" t="s">
        <v>433</v>
      </c>
      <c r="K62" s="18" t="s">
        <v>438</v>
      </c>
      <c r="L62" s="11"/>
      <c r="M62" s="19">
        <v>5000000</v>
      </c>
      <c r="N62" s="9">
        <f>jun!R62</f>
        <v>0</v>
      </c>
      <c r="O62" s="111">
        <f t="shared" si="0"/>
        <v>0</v>
      </c>
      <c r="P62" s="19"/>
      <c r="Q62" s="286">
        <f t="shared" si="1"/>
        <v>0</v>
      </c>
      <c r="R62" s="19">
        <f t="shared" si="2"/>
        <v>0</v>
      </c>
      <c r="S62" s="286">
        <f t="shared" si="3"/>
        <v>0</v>
      </c>
      <c r="T62" s="801">
        <v>0</v>
      </c>
      <c r="U62" s="11"/>
      <c r="V62" s="11"/>
    </row>
    <row r="63" spans="1:22">
      <c r="A63" s="562">
        <v>1</v>
      </c>
      <c r="B63" s="287" t="s">
        <v>17</v>
      </c>
      <c r="C63" s="287" t="s">
        <v>18</v>
      </c>
      <c r="D63" s="288">
        <v>38</v>
      </c>
      <c r="E63" s="287" t="s">
        <v>25</v>
      </c>
      <c r="F63" s="288">
        <v>5</v>
      </c>
      <c r="G63" s="288">
        <v>2</v>
      </c>
      <c r="H63" s="288">
        <v>2</v>
      </c>
      <c r="I63" s="287">
        <v>20</v>
      </c>
      <c r="J63" s="289" t="s">
        <v>435</v>
      </c>
      <c r="K63" s="18" t="s">
        <v>436</v>
      </c>
      <c r="L63" s="11"/>
      <c r="M63" s="19">
        <v>11000000</v>
      </c>
      <c r="N63" s="9">
        <f>jun!R63</f>
        <v>3000000</v>
      </c>
      <c r="O63" s="111">
        <f t="shared" si="0"/>
        <v>27.27272727272727</v>
      </c>
      <c r="P63" s="19">
        <v>500000</v>
      </c>
      <c r="Q63" s="286">
        <f t="shared" si="1"/>
        <v>4.5454545454545459</v>
      </c>
      <c r="R63" s="19">
        <f t="shared" si="2"/>
        <v>3500000</v>
      </c>
      <c r="S63" s="286">
        <f t="shared" si="3"/>
        <v>31.818181818181817</v>
      </c>
      <c r="T63" s="801">
        <v>0</v>
      </c>
      <c r="U63" s="11"/>
      <c r="V63" s="11"/>
    </row>
    <row r="64" spans="1:22" s="27" customFormat="1">
      <c r="A64" s="561">
        <v>1</v>
      </c>
      <c r="B64" s="291" t="s">
        <v>17</v>
      </c>
      <c r="C64" s="291" t="s">
        <v>18</v>
      </c>
      <c r="D64" s="292">
        <v>38</v>
      </c>
      <c r="E64" s="291" t="s">
        <v>25</v>
      </c>
      <c r="F64" s="292">
        <v>5</v>
      </c>
      <c r="G64" s="292">
        <v>2</v>
      </c>
      <c r="H64" s="292">
        <v>2</v>
      </c>
      <c r="I64" s="291">
        <v>25</v>
      </c>
      <c r="J64" s="297"/>
      <c r="K64" s="16" t="s">
        <v>175</v>
      </c>
      <c r="L64" s="12"/>
      <c r="M64" s="17">
        <f>SUM(M65:M67)</f>
        <v>9500000</v>
      </c>
      <c r="N64" s="17">
        <f>SUM(N65:N67)</f>
        <v>6300000</v>
      </c>
      <c r="O64" s="6">
        <f t="shared" si="0"/>
        <v>66.315789473684205</v>
      </c>
      <c r="P64" s="17">
        <f>P67</f>
        <v>0</v>
      </c>
      <c r="Q64" s="285">
        <f t="shared" si="1"/>
        <v>0</v>
      </c>
      <c r="R64" s="17">
        <f t="shared" si="2"/>
        <v>6300000</v>
      </c>
      <c r="S64" s="285">
        <f t="shared" si="3"/>
        <v>66.315789473684205</v>
      </c>
      <c r="T64" s="800"/>
      <c r="U64" s="12"/>
      <c r="V64" s="12"/>
    </row>
    <row r="65" spans="1:22">
      <c r="A65" s="562">
        <v>1</v>
      </c>
      <c r="B65" s="287" t="s">
        <v>17</v>
      </c>
      <c r="C65" s="287" t="s">
        <v>18</v>
      </c>
      <c r="D65" s="288">
        <v>38</v>
      </c>
      <c r="E65" s="287" t="s">
        <v>25</v>
      </c>
      <c r="F65" s="288">
        <v>5</v>
      </c>
      <c r="G65" s="288">
        <v>2</v>
      </c>
      <c r="H65" s="288">
        <v>2</v>
      </c>
      <c r="I65" s="287">
        <v>25</v>
      </c>
      <c r="J65" s="289" t="s">
        <v>26</v>
      </c>
      <c r="K65" s="18" t="s">
        <v>640</v>
      </c>
      <c r="L65" s="11"/>
      <c r="M65" s="19">
        <v>3000000</v>
      </c>
      <c r="N65" s="9">
        <f>jun!R65</f>
        <v>1300000</v>
      </c>
      <c r="O65" s="111">
        <f t="shared" si="0"/>
        <v>43.333333333333336</v>
      </c>
      <c r="P65" s="19"/>
      <c r="Q65" s="286">
        <f t="shared" si="1"/>
        <v>0</v>
      </c>
      <c r="R65" s="19">
        <f t="shared" si="2"/>
        <v>1300000</v>
      </c>
      <c r="S65" s="286">
        <f t="shared" si="3"/>
        <v>43.333333333333336</v>
      </c>
      <c r="T65" s="801">
        <v>0</v>
      </c>
      <c r="U65" s="11"/>
      <c r="V65" s="11"/>
    </row>
    <row r="66" spans="1:22">
      <c r="A66" s="562">
        <v>1</v>
      </c>
      <c r="B66" s="287" t="s">
        <v>17</v>
      </c>
      <c r="C66" s="287" t="s">
        <v>18</v>
      </c>
      <c r="D66" s="288">
        <v>38</v>
      </c>
      <c r="E66" s="287" t="s">
        <v>25</v>
      </c>
      <c r="F66" s="288">
        <v>5</v>
      </c>
      <c r="G66" s="288">
        <v>2</v>
      </c>
      <c r="H66" s="288">
        <v>2</v>
      </c>
      <c r="I66" s="287">
        <v>25</v>
      </c>
      <c r="J66" s="289">
        <v>13</v>
      </c>
      <c r="K66" s="18" t="s">
        <v>641</v>
      </c>
      <c r="L66" s="11"/>
      <c r="M66" s="19">
        <v>5000000</v>
      </c>
      <c r="N66" s="9">
        <f>jun!R66</f>
        <v>5000000</v>
      </c>
      <c r="O66" s="111">
        <f t="shared" si="0"/>
        <v>100</v>
      </c>
      <c r="P66" s="19"/>
      <c r="Q66" s="286">
        <f t="shared" si="1"/>
        <v>0</v>
      </c>
      <c r="R66" s="19">
        <f t="shared" si="2"/>
        <v>5000000</v>
      </c>
      <c r="S66" s="286">
        <f t="shared" si="3"/>
        <v>100</v>
      </c>
      <c r="T66" s="801">
        <v>0</v>
      </c>
      <c r="U66" s="11"/>
      <c r="V66" s="11"/>
    </row>
    <row r="67" spans="1:22">
      <c r="A67" s="562">
        <v>1</v>
      </c>
      <c r="B67" s="287" t="s">
        <v>17</v>
      </c>
      <c r="C67" s="287" t="s">
        <v>18</v>
      </c>
      <c r="D67" s="288">
        <v>38</v>
      </c>
      <c r="E67" s="287" t="s">
        <v>25</v>
      </c>
      <c r="F67" s="288">
        <v>5</v>
      </c>
      <c r="G67" s="288">
        <v>2</v>
      </c>
      <c r="H67" s="288">
        <v>2</v>
      </c>
      <c r="I67" s="287">
        <v>25</v>
      </c>
      <c r="J67" s="289">
        <v>15</v>
      </c>
      <c r="K67" s="18" t="s">
        <v>642</v>
      </c>
      <c r="L67" s="11"/>
      <c r="M67" s="19">
        <v>1500000</v>
      </c>
      <c r="N67" s="9">
        <f>jun!R67</f>
        <v>0</v>
      </c>
      <c r="O67" s="111">
        <f t="shared" si="0"/>
        <v>0</v>
      </c>
      <c r="P67" s="19"/>
      <c r="Q67" s="286">
        <f t="shared" si="1"/>
        <v>0</v>
      </c>
      <c r="R67" s="19">
        <f t="shared" si="2"/>
        <v>0</v>
      </c>
      <c r="S67" s="286">
        <f t="shared" si="3"/>
        <v>0</v>
      </c>
      <c r="T67" s="801">
        <v>0</v>
      </c>
      <c r="U67" s="11"/>
      <c r="V67" s="11"/>
    </row>
    <row r="68" spans="1:22" s="27" customFormat="1" ht="33">
      <c r="A68" s="561">
        <v>1</v>
      </c>
      <c r="B68" s="291" t="s">
        <v>17</v>
      </c>
      <c r="C68" s="291" t="s">
        <v>18</v>
      </c>
      <c r="D68" s="292">
        <v>38</v>
      </c>
      <c r="E68" s="291" t="s">
        <v>25</v>
      </c>
      <c r="F68" s="292">
        <v>5</v>
      </c>
      <c r="G68" s="292">
        <v>2</v>
      </c>
      <c r="H68" s="292">
        <v>2</v>
      </c>
      <c r="I68" s="291">
        <v>31</v>
      </c>
      <c r="J68" s="297"/>
      <c r="K68" s="298" t="s">
        <v>63</v>
      </c>
      <c r="L68" s="12"/>
      <c r="M68" s="17">
        <f>M69+M70</f>
        <v>34000000</v>
      </c>
      <c r="N68" s="17">
        <f>N69+N70</f>
        <v>500000</v>
      </c>
      <c r="O68" s="6">
        <f t="shared" si="0"/>
        <v>1.4705882352941175</v>
      </c>
      <c r="P68" s="17">
        <f>P69+P70</f>
        <v>10250000</v>
      </c>
      <c r="Q68" s="285">
        <f t="shared" si="1"/>
        <v>30.147058823529409</v>
      </c>
      <c r="R68" s="17">
        <f t="shared" si="2"/>
        <v>10750000</v>
      </c>
      <c r="S68" s="285">
        <f t="shared" si="3"/>
        <v>31.617647058823529</v>
      </c>
      <c r="T68" s="800"/>
      <c r="U68" s="12"/>
      <c r="V68" s="12"/>
    </row>
    <row r="69" spans="1:22">
      <c r="A69" s="562">
        <v>1</v>
      </c>
      <c r="B69" s="287" t="s">
        <v>17</v>
      </c>
      <c r="C69" s="287" t="s">
        <v>18</v>
      </c>
      <c r="D69" s="288">
        <v>38</v>
      </c>
      <c r="E69" s="287" t="s">
        <v>25</v>
      </c>
      <c r="F69" s="288">
        <v>5</v>
      </c>
      <c r="G69" s="288">
        <v>2</v>
      </c>
      <c r="H69" s="288">
        <v>2</v>
      </c>
      <c r="I69" s="287">
        <v>31</v>
      </c>
      <c r="J69" s="289" t="s">
        <v>17</v>
      </c>
      <c r="K69" s="290" t="s">
        <v>643</v>
      </c>
      <c r="L69" s="11"/>
      <c r="M69" s="19">
        <v>14400000</v>
      </c>
      <c r="N69" s="9">
        <f>jun!R69</f>
        <v>500000</v>
      </c>
      <c r="O69" s="111">
        <f t="shared" si="0"/>
        <v>3.4722222222222223</v>
      </c>
      <c r="P69" s="19">
        <v>250000</v>
      </c>
      <c r="Q69" s="286">
        <f t="shared" si="1"/>
        <v>1.7361111111111112</v>
      </c>
      <c r="R69" s="19">
        <f t="shared" si="2"/>
        <v>750000</v>
      </c>
      <c r="S69" s="286">
        <f t="shared" si="3"/>
        <v>5.2083333333333339</v>
      </c>
      <c r="T69" s="801">
        <v>0</v>
      </c>
      <c r="U69" s="11"/>
      <c r="V69" s="11"/>
    </row>
    <row r="70" spans="1:22">
      <c r="A70" s="562">
        <v>1</v>
      </c>
      <c r="B70" s="287" t="s">
        <v>17</v>
      </c>
      <c r="C70" s="287" t="s">
        <v>18</v>
      </c>
      <c r="D70" s="288">
        <v>38</v>
      </c>
      <c r="E70" s="287" t="s">
        <v>25</v>
      </c>
      <c r="F70" s="288">
        <v>5</v>
      </c>
      <c r="G70" s="288">
        <v>2</v>
      </c>
      <c r="H70" s="288">
        <v>2</v>
      </c>
      <c r="I70" s="287">
        <v>31</v>
      </c>
      <c r="J70" s="289" t="s">
        <v>44</v>
      </c>
      <c r="K70" s="290" t="s">
        <v>64</v>
      </c>
      <c r="L70" s="11"/>
      <c r="M70" s="19">
        <v>19600000</v>
      </c>
      <c r="N70" s="9">
        <f>jun!R70</f>
        <v>0</v>
      </c>
      <c r="O70" s="111">
        <f t="shared" si="0"/>
        <v>0</v>
      </c>
      <c r="P70" s="19">
        <v>10000000</v>
      </c>
      <c r="Q70" s="286">
        <f t="shared" si="1"/>
        <v>51.020408163265309</v>
      </c>
      <c r="R70" s="19">
        <f t="shared" si="2"/>
        <v>10000000</v>
      </c>
      <c r="S70" s="286">
        <f t="shared" si="3"/>
        <v>51.020408163265309</v>
      </c>
      <c r="T70" s="801">
        <v>0</v>
      </c>
      <c r="U70" s="11"/>
      <c r="V70" s="11"/>
    </row>
    <row r="71" spans="1:22" s="27" customFormat="1">
      <c r="A71" s="561">
        <v>1</v>
      </c>
      <c r="B71" s="291" t="s">
        <v>17</v>
      </c>
      <c r="C71" s="291" t="s">
        <v>18</v>
      </c>
      <c r="D71" s="292">
        <v>38</v>
      </c>
      <c r="E71" s="291" t="s">
        <v>25</v>
      </c>
      <c r="F71" s="292">
        <v>5</v>
      </c>
      <c r="G71" s="292">
        <v>2</v>
      </c>
      <c r="H71" s="292">
        <v>2</v>
      </c>
      <c r="I71" s="291">
        <v>33</v>
      </c>
      <c r="J71" s="297"/>
      <c r="K71" s="298" t="s">
        <v>65</v>
      </c>
      <c r="L71" s="12"/>
      <c r="M71" s="17">
        <f>M72</f>
        <v>12000000</v>
      </c>
      <c r="N71" s="17">
        <f>N72</f>
        <v>0</v>
      </c>
      <c r="O71" s="6">
        <f t="shared" si="0"/>
        <v>0</v>
      </c>
      <c r="P71" s="17">
        <f>P72</f>
        <v>6000000</v>
      </c>
      <c r="Q71" s="285">
        <f t="shared" si="1"/>
        <v>50</v>
      </c>
      <c r="R71" s="17">
        <f t="shared" si="2"/>
        <v>6000000</v>
      </c>
      <c r="S71" s="285">
        <f t="shared" si="3"/>
        <v>50</v>
      </c>
      <c r="T71" s="800"/>
      <c r="U71" s="12"/>
      <c r="V71" s="12"/>
    </row>
    <row r="72" spans="1:22">
      <c r="A72" s="562">
        <v>1</v>
      </c>
      <c r="B72" s="287" t="s">
        <v>17</v>
      </c>
      <c r="C72" s="287" t="s">
        <v>18</v>
      </c>
      <c r="D72" s="288">
        <v>38</v>
      </c>
      <c r="E72" s="287" t="s">
        <v>25</v>
      </c>
      <c r="F72" s="288">
        <v>5</v>
      </c>
      <c r="G72" s="288">
        <v>2</v>
      </c>
      <c r="H72" s="288">
        <v>2</v>
      </c>
      <c r="I72" s="287">
        <v>33</v>
      </c>
      <c r="J72" s="289" t="s">
        <v>18</v>
      </c>
      <c r="K72" s="290" t="s">
        <v>66</v>
      </c>
      <c r="L72" s="11"/>
      <c r="M72" s="19">
        <v>12000000</v>
      </c>
      <c r="N72" s="9">
        <f>jun!R72</f>
        <v>0</v>
      </c>
      <c r="O72" s="111">
        <f t="shared" si="0"/>
        <v>0</v>
      </c>
      <c r="P72" s="19">
        <v>6000000</v>
      </c>
      <c r="Q72" s="286">
        <f t="shared" si="1"/>
        <v>50</v>
      </c>
      <c r="R72" s="19">
        <f t="shared" si="2"/>
        <v>6000000</v>
      </c>
      <c r="S72" s="286">
        <f t="shared" si="3"/>
        <v>50</v>
      </c>
      <c r="T72" s="801">
        <v>0</v>
      </c>
      <c r="U72" s="11"/>
      <c r="V72" s="11"/>
    </row>
    <row r="73" spans="1:22" s="27" customFormat="1" ht="33">
      <c r="A73" s="561">
        <v>1</v>
      </c>
      <c r="B73" s="291" t="s">
        <v>17</v>
      </c>
      <c r="C73" s="291" t="s">
        <v>18</v>
      </c>
      <c r="D73" s="292">
        <v>38</v>
      </c>
      <c r="E73" s="291" t="s">
        <v>25</v>
      </c>
      <c r="F73" s="292">
        <v>5</v>
      </c>
      <c r="G73" s="292">
        <v>2</v>
      </c>
      <c r="H73" s="292">
        <v>2</v>
      </c>
      <c r="I73" s="291">
        <v>35</v>
      </c>
      <c r="J73" s="297"/>
      <c r="K73" s="298" t="s">
        <v>644</v>
      </c>
      <c r="L73" s="12"/>
      <c r="M73" s="17">
        <f>M74</f>
        <v>500000</v>
      </c>
      <c r="N73" s="17">
        <f>N74</f>
        <v>500000</v>
      </c>
      <c r="O73" s="6">
        <f t="shared" si="0"/>
        <v>100</v>
      </c>
      <c r="P73" s="17">
        <f>P74</f>
        <v>0</v>
      </c>
      <c r="Q73" s="285">
        <f t="shared" si="1"/>
        <v>0</v>
      </c>
      <c r="R73" s="17">
        <f t="shared" si="2"/>
        <v>500000</v>
      </c>
      <c r="S73" s="285">
        <f t="shared" si="3"/>
        <v>100</v>
      </c>
      <c r="T73" s="800"/>
      <c r="U73" s="12"/>
      <c r="V73" s="12"/>
    </row>
    <row r="74" spans="1:22">
      <c r="A74" s="562">
        <v>1</v>
      </c>
      <c r="B74" s="287" t="s">
        <v>17</v>
      </c>
      <c r="C74" s="287" t="s">
        <v>18</v>
      </c>
      <c r="D74" s="288">
        <v>38</v>
      </c>
      <c r="E74" s="287" t="s">
        <v>25</v>
      </c>
      <c r="F74" s="288">
        <v>5</v>
      </c>
      <c r="G74" s="288">
        <v>2</v>
      </c>
      <c r="H74" s="288">
        <v>2</v>
      </c>
      <c r="I74" s="287">
        <v>35</v>
      </c>
      <c r="J74" s="289" t="s">
        <v>18</v>
      </c>
      <c r="K74" s="290" t="s">
        <v>645</v>
      </c>
      <c r="L74" s="11"/>
      <c r="M74" s="19">
        <v>500000</v>
      </c>
      <c r="N74" s="9">
        <f>jun!R74</f>
        <v>500000</v>
      </c>
      <c r="O74" s="111">
        <f t="shared" si="0"/>
        <v>100</v>
      </c>
      <c r="P74" s="19"/>
      <c r="Q74" s="286">
        <f t="shared" si="1"/>
        <v>0</v>
      </c>
      <c r="R74" s="19">
        <f t="shared" si="2"/>
        <v>500000</v>
      </c>
      <c r="S74" s="286">
        <f t="shared" si="3"/>
        <v>100</v>
      </c>
      <c r="T74" s="801">
        <v>0</v>
      </c>
      <c r="U74" s="11"/>
      <c r="V74" s="11"/>
    </row>
    <row r="75" spans="1:22" ht="7.5" customHeight="1">
      <c r="A75" s="561"/>
      <c r="B75" s="291"/>
      <c r="C75" s="291"/>
      <c r="D75" s="291"/>
      <c r="E75" s="291"/>
      <c r="F75" s="291"/>
      <c r="G75" s="292"/>
      <c r="H75" s="292"/>
      <c r="I75" s="292"/>
      <c r="J75" s="293"/>
      <c r="K75" s="295"/>
      <c r="L75" s="4"/>
      <c r="M75" s="5"/>
      <c r="N75" s="9">
        <f>jun!R75</f>
        <v>0</v>
      </c>
      <c r="O75" s="5"/>
      <c r="P75" s="5"/>
      <c r="Q75" s="286"/>
      <c r="R75" s="5"/>
      <c r="S75" s="285"/>
      <c r="T75" s="800"/>
      <c r="U75" s="11"/>
      <c r="V75" s="11"/>
    </row>
    <row r="76" spans="1:22" s="27" customFormat="1">
      <c r="A76" s="561">
        <v>1</v>
      </c>
      <c r="B76" s="291" t="s">
        <v>17</v>
      </c>
      <c r="C76" s="291" t="s">
        <v>18</v>
      </c>
      <c r="D76" s="292">
        <v>38</v>
      </c>
      <c r="E76" s="291" t="s">
        <v>25</v>
      </c>
      <c r="F76" s="292">
        <v>5</v>
      </c>
      <c r="G76" s="292">
        <v>2</v>
      </c>
      <c r="H76" s="292">
        <v>3</v>
      </c>
      <c r="I76" s="291"/>
      <c r="J76" s="297"/>
      <c r="K76" s="298" t="s">
        <v>67</v>
      </c>
      <c r="L76" s="12"/>
      <c r="M76" s="17">
        <f>M77+M79+M82+M84+M86</f>
        <v>126592300</v>
      </c>
      <c r="N76" s="17">
        <f>N77+N79+N82+N84+N86</f>
        <v>34872500</v>
      </c>
      <c r="O76" s="6">
        <f t="shared" si="0"/>
        <v>27.547094096560375</v>
      </c>
      <c r="P76" s="17">
        <f>P77+P79+P82+P84+P86</f>
        <v>0</v>
      </c>
      <c r="Q76" s="285">
        <f t="shared" si="1"/>
        <v>0</v>
      </c>
      <c r="R76" s="17">
        <f t="shared" si="2"/>
        <v>34872500</v>
      </c>
      <c r="S76" s="285">
        <f t="shared" si="3"/>
        <v>27.547094096560375</v>
      </c>
      <c r="T76" s="800">
        <f>SUM(T78:T89)/8</f>
        <v>0</v>
      </c>
      <c r="U76" s="12"/>
      <c r="V76" s="12"/>
    </row>
    <row r="77" spans="1:22" s="27" customFormat="1">
      <c r="A77" s="561">
        <v>1</v>
      </c>
      <c r="B77" s="291" t="s">
        <v>17</v>
      </c>
      <c r="C77" s="291" t="s">
        <v>18</v>
      </c>
      <c r="D77" s="292">
        <v>38</v>
      </c>
      <c r="E77" s="291" t="s">
        <v>25</v>
      </c>
      <c r="F77" s="292">
        <v>5</v>
      </c>
      <c r="G77" s="292">
        <v>2</v>
      </c>
      <c r="H77" s="292">
        <v>3</v>
      </c>
      <c r="I77" s="291">
        <v>16</v>
      </c>
      <c r="J77" s="297"/>
      <c r="K77" s="298" t="s">
        <v>68</v>
      </c>
      <c r="L77" s="12"/>
      <c r="M77" s="17">
        <f>M78</f>
        <v>11000000</v>
      </c>
      <c r="N77" s="17">
        <f>N78</f>
        <v>9985000</v>
      </c>
      <c r="O77" s="6">
        <f t="shared" si="0"/>
        <v>90.772727272727266</v>
      </c>
      <c r="P77" s="17">
        <f>P78</f>
        <v>0</v>
      </c>
      <c r="Q77" s="285">
        <f t="shared" si="1"/>
        <v>0</v>
      </c>
      <c r="R77" s="17">
        <f t="shared" si="2"/>
        <v>9985000</v>
      </c>
      <c r="S77" s="285">
        <f t="shared" si="3"/>
        <v>90.772727272727266</v>
      </c>
      <c r="T77" s="800"/>
      <c r="U77" s="12"/>
      <c r="V77" s="12"/>
    </row>
    <row r="78" spans="1:22">
      <c r="A78" s="562">
        <v>1</v>
      </c>
      <c r="B78" s="287" t="s">
        <v>17</v>
      </c>
      <c r="C78" s="287" t="s">
        <v>18</v>
      </c>
      <c r="D78" s="288">
        <v>38</v>
      </c>
      <c r="E78" s="287" t="s">
        <v>25</v>
      </c>
      <c r="F78" s="288">
        <v>5</v>
      </c>
      <c r="G78" s="288">
        <v>2</v>
      </c>
      <c r="H78" s="288">
        <v>3</v>
      </c>
      <c r="I78" s="287">
        <v>16</v>
      </c>
      <c r="J78" s="289" t="s">
        <v>24</v>
      </c>
      <c r="K78" s="290" t="s">
        <v>647</v>
      </c>
      <c r="L78" s="11"/>
      <c r="M78" s="19">
        <v>11000000</v>
      </c>
      <c r="N78" s="9">
        <f>jun!R78</f>
        <v>9985000</v>
      </c>
      <c r="O78" s="111">
        <f t="shared" si="0"/>
        <v>90.772727272727266</v>
      </c>
      <c r="P78" s="19"/>
      <c r="Q78" s="286">
        <f t="shared" si="1"/>
        <v>0</v>
      </c>
      <c r="R78" s="19">
        <f t="shared" si="2"/>
        <v>9985000</v>
      </c>
      <c r="S78" s="286">
        <f t="shared" si="3"/>
        <v>90.772727272727266</v>
      </c>
      <c r="T78" s="801">
        <v>0</v>
      </c>
      <c r="U78" s="11"/>
      <c r="V78" s="11"/>
    </row>
    <row r="79" spans="1:22" s="27" customFormat="1">
      <c r="A79" s="561">
        <v>1</v>
      </c>
      <c r="B79" s="291" t="s">
        <v>17</v>
      </c>
      <c r="C79" s="291" t="s">
        <v>18</v>
      </c>
      <c r="D79" s="292">
        <v>38</v>
      </c>
      <c r="E79" s="291" t="s">
        <v>25</v>
      </c>
      <c r="F79" s="292">
        <v>5</v>
      </c>
      <c r="G79" s="292">
        <v>2</v>
      </c>
      <c r="H79" s="292">
        <v>3</v>
      </c>
      <c r="I79" s="291">
        <v>17</v>
      </c>
      <c r="J79" s="297"/>
      <c r="K79" s="298" t="s">
        <v>646</v>
      </c>
      <c r="L79" s="12"/>
      <c r="M79" s="17">
        <f>SUM(M80:M81)</f>
        <v>20500000</v>
      </c>
      <c r="N79" s="17">
        <f>SUM(N80:N81)</f>
        <v>15000000</v>
      </c>
      <c r="O79" s="6">
        <f t="shared" si="0"/>
        <v>73.170731707317074</v>
      </c>
      <c r="P79" s="17">
        <f>SUM(P80:P81)</f>
        <v>0</v>
      </c>
      <c r="Q79" s="285">
        <f t="shared" si="1"/>
        <v>0</v>
      </c>
      <c r="R79" s="17">
        <f t="shared" si="2"/>
        <v>15000000</v>
      </c>
      <c r="S79" s="285">
        <f t="shared" si="3"/>
        <v>73.170731707317074</v>
      </c>
      <c r="T79" s="800"/>
      <c r="U79" s="12"/>
      <c r="V79" s="12"/>
    </row>
    <row r="80" spans="1:22">
      <c r="A80" s="562">
        <v>1</v>
      </c>
      <c r="B80" s="287" t="s">
        <v>17</v>
      </c>
      <c r="C80" s="287" t="s">
        <v>18</v>
      </c>
      <c r="D80" s="288">
        <v>38</v>
      </c>
      <c r="E80" s="287" t="s">
        <v>25</v>
      </c>
      <c r="F80" s="288">
        <v>5</v>
      </c>
      <c r="G80" s="288">
        <v>2</v>
      </c>
      <c r="H80" s="288">
        <v>3</v>
      </c>
      <c r="I80" s="287">
        <v>17</v>
      </c>
      <c r="J80" s="289" t="s">
        <v>18</v>
      </c>
      <c r="K80" s="290" t="s">
        <v>176</v>
      </c>
      <c r="L80" s="11"/>
      <c r="M80" s="19">
        <v>15000000</v>
      </c>
      <c r="N80" s="9">
        <f>jun!R80</f>
        <v>15000000</v>
      </c>
      <c r="O80" s="111">
        <f t="shared" si="0"/>
        <v>100</v>
      </c>
      <c r="P80" s="19"/>
      <c r="Q80" s="286">
        <f t="shared" si="1"/>
        <v>0</v>
      </c>
      <c r="R80" s="19">
        <f t="shared" si="2"/>
        <v>15000000</v>
      </c>
      <c r="S80" s="286">
        <f t="shared" si="3"/>
        <v>100</v>
      </c>
      <c r="T80" s="801">
        <v>0</v>
      </c>
      <c r="U80" s="11"/>
      <c r="V80" s="11"/>
    </row>
    <row r="81" spans="1:22">
      <c r="A81" s="562">
        <v>1</v>
      </c>
      <c r="B81" s="287" t="s">
        <v>17</v>
      </c>
      <c r="C81" s="287" t="s">
        <v>18</v>
      </c>
      <c r="D81" s="288">
        <v>38</v>
      </c>
      <c r="E81" s="287" t="s">
        <v>25</v>
      </c>
      <c r="F81" s="288">
        <v>5</v>
      </c>
      <c r="G81" s="288">
        <v>2</v>
      </c>
      <c r="H81" s="288">
        <v>3</v>
      </c>
      <c r="I81" s="287">
        <v>17</v>
      </c>
      <c r="J81" s="289" t="s">
        <v>32</v>
      </c>
      <c r="K81" s="290" t="s">
        <v>440</v>
      </c>
      <c r="L81" s="11"/>
      <c r="M81" s="19">
        <v>5500000</v>
      </c>
      <c r="N81" s="9">
        <f>jun!R81</f>
        <v>0</v>
      </c>
      <c r="O81" s="111">
        <f t="shared" si="0"/>
        <v>0</v>
      </c>
      <c r="P81" s="19"/>
      <c r="Q81" s="286">
        <f t="shared" si="1"/>
        <v>0</v>
      </c>
      <c r="R81" s="19">
        <f t="shared" si="2"/>
        <v>0</v>
      </c>
      <c r="S81" s="286">
        <f t="shared" si="3"/>
        <v>0</v>
      </c>
      <c r="T81" s="801">
        <v>0</v>
      </c>
      <c r="U81" s="11"/>
      <c r="V81" s="11"/>
    </row>
    <row r="82" spans="1:22" s="27" customFormat="1" ht="33">
      <c r="A82" s="561">
        <v>1</v>
      </c>
      <c r="B82" s="291" t="s">
        <v>17</v>
      </c>
      <c r="C82" s="291" t="s">
        <v>18</v>
      </c>
      <c r="D82" s="292">
        <v>38</v>
      </c>
      <c r="E82" s="291" t="s">
        <v>25</v>
      </c>
      <c r="F82" s="292">
        <v>5</v>
      </c>
      <c r="G82" s="292">
        <v>2</v>
      </c>
      <c r="H82" s="292">
        <v>3</v>
      </c>
      <c r="I82" s="291">
        <v>23</v>
      </c>
      <c r="J82" s="297"/>
      <c r="K82" s="298" t="s">
        <v>648</v>
      </c>
      <c r="L82" s="12"/>
      <c r="M82" s="17">
        <f>M83</f>
        <v>59929600</v>
      </c>
      <c r="N82" s="17">
        <f>N83</f>
        <v>0</v>
      </c>
      <c r="O82" s="6">
        <f t="shared" si="0"/>
        <v>0</v>
      </c>
      <c r="P82" s="17">
        <f>P83</f>
        <v>0</v>
      </c>
      <c r="Q82" s="285">
        <f t="shared" si="1"/>
        <v>0</v>
      </c>
      <c r="R82" s="17">
        <f t="shared" si="2"/>
        <v>0</v>
      </c>
      <c r="S82" s="285">
        <f t="shared" si="3"/>
        <v>0</v>
      </c>
      <c r="T82" s="800"/>
      <c r="U82" s="12"/>
      <c r="V82" s="12"/>
    </row>
    <row r="83" spans="1:22">
      <c r="A83" s="562">
        <v>1</v>
      </c>
      <c r="B83" s="287" t="s">
        <v>17</v>
      </c>
      <c r="C83" s="287" t="s">
        <v>18</v>
      </c>
      <c r="D83" s="288">
        <v>38</v>
      </c>
      <c r="E83" s="287" t="s">
        <v>25</v>
      </c>
      <c r="F83" s="288">
        <v>5</v>
      </c>
      <c r="G83" s="288">
        <v>2</v>
      </c>
      <c r="H83" s="288">
        <v>3</v>
      </c>
      <c r="I83" s="287">
        <v>23</v>
      </c>
      <c r="J83" s="289" t="s">
        <v>18</v>
      </c>
      <c r="K83" s="290" t="s">
        <v>649</v>
      </c>
      <c r="L83" s="11"/>
      <c r="M83" s="19">
        <v>59929600</v>
      </c>
      <c r="N83" s="9">
        <f>jun!R83</f>
        <v>0</v>
      </c>
      <c r="O83" s="111">
        <f t="shared" si="0"/>
        <v>0</v>
      </c>
      <c r="P83" s="19"/>
      <c r="Q83" s="286">
        <f t="shared" si="1"/>
        <v>0</v>
      </c>
      <c r="R83" s="19">
        <f t="shared" si="2"/>
        <v>0</v>
      </c>
      <c r="S83" s="286">
        <f t="shared" si="3"/>
        <v>0</v>
      </c>
      <c r="T83" s="801">
        <v>0</v>
      </c>
      <c r="U83" s="11"/>
      <c r="V83" s="11"/>
    </row>
    <row r="84" spans="1:22" s="27" customFormat="1" ht="33">
      <c r="A84" s="561">
        <v>1</v>
      </c>
      <c r="B84" s="291" t="s">
        <v>17</v>
      </c>
      <c r="C84" s="291" t="s">
        <v>18</v>
      </c>
      <c r="D84" s="292">
        <v>38</v>
      </c>
      <c r="E84" s="291" t="s">
        <v>25</v>
      </c>
      <c r="F84" s="292">
        <v>5</v>
      </c>
      <c r="G84" s="292">
        <v>2</v>
      </c>
      <c r="H84" s="292">
        <v>3</v>
      </c>
      <c r="I84" s="291">
        <v>25</v>
      </c>
      <c r="J84" s="297"/>
      <c r="K84" s="298" t="s">
        <v>650</v>
      </c>
      <c r="L84" s="12"/>
      <c r="M84" s="17">
        <f>SUM(M85:M85)</f>
        <v>10000000</v>
      </c>
      <c r="N84" s="17">
        <f>SUM(N85:N85)</f>
        <v>0</v>
      </c>
      <c r="O84" s="6">
        <f t="shared" si="0"/>
        <v>0</v>
      </c>
      <c r="P84" s="17">
        <f>SUM(P85:P85)</f>
        <v>0</v>
      </c>
      <c r="Q84" s="285">
        <f t="shared" si="1"/>
        <v>0</v>
      </c>
      <c r="R84" s="17">
        <f t="shared" si="2"/>
        <v>0</v>
      </c>
      <c r="S84" s="285">
        <f t="shared" si="3"/>
        <v>0</v>
      </c>
      <c r="T84" s="800"/>
      <c r="U84" s="12"/>
      <c r="V84" s="12"/>
    </row>
    <row r="85" spans="1:22">
      <c r="A85" s="562">
        <v>1</v>
      </c>
      <c r="B85" s="287" t="s">
        <v>17</v>
      </c>
      <c r="C85" s="287" t="s">
        <v>18</v>
      </c>
      <c r="D85" s="288">
        <v>38</v>
      </c>
      <c r="E85" s="287" t="s">
        <v>25</v>
      </c>
      <c r="F85" s="288">
        <v>5</v>
      </c>
      <c r="G85" s="288">
        <v>2</v>
      </c>
      <c r="H85" s="288">
        <v>3</v>
      </c>
      <c r="I85" s="287">
        <v>25</v>
      </c>
      <c r="J85" s="289">
        <v>64</v>
      </c>
      <c r="K85" s="290" t="s">
        <v>651</v>
      </c>
      <c r="L85" s="11"/>
      <c r="M85" s="19">
        <v>10000000</v>
      </c>
      <c r="N85" s="9">
        <f>jun!R85</f>
        <v>0</v>
      </c>
      <c r="O85" s="111">
        <f t="shared" si="0"/>
        <v>0</v>
      </c>
      <c r="P85" s="19"/>
      <c r="Q85" s="286">
        <f t="shared" si="1"/>
        <v>0</v>
      </c>
      <c r="R85" s="19">
        <f t="shared" si="2"/>
        <v>0</v>
      </c>
      <c r="S85" s="286">
        <f t="shared" si="3"/>
        <v>0</v>
      </c>
      <c r="T85" s="803">
        <v>0</v>
      </c>
      <c r="U85" s="11"/>
      <c r="V85" s="11"/>
    </row>
    <row r="86" spans="1:22" s="27" customFormat="1" ht="15.75" customHeight="1">
      <c r="A86" s="561">
        <v>1</v>
      </c>
      <c r="B86" s="291" t="s">
        <v>17</v>
      </c>
      <c r="C86" s="291" t="s">
        <v>18</v>
      </c>
      <c r="D86" s="292">
        <v>38</v>
      </c>
      <c r="E86" s="291" t="s">
        <v>25</v>
      </c>
      <c r="F86" s="292">
        <v>5</v>
      </c>
      <c r="G86" s="292">
        <v>2</v>
      </c>
      <c r="H86" s="292">
        <v>3</v>
      </c>
      <c r="I86" s="291">
        <v>39</v>
      </c>
      <c r="J86" s="297"/>
      <c r="K86" s="298" t="s">
        <v>652</v>
      </c>
      <c r="L86" s="12"/>
      <c r="M86" s="17">
        <f>SUM(M87:M89)</f>
        <v>25162700</v>
      </c>
      <c r="N86" s="17">
        <f>SUM(N87:N89)</f>
        <v>9887500</v>
      </c>
      <c r="O86" s="6">
        <f>N86/M86*100</f>
        <v>39.294272872148063</v>
      </c>
      <c r="P86" s="17">
        <f>SUM(P89:P90)</f>
        <v>0</v>
      </c>
      <c r="Q86" s="285">
        <f>P86/M86*100</f>
        <v>0</v>
      </c>
      <c r="R86" s="17">
        <f>N86+P86</f>
        <v>9887500</v>
      </c>
      <c r="S86" s="285">
        <f>R86/M86*100</f>
        <v>39.294272872148063</v>
      </c>
      <c r="T86" s="800"/>
      <c r="U86" s="12"/>
      <c r="V86" s="12"/>
    </row>
    <row r="87" spans="1:22">
      <c r="A87" s="562">
        <v>1</v>
      </c>
      <c r="B87" s="287" t="s">
        <v>17</v>
      </c>
      <c r="C87" s="287" t="s">
        <v>18</v>
      </c>
      <c r="D87" s="288">
        <v>38</v>
      </c>
      <c r="E87" s="287" t="s">
        <v>25</v>
      </c>
      <c r="F87" s="288">
        <v>5</v>
      </c>
      <c r="G87" s="288">
        <v>2</v>
      </c>
      <c r="H87" s="288">
        <v>3</v>
      </c>
      <c r="I87" s="287">
        <v>39</v>
      </c>
      <c r="J87" s="289" t="s">
        <v>17</v>
      </c>
      <c r="K87" s="290" t="s">
        <v>653</v>
      </c>
      <c r="L87" s="11"/>
      <c r="M87" s="19">
        <v>8162700</v>
      </c>
      <c r="N87" s="9">
        <f>jun!R87</f>
        <v>7987500</v>
      </c>
      <c r="O87" s="111">
        <f t="shared" ref="O87:O88" si="4">N87/M87*100</f>
        <v>97.853651365357052</v>
      </c>
      <c r="P87" s="19"/>
      <c r="Q87" s="286">
        <f t="shared" ref="Q87:Q88" si="5">P87/M87*100</f>
        <v>0</v>
      </c>
      <c r="R87" s="19">
        <f t="shared" ref="R87:R88" si="6">N87+P87</f>
        <v>7987500</v>
      </c>
      <c r="S87" s="286">
        <f t="shared" ref="S87:S88" si="7">R87/M87*100</f>
        <v>97.853651365357052</v>
      </c>
      <c r="T87" s="803">
        <v>0</v>
      </c>
      <c r="U87" s="11"/>
      <c r="V87" s="11"/>
    </row>
    <row r="88" spans="1:22">
      <c r="A88" s="562">
        <v>1</v>
      </c>
      <c r="B88" s="287" t="s">
        <v>17</v>
      </c>
      <c r="C88" s="287" t="s">
        <v>18</v>
      </c>
      <c r="D88" s="288">
        <v>38</v>
      </c>
      <c r="E88" s="287" t="s">
        <v>25</v>
      </c>
      <c r="F88" s="288">
        <v>5</v>
      </c>
      <c r="G88" s="288">
        <v>2</v>
      </c>
      <c r="H88" s="288">
        <v>3</v>
      </c>
      <c r="I88" s="287">
        <v>39</v>
      </c>
      <c r="J88" s="289" t="s">
        <v>32</v>
      </c>
      <c r="K88" s="290" t="s">
        <v>654</v>
      </c>
      <c r="L88" s="11"/>
      <c r="M88" s="19">
        <v>15000000</v>
      </c>
      <c r="N88" s="9">
        <f>jun!R88</f>
        <v>0</v>
      </c>
      <c r="O88" s="111">
        <f t="shared" si="4"/>
        <v>0</v>
      </c>
      <c r="P88" s="19"/>
      <c r="Q88" s="286">
        <f t="shared" si="5"/>
        <v>0</v>
      </c>
      <c r="R88" s="19">
        <f t="shared" si="6"/>
        <v>0</v>
      </c>
      <c r="S88" s="286">
        <f t="shared" si="7"/>
        <v>0</v>
      </c>
      <c r="T88" s="803">
        <v>0</v>
      </c>
      <c r="U88" s="11"/>
      <c r="V88" s="11"/>
    </row>
    <row r="89" spans="1:22">
      <c r="A89" s="562">
        <v>1</v>
      </c>
      <c r="B89" s="287" t="s">
        <v>17</v>
      </c>
      <c r="C89" s="287" t="s">
        <v>18</v>
      </c>
      <c r="D89" s="288">
        <v>38</v>
      </c>
      <c r="E89" s="287" t="s">
        <v>25</v>
      </c>
      <c r="F89" s="288">
        <v>5</v>
      </c>
      <c r="G89" s="288">
        <v>2</v>
      </c>
      <c r="H89" s="288">
        <v>3</v>
      </c>
      <c r="I89" s="287">
        <v>39</v>
      </c>
      <c r="J89" s="289" t="s">
        <v>24</v>
      </c>
      <c r="K89" s="290" t="s">
        <v>655</v>
      </c>
      <c r="L89" s="11"/>
      <c r="M89" s="19">
        <v>2000000</v>
      </c>
      <c r="N89" s="9">
        <f>jun!R89</f>
        <v>1900000</v>
      </c>
      <c r="O89" s="111">
        <f>N89/M89*100</f>
        <v>95</v>
      </c>
      <c r="P89" s="19"/>
      <c r="Q89" s="286">
        <f>P89/M89*100</f>
        <v>0</v>
      </c>
      <c r="R89" s="19">
        <f>N89+P89</f>
        <v>1900000</v>
      </c>
      <c r="S89" s="286">
        <f>R89/M89*100</f>
        <v>95</v>
      </c>
      <c r="T89" s="803">
        <v>0</v>
      </c>
      <c r="U89" s="11"/>
      <c r="V89" s="11"/>
    </row>
    <row r="90" spans="1:22" ht="11.2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804"/>
      <c r="U90" s="22"/>
      <c r="V90" s="22"/>
    </row>
    <row r="91" spans="1:22" s="409" customFormat="1" ht="14.25" customHeight="1">
      <c r="K91" s="418"/>
      <c r="M91" s="410"/>
      <c r="N91" s="410"/>
      <c r="O91" s="410"/>
      <c r="P91" s="410"/>
      <c r="Q91" s="410"/>
      <c r="R91" s="808" t="s">
        <v>678</v>
      </c>
      <c r="S91" s="808"/>
      <c r="T91" s="808"/>
      <c r="U91" s="808"/>
    </row>
    <row r="92" spans="1:22" s="409" customFormat="1" ht="14.25" customHeight="1">
      <c r="A92" s="832" t="s">
        <v>182</v>
      </c>
      <c r="B92" s="832"/>
      <c r="C92" s="832"/>
      <c r="D92" s="832"/>
      <c r="E92" s="832"/>
      <c r="F92" s="832"/>
      <c r="G92" s="832"/>
      <c r="H92" s="832"/>
      <c r="I92" s="832"/>
      <c r="J92" s="832"/>
      <c r="K92" s="832"/>
      <c r="M92" s="410"/>
      <c r="N92" s="410"/>
      <c r="O92" s="410"/>
      <c r="P92" s="410"/>
      <c r="Q92" s="410"/>
      <c r="R92" s="419" t="s">
        <v>79</v>
      </c>
      <c r="S92" s="420"/>
      <c r="T92" s="805"/>
      <c r="U92" s="412"/>
    </row>
    <row r="93" spans="1:22" s="409" customFormat="1" ht="14.25" customHeight="1">
      <c r="A93" s="832" t="s">
        <v>183</v>
      </c>
      <c r="B93" s="832"/>
      <c r="C93" s="832"/>
      <c r="D93" s="832"/>
      <c r="E93" s="832"/>
      <c r="F93" s="832"/>
      <c r="G93" s="832"/>
      <c r="H93" s="832"/>
      <c r="I93" s="832"/>
      <c r="J93" s="832"/>
      <c r="K93" s="832"/>
      <c r="M93" s="410"/>
      <c r="N93" s="410"/>
      <c r="O93" s="410"/>
      <c r="P93" s="410"/>
      <c r="Q93" s="410"/>
      <c r="R93" s="808" t="s">
        <v>80</v>
      </c>
      <c r="S93" s="808"/>
      <c r="T93" s="808"/>
      <c r="U93" s="808"/>
    </row>
    <row r="94" spans="1:22" s="409" customFormat="1" ht="21.75" customHeight="1">
      <c r="K94" s="418"/>
      <c r="M94" s="410"/>
      <c r="N94" s="410"/>
      <c r="O94" s="410"/>
      <c r="P94" s="513"/>
      <c r="Q94" s="410"/>
      <c r="R94" s="411"/>
      <c r="S94" s="410"/>
      <c r="T94" s="805"/>
      <c r="U94" s="412"/>
    </row>
    <row r="95" spans="1:22" s="409" customFormat="1" ht="21.75" customHeight="1">
      <c r="K95" s="418"/>
      <c r="M95" s="410"/>
      <c r="N95" s="410"/>
      <c r="O95" s="410"/>
      <c r="Q95" s="410"/>
      <c r="R95" s="411"/>
      <c r="S95" s="410"/>
      <c r="T95" s="805"/>
      <c r="U95" s="412"/>
    </row>
    <row r="96" spans="1:22" s="409" customFormat="1" ht="14.25" customHeight="1">
      <c r="A96" s="833" t="s">
        <v>180</v>
      </c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M96" s="410"/>
      <c r="N96" s="410"/>
      <c r="O96" s="410"/>
      <c r="Q96" s="410"/>
      <c r="R96" s="834" t="s">
        <v>177</v>
      </c>
      <c r="S96" s="834"/>
      <c r="T96" s="834"/>
      <c r="U96" s="834"/>
    </row>
    <row r="97" spans="1:23" s="409" customFormat="1" ht="14.25" customHeight="1">
      <c r="A97" s="831" t="s">
        <v>184</v>
      </c>
      <c r="B97" s="831"/>
      <c r="C97" s="831"/>
      <c r="D97" s="831"/>
      <c r="E97" s="831"/>
      <c r="F97" s="831"/>
      <c r="G97" s="831"/>
      <c r="H97" s="831"/>
      <c r="I97" s="831"/>
      <c r="J97" s="831"/>
      <c r="K97" s="831"/>
      <c r="M97" s="410"/>
      <c r="N97" s="410"/>
      <c r="O97" s="410"/>
      <c r="P97" s="413"/>
      <c r="Q97" s="410"/>
      <c r="R97" s="808" t="s">
        <v>178</v>
      </c>
      <c r="S97" s="808"/>
      <c r="T97" s="808"/>
      <c r="U97" s="808"/>
      <c r="V97" s="421"/>
      <c r="W97" s="421"/>
    </row>
    <row r="98" spans="1:23">
      <c r="P98" s="24"/>
      <c r="T98" s="797"/>
      <c r="U98" s="302"/>
      <c r="V98" s="302"/>
    </row>
    <row r="99" spans="1:23">
      <c r="P99" s="24"/>
    </row>
    <row r="100" spans="1:23">
      <c r="P100" s="24"/>
    </row>
    <row r="101" spans="1:23">
      <c r="P101" s="24"/>
    </row>
    <row r="102" spans="1:23">
      <c r="P102" s="24"/>
    </row>
    <row r="103" spans="1:23">
      <c r="P103" s="24"/>
    </row>
    <row r="104" spans="1:23">
      <c r="P104" s="24"/>
    </row>
    <row r="105" spans="1:23">
      <c r="P105" s="24"/>
    </row>
    <row r="106" spans="1:23">
      <c r="P106" s="24"/>
    </row>
    <row r="107" spans="1:23">
      <c r="P107" s="24"/>
    </row>
    <row r="108" spans="1:23">
      <c r="P108" s="24"/>
    </row>
    <row r="109" spans="1:23">
      <c r="P109" s="24"/>
    </row>
    <row r="110" spans="1:23">
      <c r="P110" s="24"/>
    </row>
    <row r="111" spans="1:23">
      <c r="P111" s="24"/>
    </row>
    <row r="112" spans="1:23">
      <c r="P112" s="24"/>
    </row>
    <row r="113" spans="16:16">
      <c r="P113" s="24"/>
    </row>
    <row r="114" spans="16:16">
      <c r="P114" s="24"/>
    </row>
    <row r="115" spans="16:16">
      <c r="P115" s="24"/>
    </row>
    <row r="116" spans="16:16">
      <c r="P116" s="24"/>
    </row>
    <row r="117" spans="16:16">
      <c r="P117" s="24"/>
    </row>
    <row r="118" spans="16:16">
      <c r="P118" s="24"/>
    </row>
    <row r="119" spans="16:16">
      <c r="P119" s="24"/>
    </row>
    <row r="120" spans="16:16">
      <c r="P120" s="24"/>
    </row>
    <row r="121" spans="16:16">
      <c r="P121" s="24"/>
    </row>
    <row r="122" spans="16:16">
      <c r="P122" s="24"/>
    </row>
    <row r="123" spans="16:16">
      <c r="P123" s="24"/>
    </row>
    <row r="124" spans="16:16">
      <c r="P124" s="24"/>
    </row>
    <row r="132" spans="16:16">
      <c r="P132" s="24"/>
    </row>
    <row r="133" spans="16:16">
      <c r="P133" s="24"/>
    </row>
    <row r="134" spans="16:16">
      <c r="P134" s="24"/>
    </row>
    <row r="135" spans="16:16">
      <c r="P135" s="24"/>
    </row>
    <row r="136" spans="16:16">
      <c r="P136" s="24"/>
    </row>
    <row r="137" spans="16:16">
      <c r="P137" s="24"/>
    </row>
    <row r="138" spans="16:16">
      <c r="P138" s="24"/>
    </row>
    <row r="139" spans="16:16">
      <c r="P139" s="24"/>
    </row>
    <row r="140" spans="16:16">
      <c r="P140" s="24"/>
    </row>
    <row r="141" spans="16:16">
      <c r="P141" s="24"/>
    </row>
    <row r="142" spans="16:16">
      <c r="P142" s="24"/>
    </row>
  </sheetData>
  <mergeCells count="25">
    <mergeCell ref="R8:S8"/>
    <mergeCell ref="A97:K97"/>
    <mergeCell ref="R97:U97"/>
    <mergeCell ref="R91:U91"/>
    <mergeCell ref="A92:K92"/>
    <mergeCell ref="A93:K93"/>
    <mergeCell ref="R93:U93"/>
    <mergeCell ref="A96:K96"/>
    <mergeCell ref="R96:U96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S7"/>
    <mergeCell ref="N8:O8"/>
    <mergeCell ref="P8:Q8"/>
  </mergeCells>
  <pageMargins left="0.45" right="0.25" top="0.75" bottom="0.25" header="0.3" footer="0.3"/>
  <pageSetup paperSize="5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25</vt:i4>
      </vt:variant>
    </vt:vector>
  </HeadingPairs>
  <TitlesOfParts>
    <vt:vector size="59" baseType="lpstr">
      <vt:lpstr>jan</vt:lpstr>
      <vt:lpstr>feb</vt:lpstr>
      <vt:lpstr>mar</vt:lpstr>
      <vt:lpstr>PKK Tri 1</vt:lpstr>
      <vt:lpstr>apr</vt:lpstr>
      <vt:lpstr>mei</vt:lpstr>
      <vt:lpstr>jun</vt:lpstr>
      <vt:lpstr>PKK Tri 2</vt:lpstr>
      <vt:lpstr>jul</vt:lpstr>
      <vt:lpstr>ags</vt:lpstr>
      <vt:lpstr>sep</vt:lpstr>
      <vt:lpstr>PKK Tri3</vt:lpstr>
      <vt:lpstr>okt</vt:lpstr>
      <vt:lpstr>nov</vt:lpstr>
      <vt:lpstr>des</vt:lpstr>
      <vt:lpstr>PAJAK (2)</vt:lpstr>
      <vt:lpstr>rinci</vt:lpstr>
      <vt:lpstr>kontrol</vt:lpstr>
      <vt:lpstr>PKK Tri 4</vt:lpstr>
      <vt:lpstr>PKK Tri 4 (2)</vt:lpstr>
      <vt:lpstr>total</vt:lpstr>
      <vt:lpstr>Sheet3</vt:lpstr>
      <vt:lpstr>RPK (10)</vt:lpstr>
      <vt:lpstr>LOKBUL (2)</vt:lpstr>
      <vt:lpstr>grafik</vt:lpstr>
      <vt:lpstr>BELANJA</vt:lpstr>
      <vt:lpstr>pengadaan oktober</vt:lpstr>
      <vt:lpstr>pengadaan</vt:lpstr>
      <vt:lpstr>PAJAK</vt:lpstr>
      <vt:lpstr>Sheet2</vt:lpstr>
      <vt:lpstr>Sheet1</vt:lpstr>
      <vt:lpstr>lok</vt:lpstr>
      <vt:lpstr>Sheet4</vt:lpstr>
      <vt:lpstr>LOKBUL</vt:lpstr>
      <vt:lpstr>ags!Print_Area</vt:lpstr>
      <vt:lpstr>apr!Print_Area</vt:lpstr>
      <vt:lpstr>feb!Print_Area</vt:lpstr>
      <vt:lpstr>jan!Print_Area</vt:lpstr>
      <vt:lpstr>jul!Print_Area</vt:lpstr>
      <vt:lpstr>jun!Print_Area</vt:lpstr>
      <vt:lpstr>kontrol!Print_Area</vt:lpstr>
      <vt:lpstr>mar!Print_Area</vt:lpstr>
      <vt:lpstr>mei!Print_Area</vt:lpstr>
      <vt:lpstr>'PKK Tri 4'!Print_Area</vt:lpstr>
      <vt:lpstr>sep!Print_Area</vt:lpstr>
      <vt:lpstr>total!Print_Area</vt:lpstr>
      <vt:lpstr>ags!Print_Titles</vt:lpstr>
      <vt:lpstr>apr!Print_Titles</vt:lpstr>
      <vt:lpstr>des!Print_Titles</vt:lpstr>
      <vt:lpstr>feb!Print_Titles</vt:lpstr>
      <vt:lpstr>jan!Print_Titles</vt:lpstr>
      <vt:lpstr>jul!Print_Titles</vt:lpstr>
      <vt:lpstr>jun!Print_Titles</vt:lpstr>
      <vt:lpstr>mar!Print_Titles</vt:lpstr>
      <vt:lpstr>mei!Print_Titles</vt:lpstr>
      <vt:lpstr>nov!Print_Titles</vt:lpstr>
      <vt:lpstr>okt!Print_Titles</vt:lpstr>
      <vt:lpstr>sep!Print_Titles</vt:lpstr>
      <vt:lpstr>total!Print_Titles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Adit</cp:lastModifiedBy>
  <cp:lastPrinted>2020-10-16T03:39:41Z</cp:lastPrinted>
  <dcterms:created xsi:type="dcterms:W3CDTF">2017-02-20T02:34:01Z</dcterms:created>
  <dcterms:modified xsi:type="dcterms:W3CDTF">2020-11-04T06:15:19Z</dcterms:modified>
</cp:coreProperties>
</file>