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1 JKN\7. JKN 2020\"/>
    </mc:Choice>
  </mc:AlternateContent>
  <bookViews>
    <workbookView xWindow="0" yWindow="0" windowWidth="28800" windowHeight="12435" tabRatio="796" firstSheet="3" activeTab="9"/>
  </bookViews>
  <sheets>
    <sheet name="januari" sheetId="20" r:id="rId1"/>
    <sheet name="februari" sheetId="21" r:id="rId2"/>
    <sheet name="maret" sheetId="22" r:id="rId3"/>
    <sheet name="April" sheetId="23" r:id="rId4"/>
    <sheet name="Mei" sheetId="24" r:id="rId5"/>
    <sheet name="Juni" sheetId="25" r:id="rId6"/>
    <sheet name="Juli" sheetId="26" r:id="rId7"/>
    <sheet name="Agustus" sheetId="27" r:id="rId8"/>
    <sheet name="September" sheetId="28" r:id="rId9"/>
    <sheet name="Oktober" sheetId="29" r:id="rId10"/>
    <sheet name="Nopember" sheetId="30" r:id="rId11"/>
    <sheet name="Desember" sheetId="31" r:id="rId12"/>
  </sheets>
  <definedNames>
    <definedName name="_xlnm.Print_Area" localSheetId="7">Agustus!$A$1:$V$101</definedName>
    <definedName name="_xlnm.Print_Area" localSheetId="3">April!$A$1:$V$101</definedName>
    <definedName name="_xlnm.Print_Area" localSheetId="11">Desember!$A$1:$V$105</definedName>
    <definedName name="_xlnm.Print_Area" localSheetId="1">februari!$A$1:$V$101</definedName>
    <definedName name="_xlnm.Print_Area" localSheetId="0">januari!$A$1:$V$99</definedName>
    <definedName name="_xlnm.Print_Area" localSheetId="5">Juni!$A$1:$V$101</definedName>
    <definedName name="_xlnm.Print_Area" localSheetId="2">maret!$A$1:$V$101</definedName>
    <definedName name="_xlnm.Print_Area" localSheetId="4">Mei!$A$1:$V$101</definedName>
    <definedName name="_xlnm.Print_Area" localSheetId="10">Nopember!$A$1:$V$105</definedName>
    <definedName name="_xlnm.Print_Area" localSheetId="9">Oktober!$A$1:$V$100</definedName>
    <definedName name="_xlnm.Print_Area" localSheetId="8">September!$A$1:$V$101</definedName>
    <definedName name="_xlnm.Print_Titles" localSheetId="7">Agustus!$6:$9</definedName>
    <definedName name="_xlnm.Print_Titles" localSheetId="3">April!$6:$9</definedName>
    <definedName name="_xlnm.Print_Titles" localSheetId="11">Desember!$6:$9</definedName>
    <definedName name="_xlnm.Print_Titles" localSheetId="1">februari!$6:$9</definedName>
    <definedName name="_xlnm.Print_Titles" localSheetId="0">januari!$6:$9</definedName>
    <definedName name="_xlnm.Print_Titles" localSheetId="6">Juli!$6:$9</definedName>
    <definedName name="_xlnm.Print_Titles" localSheetId="5">Juni!$6:$9</definedName>
    <definedName name="_xlnm.Print_Titles" localSheetId="2">maret!$6:$9</definedName>
    <definedName name="_xlnm.Print_Titles" localSheetId="4">Mei!$6:$9</definedName>
    <definedName name="_xlnm.Print_Titles" localSheetId="10">Nopember!$6:$9</definedName>
    <definedName name="_xlnm.Print_Titles" localSheetId="9">Oktober!$6:$9</definedName>
    <definedName name="_xlnm.Print_Titles" localSheetId="8">September!$6:$9</definedName>
  </definedNames>
  <calcPr calcId="162913"/>
</workbook>
</file>

<file path=xl/calcChain.xml><?xml version="1.0" encoding="utf-8"?>
<calcChain xmlns="http://schemas.openxmlformats.org/spreadsheetml/2006/main">
  <c r="T44" i="29" l="1"/>
  <c r="T37" i="29"/>
  <c r="T36" i="29"/>
  <c r="T35" i="29"/>
  <c r="T32" i="29"/>
  <c r="T31" i="29" s="1"/>
  <c r="T27" i="29"/>
  <c r="T90" i="29"/>
  <c r="T89" i="29" s="1"/>
  <c r="T87" i="29"/>
  <c r="T86" i="29" s="1"/>
  <c r="T84" i="29"/>
  <c r="T83" i="29" s="1"/>
  <c r="T81" i="29"/>
  <c r="T79" i="29" s="1"/>
  <c r="T80" i="29"/>
  <c r="T77" i="29"/>
  <c r="T76" i="29" s="1"/>
  <c r="T73" i="29"/>
  <c r="T70" i="29"/>
  <c r="T69" i="29"/>
  <c r="T66" i="29"/>
  <c r="T65" i="29"/>
  <c r="T64" i="29" s="1"/>
  <c r="T62" i="29"/>
  <c r="T61" i="29"/>
  <c r="T60" i="29"/>
  <c r="T59" i="29"/>
  <c r="T56" i="29"/>
  <c r="T55" i="29" s="1"/>
  <c r="T53" i="29"/>
  <c r="T52" i="29"/>
  <c r="T50" i="29"/>
  <c r="T49" i="29" s="1"/>
  <c r="T47" i="29"/>
  <c r="T46" i="29"/>
  <c r="T43" i="29"/>
  <c r="T40" i="29"/>
  <c r="T39" i="29" s="1"/>
  <c r="T29" i="29"/>
  <c r="T28" i="29"/>
  <c r="T26" i="29"/>
  <c r="T25" i="29"/>
  <c r="T24" i="29"/>
  <c r="T23" i="29"/>
  <c r="T19" i="29"/>
  <c r="T18" i="29"/>
  <c r="T17" i="29" s="1"/>
  <c r="T13" i="29" s="1"/>
  <c r="T58" i="29" l="1"/>
  <c r="T22" i="29"/>
  <c r="T42" i="29"/>
  <c r="T68" i="29"/>
  <c r="T34" i="29"/>
  <c r="T75" i="29"/>
  <c r="T15" i="29" s="1"/>
  <c r="T75" i="28"/>
  <c r="T75" i="27"/>
  <c r="T80" i="28"/>
  <c r="T58" i="28"/>
  <c r="T61" i="28"/>
  <c r="T44" i="28"/>
  <c r="T36" i="28"/>
  <c r="T35" i="28"/>
  <c r="T32" i="28"/>
  <c r="T27" i="28"/>
  <c r="T19" i="28"/>
  <c r="T90" i="28"/>
  <c r="T89" i="28" s="1"/>
  <c r="T87" i="28"/>
  <c r="T86" i="28"/>
  <c r="T84" i="28"/>
  <c r="T83" i="28" s="1"/>
  <c r="T81" i="28"/>
  <c r="T79" i="28"/>
  <c r="T77" i="28"/>
  <c r="T76" i="28" s="1"/>
  <c r="T73" i="28"/>
  <c r="T70" i="28"/>
  <c r="T69" i="28"/>
  <c r="T68" i="28"/>
  <c r="T66" i="28"/>
  <c r="T65" i="28"/>
  <c r="T64" i="28" s="1"/>
  <c r="T62" i="28"/>
  <c r="T60" i="28"/>
  <c r="T59" i="28"/>
  <c r="T56" i="28"/>
  <c r="T55" i="28" s="1"/>
  <c r="T53" i="28"/>
  <c r="T52" i="28"/>
  <c r="T50" i="28"/>
  <c r="T49" i="28" s="1"/>
  <c r="T47" i="28"/>
  <c r="T46" i="28"/>
  <c r="T43" i="28"/>
  <c r="T42" i="28" s="1"/>
  <c r="T40" i="28"/>
  <c r="T39" i="28"/>
  <c r="T37" i="28"/>
  <c r="T34" i="28"/>
  <c r="T31" i="28"/>
  <c r="T29" i="28"/>
  <c r="T28" i="28"/>
  <c r="T26" i="28"/>
  <c r="T25" i="28"/>
  <c r="T24" i="28"/>
  <c r="T22" i="28" s="1"/>
  <c r="T23" i="28"/>
  <c r="T18" i="28"/>
  <c r="T17" i="28" s="1"/>
  <c r="T13" i="28" s="1"/>
  <c r="T21" i="29" l="1"/>
  <c r="T14" i="29" s="1"/>
  <c r="T12" i="29" s="1"/>
  <c r="T21" i="28"/>
  <c r="T14" i="28" s="1"/>
  <c r="T15" i="28"/>
  <c r="T19" i="27"/>
  <c r="T22" i="27"/>
  <c r="T27" i="27"/>
  <c r="T32" i="27"/>
  <c r="T34" i="27"/>
  <c r="T35" i="27"/>
  <c r="T36" i="27"/>
  <c r="T42" i="27"/>
  <c r="T44" i="27"/>
  <c r="T43" i="27"/>
  <c r="T58" i="26"/>
  <c r="T58" i="27"/>
  <c r="T62" i="27"/>
  <c r="T77" i="27"/>
  <c r="T12" i="28" l="1"/>
  <c r="T90" i="27"/>
  <c r="T89" i="27"/>
  <c r="T87" i="27"/>
  <c r="T86" i="27"/>
  <c r="T84" i="27"/>
  <c r="T83" i="27"/>
  <c r="T81" i="27"/>
  <c r="T80" i="27"/>
  <c r="T79" i="27"/>
  <c r="T76" i="27"/>
  <c r="T73" i="27"/>
  <c r="T70" i="27"/>
  <c r="T68" i="27" s="1"/>
  <c r="T69" i="27"/>
  <c r="T66" i="27"/>
  <c r="T65" i="27"/>
  <c r="T64" i="27" s="1"/>
  <c r="T61" i="27"/>
  <c r="T60" i="27"/>
  <c r="T59" i="27"/>
  <c r="T56" i="27"/>
  <c r="T55" i="27"/>
  <c r="T53" i="27"/>
  <c r="T52" i="27"/>
  <c r="T50" i="27"/>
  <c r="T49" i="27"/>
  <c r="T47" i="27"/>
  <c r="T46" i="27"/>
  <c r="T40" i="27"/>
  <c r="T39" i="27"/>
  <c r="T37" i="27"/>
  <c r="T31" i="27"/>
  <c r="T29" i="27"/>
  <c r="T28" i="27"/>
  <c r="T26" i="27"/>
  <c r="T25" i="27"/>
  <c r="T24" i="27"/>
  <c r="T23" i="27"/>
  <c r="T18" i="27"/>
  <c r="T17" i="27"/>
  <c r="T13" i="27" s="1"/>
  <c r="T15" i="27" l="1"/>
  <c r="T12" i="27" s="1"/>
  <c r="T21" i="27"/>
  <c r="T14" i="27" s="1"/>
  <c r="T90" i="26"/>
  <c r="T70" i="26"/>
  <c r="T44" i="26"/>
  <c r="T36" i="26"/>
  <c r="T35" i="26"/>
  <c r="T32" i="26"/>
  <c r="T27" i="26"/>
  <c r="T19" i="26"/>
  <c r="T18" i="26" s="1"/>
  <c r="T17" i="26" s="1"/>
  <c r="T13" i="26" s="1"/>
  <c r="T89" i="26"/>
  <c r="T87" i="26"/>
  <c r="T86" i="26"/>
  <c r="T84" i="26"/>
  <c r="T83" i="26" s="1"/>
  <c r="T81" i="26"/>
  <c r="T80" i="26"/>
  <c r="T79" i="26" s="1"/>
  <c r="T77" i="26"/>
  <c r="T76" i="26" s="1"/>
  <c r="T73" i="26"/>
  <c r="T69" i="26"/>
  <c r="T68" i="26" s="1"/>
  <c r="T66" i="26"/>
  <c r="T65" i="26"/>
  <c r="T62" i="26"/>
  <c r="T61" i="26"/>
  <c r="T60" i="26"/>
  <c r="T59" i="26"/>
  <c r="T56" i="26"/>
  <c r="T55" i="26"/>
  <c r="T53" i="26"/>
  <c r="T52" i="26" s="1"/>
  <c r="T50" i="26"/>
  <c r="T49" i="26"/>
  <c r="T47" i="26"/>
  <c r="T46" i="26" s="1"/>
  <c r="T42" i="26"/>
  <c r="T40" i="26"/>
  <c r="T39" i="26"/>
  <c r="T37" i="26"/>
  <c r="T31" i="26"/>
  <c r="T29" i="26"/>
  <c r="T28" i="26"/>
  <c r="T26" i="26"/>
  <c r="T25" i="26"/>
  <c r="T24" i="26"/>
  <c r="T23" i="26"/>
  <c r="T22" i="26" s="1"/>
  <c r="T75" i="26" l="1"/>
  <c r="T15" i="26" s="1"/>
  <c r="T64" i="26"/>
  <c r="T34" i="26"/>
  <c r="T21" i="26"/>
  <c r="T14" i="26" s="1"/>
  <c r="T12" i="26" s="1"/>
  <c r="T90" i="25"/>
  <c r="T87" i="25"/>
  <c r="T44" i="25"/>
  <c r="T36" i="25"/>
  <c r="T35" i="25"/>
  <c r="T32" i="25"/>
  <c r="T28" i="25"/>
  <c r="T27" i="25"/>
  <c r="T25" i="25"/>
  <c r="T24" i="25"/>
  <c r="T23" i="25"/>
  <c r="T19" i="25"/>
  <c r="T89" i="25" l="1"/>
  <c r="T75" i="25" s="1"/>
  <c r="T86" i="25"/>
  <c r="T84" i="25"/>
  <c r="T83" i="25" s="1"/>
  <c r="T81" i="25"/>
  <c r="T80" i="25"/>
  <c r="T79" i="25"/>
  <c r="T77" i="25"/>
  <c r="T76" i="25"/>
  <c r="T73" i="25"/>
  <c r="T70" i="25"/>
  <c r="T69" i="25"/>
  <c r="T68" i="25"/>
  <c r="T66" i="25"/>
  <c r="T64" i="25" s="1"/>
  <c r="T65" i="25"/>
  <c r="T62" i="25"/>
  <c r="T61" i="25"/>
  <c r="T58" i="25" s="1"/>
  <c r="T60" i="25"/>
  <c r="T59" i="25"/>
  <c r="T56" i="25"/>
  <c r="T55" i="25" s="1"/>
  <c r="T53" i="25"/>
  <c r="T52" i="25"/>
  <c r="T50" i="25"/>
  <c r="T49" i="25" s="1"/>
  <c r="T47" i="25"/>
  <c r="T46" i="25"/>
  <c r="T42" i="25"/>
  <c r="T40" i="25"/>
  <c r="T39" i="25"/>
  <c r="T37" i="25"/>
  <c r="T34" i="25" s="1"/>
  <c r="T31" i="25"/>
  <c r="T29" i="25"/>
  <c r="T26" i="25"/>
  <c r="T22" i="25"/>
  <c r="T18" i="25"/>
  <c r="T17" i="25" s="1"/>
  <c r="T13" i="25" s="1"/>
  <c r="P34" i="24"/>
  <c r="T44" i="24"/>
  <c r="T36" i="24"/>
  <c r="T35" i="24"/>
  <c r="T32" i="24"/>
  <c r="T31" i="24" s="1"/>
  <c r="T27" i="24"/>
  <c r="T90" i="24"/>
  <c r="T89" i="24"/>
  <c r="T87" i="24"/>
  <c r="T86" i="24"/>
  <c r="T84" i="24"/>
  <c r="T83" i="24"/>
  <c r="T81" i="24"/>
  <c r="T80" i="24"/>
  <c r="T79" i="24" s="1"/>
  <c r="T75" i="24" s="1"/>
  <c r="T15" i="24" s="1"/>
  <c r="T77" i="24"/>
  <c r="T76" i="24"/>
  <c r="T73" i="24"/>
  <c r="T70" i="24"/>
  <c r="T69" i="24"/>
  <c r="T68" i="24"/>
  <c r="T66" i="24"/>
  <c r="T65" i="24"/>
  <c r="T64" i="24"/>
  <c r="T62" i="24"/>
  <c r="T61" i="24"/>
  <c r="T60" i="24"/>
  <c r="T59" i="24"/>
  <c r="T58" i="24"/>
  <c r="T56" i="24"/>
  <c r="T55" i="24"/>
  <c r="T53" i="24"/>
  <c r="T52" i="24"/>
  <c r="T50" i="24"/>
  <c r="T49" i="24"/>
  <c r="T47" i="24"/>
  <c r="T46" i="24"/>
  <c r="T42" i="24"/>
  <c r="T40" i="24"/>
  <c r="T39" i="24"/>
  <c r="T37" i="24"/>
  <c r="T29" i="24"/>
  <c r="T28" i="24"/>
  <c r="T26" i="24"/>
  <c r="T25" i="24"/>
  <c r="T24" i="24"/>
  <c r="T23" i="24"/>
  <c r="T19" i="24"/>
  <c r="T18" i="24" s="1"/>
  <c r="T17" i="24" s="1"/>
  <c r="T13" i="24" s="1"/>
  <c r="T21" i="25" l="1"/>
  <c r="T14" i="25" s="1"/>
  <c r="T15" i="25"/>
  <c r="T34" i="24"/>
  <c r="T22" i="24"/>
  <c r="T21" i="24" s="1"/>
  <c r="T14" i="24" s="1"/>
  <c r="T12" i="24" s="1"/>
  <c r="T12" i="25" l="1"/>
  <c r="T44" i="23"/>
  <c r="T36" i="23"/>
  <c r="T35" i="23"/>
  <c r="T32" i="23"/>
  <c r="T31" i="23" s="1"/>
  <c r="T27" i="23"/>
  <c r="T19" i="23"/>
  <c r="T90" i="23"/>
  <c r="T89" i="23" s="1"/>
  <c r="T87" i="23"/>
  <c r="T86" i="23"/>
  <c r="T84" i="23"/>
  <c r="T83" i="23"/>
  <c r="T81" i="23"/>
  <c r="T80" i="23"/>
  <c r="T79" i="23" s="1"/>
  <c r="T75" i="23" s="1"/>
  <c r="T15" i="23" s="1"/>
  <c r="T77" i="23"/>
  <c r="T76" i="23"/>
  <c r="T73" i="23"/>
  <c r="T70" i="23"/>
  <c r="T69" i="23"/>
  <c r="T68" i="23"/>
  <c r="T66" i="23"/>
  <c r="T65" i="23"/>
  <c r="T64" i="23"/>
  <c r="T62" i="23"/>
  <c r="T61" i="23"/>
  <c r="T60" i="23"/>
  <c r="T59" i="23"/>
  <c r="T58" i="23"/>
  <c r="T56" i="23"/>
  <c r="T55" i="23" s="1"/>
  <c r="T53" i="23"/>
  <c r="T52" i="23"/>
  <c r="T50" i="23"/>
  <c r="T49" i="23"/>
  <c r="T47" i="23"/>
  <c r="T46" i="23"/>
  <c r="T42" i="23"/>
  <c r="T40" i="23"/>
  <c r="T39" i="23"/>
  <c r="T37" i="23"/>
  <c r="T29" i="23"/>
  <c r="T28" i="23"/>
  <c r="T26" i="23"/>
  <c r="T25" i="23"/>
  <c r="T24" i="23"/>
  <c r="T22" i="23" s="1"/>
  <c r="T23" i="23"/>
  <c r="T18" i="23"/>
  <c r="T17" i="23" s="1"/>
  <c r="T13" i="23" s="1"/>
  <c r="T34" i="23" l="1"/>
  <c r="T21" i="23" s="1"/>
  <c r="T14" i="23" s="1"/>
  <c r="T12" i="23" s="1"/>
  <c r="T69" i="22"/>
  <c r="T58" i="22"/>
  <c r="T60" i="22"/>
  <c r="T56" i="22"/>
  <c r="T55" i="22" s="1"/>
  <c r="T52" i="22"/>
  <c r="T53" i="22"/>
  <c r="T47" i="22"/>
  <c r="T44" i="22"/>
  <c r="T42" i="22" s="1"/>
  <c r="T37" i="22"/>
  <c r="T36" i="22"/>
  <c r="T34" i="22" s="1"/>
  <c r="T35" i="22"/>
  <c r="T32" i="22"/>
  <c r="T31" i="22" s="1"/>
  <c r="T32" i="21"/>
  <c r="T32" i="20"/>
  <c r="T27" i="22"/>
  <c r="T19" i="22"/>
  <c r="T18" i="22" s="1"/>
  <c r="T17" i="22" s="1"/>
  <c r="T13" i="22" s="1"/>
  <c r="T90" i="22"/>
  <c r="T89" i="22"/>
  <c r="T87" i="22"/>
  <c r="T86" i="22"/>
  <c r="T84" i="22"/>
  <c r="T83" i="22"/>
  <c r="T81" i="22"/>
  <c r="T80" i="22"/>
  <c r="T79" i="22"/>
  <c r="T77" i="22"/>
  <c r="T76" i="22" s="1"/>
  <c r="T73" i="22"/>
  <c r="T70" i="22"/>
  <c r="T68" i="22" s="1"/>
  <c r="T66" i="22"/>
  <c r="T65" i="22"/>
  <c r="T64" i="22" s="1"/>
  <c r="T62" i="22"/>
  <c r="T61" i="22"/>
  <c r="T59" i="22"/>
  <c r="T50" i="22"/>
  <c r="T49" i="22"/>
  <c r="T46" i="22"/>
  <c r="T40" i="22"/>
  <c r="T39" i="22"/>
  <c r="T29" i="22"/>
  <c r="T28" i="22"/>
  <c r="T26" i="22"/>
  <c r="T25" i="22"/>
  <c r="T24" i="22"/>
  <c r="T23" i="22"/>
  <c r="T22" i="22"/>
  <c r="T70" i="21"/>
  <c r="T68" i="21" s="1"/>
  <c r="T69" i="21"/>
  <c r="T64" i="21"/>
  <c r="T66" i="21"/>
  <c r="T47" i="21"/>
  <c r="T42" i="20"/>
  <c r="T42" i="21"/>
  <c r="T44" i="21"/>
  <c r="T36" i="21"/>
  <c r="T35" i="21"/>
  <c r="T34" i="21" s="1"/>
  <c r="T31" i="21"/>
  <c r="T22" i="21"/>
  <c r="T22" i="20"/>
  <c r="T23" i="21"/>
  <c r="T27" i="21"/>
  <c r="T90" i="21"/>
  <c r="T89" i="21"/>
  <c r="T87" i="21"/>
  <c r="T86" i="21"/>
  <c r="T84" i="21"/>
  <c r="T83" i="21"/>
  <c r="T81" i="21"/>
  <c r="T80" i="21"/>
  <c r="T79" i="21" s="1"/>
  <c r="T77" i="21"/>
  <c r="T76" i="21" s="1"/>
  <c r="T73" i="21"/>
  <c r="T65" i="21"/>
  <c r="T62" i="21"/>
  <c r="T61" i="21"/>
  <c r="T60" i="21"/>
  <c r="T59" i="21"/>
  <c r="T58" i="21"/>
  <c r="T56" i="21"/>
  <c r="T55" i="21"/>
  <c r="T53" i="21"/>
  <c r="T52" i="21"/>
  <c r="T50" i="21"/>
  <c r="T49" i="21"/>
  <c r="T46" i="21"/>
  <c r="T40" i="21"/>
  <c r="T39" i="21"/>
  <c r="T37" i="21"/>
  <c r="T29" i="21"/>
  <c r="T28" i="21"/>
  <c r="T26" i="21"/>
  <c r="T25" i="21"/>
  <c r="T24" i="21"/>
  <c r="T19" i="21"/>
  <c r="T18" i="21" s="1"/>
  <c r="T17" i="21" s="1"/>
  <c r="T13" i="21" s="1"/>
  <c r="P21" i="20"/>
  <c r="T75" i="22" l="1"/>
  <c r="T15" i="22" s="1"/>
  <c r="T21" i="22"/>
  <c r="T14" i="22" s="1"/>
  <c r="T12" i="22" s="1"/>
  <c r="T21" i="21"/>
  <c r="T14" i="21" s="1"/>
  <c r="T75" i="21"/>
  <c r="T15" i="21" s="1"/>
  <c r="T12" i="21" l="1"/>
  <c r="T69" i="20" l="1"/>
  <c r="T47" i="20"/>
  <c r="T44" i="20"/>
  <c r="T36" i="20" l="1"/>
  <c r="T35" i="20"/>
  <c r="T27" i="20"/>
  <c r="T24" i="20"/>
  <c r="T19" i="31"/>
  <c r="T19" i="30"/>
  <c r="T19" i="20"/>
  <c r="T49" i="31" l="1"/>
  <c r="T50" i="31"/>
  <c r="T50" i="30"/>
  <c r="T49" i="30" s="1"/>
  <c r="T40" i="31"/>
  <c r="T39" i="31"/>
  <c r="T40" i="30"/>
  <c r="T39" i="30" s="1"/>
  <c r="T90" i="31"/>
  <c r="T89" i="31" s="1"/>
  <c r="Q90" i="31"/>
  <c r="Q89" i="31"/>
  <c r="P89" i="31"/>
  <c r="T87" i="31"/>
  <c r="T86" i="31" s="1"/>
  <c r="Q87" i="31"/>
  <c r="Q86" i="31"/>
  <c r="P86" i="31"/>
  <c r="T84" i="31"/>
  <c r="Q84" i="31"/>
  <c r="T83" i="31"/>
  <c r="P83" i="31"/>
  <c r="Q83" i="31" s="1"/>
  <c r="T81" i="31"/>
  <c r="Q81" i="31"/>
  <c r="T80" i="31"/>
  <c r="Q80" i="31"/>
  <c r="T79" i="31"/>
  <c r="T75" i="31" s="1"/>
  <c r="T15" i="31" s="1"/>
  <c r="P79" i="31"/>
  <c r="P75" i="31" s="1"/>
  <c r="T77" i="31"/>
  <c r="T76" i="31" s="1"/>
  <c r="Q77" i="31"/>
  <c r="Q76" i="31"/>
  <c r="P76" i="31"/>
  <c r="T73" i="31"/>
  <c r="Q73" i="31"/>
  <c r="Q72" i="31"/>
  <c r="P72" i="31"/>
  <c r="T70" i="31"/>
  <c r="Q70" i="31"/>
  <c r="T69" i="31"/>
  <c r="T68" i="31" s="1"/>
  <c r="Q69" i="31"/>
  <c r="Q68" i="31"/>
  <c r="P68" i="31"/>
  <c r="T66" i="31"/>
  <c r="T64" i="31" s="1"/>
  <c r="Q66" i="31"/>
  <c r="T65" i="31"/>
  <c r="Q65" i="31"/>
  <c r="Q64" i="31"/>
  <c r="P64" i="31"/>
  <c r="T62" i="31"/>
  <c r="T61" i="31"/>
  <c r="Q61" i="31"/>
  <c r="T60" i="31"/>
  <c r="T58" i="31" s="1"/>
  <c r="Q60" i="31"/>
  <c r="T59" i="31"/>
  <c r="Q59" i="31"/>
  <c r="P58" i="31"/>
  <c r="Q58" i="31" s="1"/>
  <c r="T56" i="31"/>
  <c r="T55" i="31" s="1"/>
  <c r="Q56" i="31"/>
  <c r="Q55" i="31"/>
  <c r="P55" i="31"/>
  <c r="T53" i="31"/>
  <c r="T52" i="31" s="1"/>
  <c r="Q53" i="31"/>
  <c r="Q52" i="31"/>
  <c r="P52" i="31"/>
  <c r="Q50" i="31"/>
  <c r="P49" i="31"/>
  <c r="Q49" i="31" s="1"/>
  <c r="T47" i="31"/>
  <c r="Q47" i="31"/>
  <c r="T46" i="31"/>
  <c r="P46" i="31"/>
  <c r="Q46" i="31" s="1"/>
  <c r="T44" i="31"/>
  <c r="T42" i="31" s="1"/>
  <c r="Q44" i="31"/>
  <c r="Q43" i="31"/>
  <c r="Q42" i="31"/>
  <c r="P42" i="31"/>
  <c r="Q40" i="31"/>
  <c r="Q39" i="31"/>
  <c r="P39" i="31"/>
  <c r="T37" i="31"/>
  <c r="Q37" i="31"/>
  <c r="T36" i="31"/>
  <c r="Q36" i="31"/>
  <c r="T35" i="31"/>
  <c r="T34" i="31" s="1"/>
  <c r="Q35" i="31"/>
  <c r="Q34" i="31"/>
  <c r="P34" i="31"/>
  <c r="T32" i="31"/>
  <c r="T31" i="31" s="1"/>
  <c r="Q32" i="31"/>
  <c r="Q31" i="31"/>
  <c r="P31" i="31"/>
  <c r="T29" i="31"/>
  <c r="Q29" i="31"/>
  <c r="T28" i="31"/>
  <c r="Q28" i="31"/>
  <c r="T27" i="31"/>
  <c r="Q27" i="31"/>
  <c r="T26" i="31"/>
  <c r="Q26" i="31"/>
  <c r="T25" i="31"/>
  <c r="Q25" i="31"/>
  <c r="T24" i="31"/>
  <c r="Q24" i="31"/>
  <c r="T23" i="31"/>
  <c r="T22" i="31" s="1"/>
  <c r="Q23" i="31"/>
  <c r="Q22" i="31"/>
  <c r="P22" i="31"/>
  <c r="P21" i="31"/>
  <c r="P14" i="31" s="1"/>
  <c r="Q19" i="31"/>
  <c r="T18" i="31"/>
  <c r="Q18" i="31"/>
  <c r="P18" i="31"/>
  <c r="T17" i="31"/>
  <c r="T13" i="31" s="1"/>
  <c r="P17" i="31"/>
  <c r="P13" i="31" s="1"/>
  <c r="T90" i="30"/>
  <c r="T89" i="30" s="1"/>
  <c r="Q90" i="30"/>
  <c r="Q89" i="30"/>
  <c r="P89" i="30"/>
  <c r="T87" i="30"/>
  <c r="T86" i="30" s="1"/>
  <c r="Q87" i="30"/>
  <c r="Q86" i="30"/>
  <c r="P86" i="30"/>
  <c r="T84" i="30"/>
  <c r="Q84" i="30"/>
  <c r="T83" i="30"/>
  <c r="P83" i="30"/>
  <c r="Q83" i="30" s="1"/>
  <c r="T81" i="30"/>
  <c r="Q81" i="30"/>
  <c r="T80" i="30"/>
  <c r="Q80" i="30"/>
  <c r="T79" i="30"/>
  <c r="P79" i="30"/>
  <c r="P75" i="30" s="1"/>
  <c r="T77" i="30"/>
  <c r="T76" i="30" s="1"/>
  <c r="Q77" i="30"/>
  <c r="Q76" i="30"/>
  <c r="P76" i="30"/>
  <c r="T73" i="30"/>
  <c r="Q73" i="30"/>
  <c r="Q72" i="30"/>
  <c r="P72" i="30"/>
  <c r="T70" i="30"/>
  <c r="Q70" i="30"/>
  <c r="T69" i="30"/>
  <c r="T68" i="30" s="1"/>
  <c r="Q69" i="30"/>
  <c r="Q68" i="30"/>
  <c r="P68" i="30"/>
  <c r="T66" i="30"/>
  <c r="Q66" i="30"/>
  <c r="T65" i="30"/>
  <c r="Q65" i="30"/>
  <c r="T64" i="30"/>
  <c r="Q64" i="30"/>
  <c r="P64" i="30"/>
  <c r="T62" i="30"/>
  <c r="T61" i="30"/>
  <c r="T58" i="30" s="1"/>
  <c r="Q61" i="30"/>
  <c r="T60" i="30"/>
  <c r="Q60" i="30"/>
  <c r="T59" i="30"/>
  <c r="Q59" i="30"/>
  <c r="P58" i="30"/>
  <c r="Q58" i="30" s="1"/>
  <c r="T56" i="30"/>
  <c r="Q56" i="30"/>
  <c r="T55" i="30"/>
  <c r="P55" i="30"/>
  <c r="Q55" i="30" s="1"/>
  <c r="T53" i="30"/>
  <c r="T52" i="30" s="1"/>
  <c r="Q53" i="30"/>
  <c r="Q52" i="30"/>
  <c r="P52" i="30"/>
  <c r="Q50" i="30"/>
  <c r="P49" i="30"/>
  <c r="Q49" i="30" s="1"/>
  <c r="T47" i="30"/>
  <c r="Q47" i="30"/>
  <c r="T46" i="30"/>
  <c r="P46" i="30"/>
  <c r="Q46" i="30" s="1"/>
  <c r="T44" i="30"/>
  <c r="Q44" i="30"/>
  <c r="Q43" i="30"/>
  <c r="T42" i="30"/>
  <c r="P42" i="30"/>
  <c r="Q42" i="30" s="1"/>
  <c r="Q40" i="30"/>
  <c r="Q39" i="30"/>
  <c r="P39" i="30"/>
  <c r="T37" i="30"/>
  <c r="Q37" i="30"/>
  <c r="T36" i="30"/>
  <c r="T34" i="30" s="1"/>
  <c r="Q36" i="30"/>
  <c r="T35" i="30"/>
  <c r="Q35" i="30"/>
  <c r="P34" i="30"/>
  <c r="Q34" i="30" s="1"/>
  <c r="T32" i="30"/>
  <c r="T31" i="30" s="1"/>
  <c r="Q32" i="30"/>
  <c r="Q31" i="30"/>
  <c r="P31" i="30"/>
  <c r="T29" i="30"/>
  <c r="Q29" i="30"/>
  <c r="T28" i="30"/>
  <c r="Q28" i="30"/>
  <c r="T27" i="30"/>
  <c r="Q27" i="30"/>
  <c r="T26" i="30"/>
  <c r="Q26" i="30"/>
  <c r="T25" i="30"/>
  <c r="Q25" i="30"/>
  <c r="T24" i="30"/>
  <c r="T22" i="30" s="1"/>
  <c r="Q24" i="30"/>
  <c r="T23" i="30"/>
  <c r="Q23" i="30"/>
  <c r="P22" i="30"/>
  <c r="Q22" i="30" s="1"/>
  <c r="P21" i="30"/>
  <c r="Q21" i="30" s="1"/>
  <c r="Q19" i="30"/>
  <c r="T18" i="30"/>
  <c r="T17" i="30" s="1"/>
  <c r="T13" i="30" s="1"/>
  <c r="P18" i="30"/>
  <c r="Q18" i="30" s="1"/>
  <c r="P17" i="30"/>
  <c r="P13" i="30" s="1"/>
  <c r="Q90" i="29"/>
  <c r="P89" i="29"/>
  <c r="Q87" i="29"/>
  <c r="P86" i="29"/>
  <c r="Q84" i="29"/>
  <c r="P83" i="29"/>
  <c r="Q81" i="29"/>
  <c r="Q80" i="29"/>
  <c r="P79" i="29"/>
  <c r="Q77" i="29"/>
  <c r="P76" i="29"/>
  <c r="Q76" i="29" s="1"/>
  <c r="Q73" i="29"/>
  <c r="P72" i="29"/>
  <c r="Q70" i="29"/>
  <c r="Q69" i="29"/>
  <c r="P68" i="29"/>
  <c r="Q66" i="29"/>
  <c r="Q65" i="29"/>
  <c r="P64" i="29"/>
  <c r="Q61" i="29"/>
  <c r="Q60" i="29"/>
  <c r="Q59" i="29"/>
  <c r="P58" i="29"/>
  <c r="Q56" i="29"/>
  <c r="P55" i="29"/>
  <c r="Q55" i="29" s="1"/>
  <c r="Q53" i="29"/>
  <c r="P52" i="29"/>
  <c r="Q50" i="29"/>
  <c r="P49" i="29"/>
  <c r="Q47" i="29"/>
  <c r="P46" i="29"/>
  <c r="Q44" i="29"/>
  <c r="Q43" i="29"/>
  <c r="P42" i="29"/>
  <c r="Q40" i="29"/>
  <c r="P39" i="29"/>
  <c r="Q37" i="29"/>
  <c r="Q36" i="29"/>
  <c r="Q35" i="29"/>
  <c r="P34" i="29"/>
  <c r="Q32" i="29"/>
  <c r="P31" i="29"/>
  <c r="Q31" i="29" s="1"/>
  <c r="Q29" i="29"/>
  <c r="Q28" i="29"/>
  <c r="Q27" i="29"/>
  <c r="Q26" i="29"/>
  <c r="Q25" i="29"/>
  <c r="Q24" i="29"/>
  <c r="Q23" i="29"/>
  <c r="P22" i="29"/>
  <c r="Q19" i="29"/>
  <c r="P18" i="29"/>
  <c r="P17" i="29" s="1"/>
  <c r="P13" i="29" s="1"/>
  <c r="Q90" i="28"/>
  <c r="P89" i="28"/>
  <c r="Q89" i="28" s="1"/>
  <c r="Q87" i="28"/>
  <c r="Q86" i="28"/>
  <c r="P86" i="28"/>
  <c r="Q84" i="28"/>
  <c r="P83" i="28"/>
  <c r="Q83" i="28" s="1"/>
  <c r="Q81" i="28"/>
  <c r="Q80" i="28"/>
  <c r="P79" i="28"/>
  <c r="P75" i="28" s="1"/>
  <c r="Q77" i="28"/>
  <c r="Q76" i="28"/>
  <c r="P76" i="28"/>
  <c r="Q73" i="28"/>
  <c r="Q72" i="28"/>
  <c r="P72" i="28"/>
  <c r="Q70" i="28"/>
  <c r="Q69" i="28"/>
  <c r="Q68" i="28"/>
  <c r="P68" i="28"/>
  <c r="Q66" i="28"/>
  <c r="Q65" i="28"/>
  <c r="Q64" i="28"/>
  <c r="P64" i="28"/>
  <c r="Q61" i="28"/>
  <c r="Q60" i="28"/>
  <c r="Q59" i="28"/>
  <c r="Q58" i="28"/>
  <c r="P58" i="28"/>
  <c r="Q56" i="28"/>
  <c r="P55" i="28"/>
  <c r="Q55" i="28" s="1"/>
  <c r="Q53" i="28"/>
  <c r="Q52" i="28"/>
  <c r="P52" i="28"/>
  <c r="Q50" i="28"/>
  <c r="P49" i="28"/>
  <c r="Q49" i="28" s="1"/>
  <c r="Q47" i="28"/>
  <c r="Q46" i="28"/>
  <c r="P46" i="28"/>
  <c r="Q44" i="28"/>
  <c r="Q43" i="28"/>
  <c r="P42" i="28"/>
  <c r="Q42" i="28" s="1"/>
  <c r="Q40" i="28"/>
  <c r="Q39" i="28"/>
  <c r="P39" i="28"/>
  <c r="Q37" i="28"/>
  <c r="Q36" i="28"/>
  <c r="Q35" i="28"/>
  <c r="P34" i="28"/>
  <c r="Q34" i="28" s="1"/>
  <c r="Q32" i="28"/>
  <c r="P31" i="28"/>
  <c r="Q31" i="28" s="1"/>
  <c r="Q29" i="28"/>
  <c r="Q28" i="28"/>
  <c r="Q27" i="28"/>
  <c r="Q26" i="28"/>
  <c r="Q25" i="28"/>
  <c r="Q24" i="28"/>
  <c r="Q23" i="28"/>
  <c r="P22" i="28"/>
  <c r="Q22" i="28" s="1"/>
  <c r="Q19" i="28"/>
  <c r="P18" i="28"/>
  <c r="Q18" i="28" s="1"/>
  <c r="P17" i="28"/>
  <c r="P13" i="28" s="1"/>
  <c r="Q90" i="27"/>
  <c r="P89" i="27"/>
  <c r="Q89" i="27" s="1"/>
  <c r="Q87" i="27"/>
  <c r="Q86" i="27"/>
  <c r="P86" i="27"/>
  <c r="Q84" i="27"/>
  <c r="P83" i="27"/>
  <c r="Q83" i="27" s="1"/>
  <c r="Q81" i="27"/>
  <c r="Q80" i="27"/>
  <c r="P79" i="27"/>
  <c r="Q77" i="27"/>
  <c r="Q76" i="27"/>
  <c r="P76" i="27"/>
  <c r="Q73" i="27"/>
  <c r="Q72" i="27"/>
  <c r="P72" i="27"/>
  <c r="Q70" i="27"/>
  <c r="Q69" i="27"/>
  <c r="Q68" i="27"/>
  <c r="P68" i="27"/>
  <c r="Q66" i="27"/>
  <c r="Q65" i="27"/>
  <c r="Q64" i="27"/>
  <c r="P64" i="27"/>
  <c r="Q61" i="27"/>
  <c r="Q60" i="27"/>
  <c r="Q59" i="27"/>
  <c r="Q58" i="27"/>
  <c r="P58" i="27"/>
  <c r="Q56" i="27"/>
  <c r="P55" i="27"/>
  <c r="Q55" i="27" s="1"/>
  <c r="Q53" i="27"/>
  <c r="Q52" i="27"/>
  <c r="P52" i="27"/>
  <c r="Q50" i="27"/>
  <c r="P49" i="27"/>
  <c r="Q49" i="27" s="1"/>
  <c r="Q47" i="27"/>
  <c r="Q46" i="27"/>
  <c r="P46" i="27"/>
  <c r="Q44" i="27"/>
  <c r="Q43" i="27"/>
  <c r="P42" i="27"/>
  <c r="Q42" i="27" s="1"/>
  <c r="Q40" i="27"/>
  <c r="Q39" i="27"/>
  <c r="P39" i="27"/>
  <c r="Q37" i="27"/>
  <c r="Q36" i="27"/>
  <c r="Q35" i="27"/>
  <c r="P34" i="27"/>
  <c r="Q34" i="27" s="1"/>
  <c r="Q32" i="27"/>
  <c r="P31" i="27"/>
  <c r="Q31" i="27" s="1"/>
  <c r="Q29" i="27"/>
  <c r="Q28" i="27"/>
  <c r="Q27" i="27"/>
  <c r="Q26" i="27"/>
  <c r="Q25" i="27"/>
  <c r="Q24" i="27"/>
  <c r="Q23" i="27"/>
  <c r="P22" i="27"/>
  <c r="Q22" i="27" s="1"/>
  <c r="Q19" i="27"/>
  <c r="P18" i="27"/>
  <c r="Q18" i="27" s="1"/>
  <c r="Q90" i="26"/>
  <c r="P89" i="26"/>
  <c r="Q87" i="26"/>
  <c r="Q86" i="26"/>
  <c r="P86" i="26"/>
  <c r="Q84" i="26"/>
  <c r="P83" i="26"/>
  <c r="Q81" i="26"/>
  <c r="Q80" i="26"/>
  <c r="P79" i="26"/>
  <c r="Q77" i="26"/>
  <c r="Q76" i="26"/>
  <c r="P76" i="26"/>
  <c r="Q73" i="26"/>
  <c r="P72" i="26"/>
  <c r="Q72" i="26" s="1"/>
  <c r="Q70" i="26"/>
  <c r="Q69" i="26"/>
  <c r="P68" i="26"/>
  <c r="Q66" i="26"/>
  <c r="Q65" i="26"/>
  <c r="P64" i="26"/>
  <c r="Q64" i="26" s="1"/>
  <c r="Q61" i="26"/>
  <c r="Q60" i="26"/>
  <c r="Q59" i="26"/>
  <c r="P58" i="26"/>
  <c r="Q58" i="26" s="1"/>
  <c r="Q56" i="26"/>
  <c r="P55" i="26"/>
  <c r="Q53" i="26"/>
  <c r="Q52" i="26"/>
  <c r="P52" i="26"/>
  <c r="Q50" i="26"/>
  <c r="P49" i="26"/>
  <c r="Q47" i="26"/>
  <c r="P46" i="26"/>
  <c r="Q46" i="26" s="1"/>
  <c r="Q44" i="26"/>
  <c r="Q43" i="26"/>
  <c r="P42" i="26"/>
  <c r="Q40" i="26"/>
  <c r="P39" i="26"/>
  <c r="Q39" i="26" s="1"/>
  <c r="Q37" i="26"/>
  <c r="Q36" i="26"/>
  <c r="Q35" i="26"/>
  <c r="P34" i="26"/>
  <c r="Q32" i="26"/>
  <c r="P31" i="26"/>
  <c r="Q29" i="26"/>
  <c r="Q28" i="26"/>
  <c r="Q27" i="26"/>
  <c r="Q26" i="26"/>
  <c r="Q25" i="26"/>
  <c r="Q24" i="26"/>
  <c r="Q23" i="26"/>
  <c r="P22" i="26"/>
  <c r="Q19" i="26"/>
  <c r="P18" i="26"/>
  <c r="Q90" i="25"/>
  <c r="P89" i="25"/>
  <c r="Q89" i="25" s="1"/>
  <c r="Q87" i="25"/>
  <c r="P86" i="25"/>
  <c r="Q86" i="25" s="1"/>
  <c r="Q84" i="25"/>
  <c r="P83" i="25"/>
  <c r="Q83" i="25" s="1"/>
  <c r="Q81" i="25"/>
  <c r="Q80" i="25"/>
  <c r="P79" i="25"/>
  <c r="Q77" i="25"/>
  <c r="Q76" i="25"/>
  <c r="P76" i="25"/>
  <c r="Q73" i="25"/>
  <c r="Q72" i="25"/>
  <c r="P72" i="25"/>
  <c r="Q70" i="25"/>
  <c r="Q69" i="25"/>
  <c r="Q68" i="25"/>
  <c r="P68" i="25"/>
  <c r="Q66" i="25"/>
  <c r="Q65" i="25"/>
  <c r="Q64" i="25"/>
  <c r="P64" i="25"/>
  <c r="Q61" i="25"/>
  <c r="Q60" i="25"/>
  <c r="Q59" i="25"/>
  <c r="Q58" i="25"/>
  <c r="P58" i="25"/>
  <c r="Q56" i="25"/>
  <c r="P55" i="25"/>
  <c r="Q55" i="25" s="1"/>
  <c r="Q53" i="25"/>
  <c r="Q52" i="25"/>
  <c r="P52" i="25"/>
  <c r="Q50" i="25"/>
  <c r="P49" i="25"/>
  <c r="Q49" i="25" s="1"/>
  <c r="Q47" i="25"/>
  <c r="Q46" i="25"/>
  <c r="P46" i="25"/>
  <c r="Q44" i="25"/>
  <c r="Q43" i="25"/>
  <c r="P42" i="25"/>
  <c r="Q42" i="25" s="1"/>
  <c r="Q40" i="25"/>
  <c r="Q39" i="25"/>
  <c r="P39" i="25"/>
  <c r="Q37" i="25"/>
  <c r="Q36" i="25"/>
  <c r="Q35" i="25"/>
  <c r="P34" i="25"/>
  <c r="Q34" i="25" s="1"/>
  <c r="Q32" i="25"/>
  <c r="P31" i="25"/>
  <c r="Q31" i="25" s="1"/>
  <c r="Q29" i="25"/>
  <c r="Q28" i="25"/>
  <c r="Q27" i="25"/>
  <c r="Q26" i="25"/>
  <c r="Q25" i="25"/>
  <c r="Q24" i="25"/>
  <c r="Q23" i="25"/>
  <c r="P22" i="25"/>
  <c r="Q22" i="25" s="1"/>
  <c r="Q19" i="25"/>
  <c r="P18" i="25"/>
  <c r="Q18" i="25" s="1"/>
  <c r="Q90" i="24"/>
  <c r="P89" i="24"/>
  <c r="Q89" i="24" s="1"/>
  <c r="Q87" i="24"/>
  <c r="Q86" i="24"/>
  <c r="P86" i="24"/>
  <c r="Q84" i="24"/>
  <c r="P83" i="24"/>
  <c r="Q83" i="24" s="1"/>
  <c r="Q81" i="24"/>
  <c r="Q80" i="24"/>
  <c r="P79" i="24"/>
  <c r="P75" i="24" s="1"/>
  <c r="Q77" i="24"/>
  <c r="Q76" i="24"/>
  <c r="P76" i="24"/>
  <c r="Q73" i="24"/>
  <c r="Q72" i="24"/>
  <c r="P72" i="24"/>
  <c r="Q70" i="24"/>
  <c r="Q69" i="24"/>
  <c r="Q68" i="24"/>
  <c r="P68" i="24"/>
  <c r="Q66" i="24"/>
  <c r="Q65" i="24"/>
  <c r="Q64" i="24"/>
  <c r="P64" i="24"/>
  <c r="Q61" i="24"/>
  <c r="Q60" i="24"/>
  <c r="Q59" i="24"/>
  <c r="Q58" i="24"/>
  <c r="P58" i="24"/>
  <c r="Q56" i="24"/>
  <c r="P55" i="24"/>
  <c r="Q55" i="24" s="1"/>
  <c r="Q53" i="24"/>
  <c r="Q52" i="24"/>
  <c r="P52" i="24"/>
  <c r="Q50" i="24"/>
  <c r="P49" i="24"/>
  <c r="Q49" i="24" s="1"/>
  <c r="Q47" i="24"/>
  <c r="Q46" i="24"/>
  <c r="P46" i="24"/>
  <c r="Q44" i="24"/>
  <c r="Q43" i="24"/>
  <c r="P42" i="24"/>
  <c r="Q42" i="24" s="1"/>
  <c r="Q40" i="24"/>
  <c r="Q39" i="24"/>
  <c r="P39" i="24"/>
  <c r="Q37" i="24"/>
  <c r="Q36" i="24"/>
  <c r="Q35" i="24"/>
  <c r="Q34" i="24"/>
  <c r="Q32" i="24"/>
  <c r="P31" i="24"/>
  <c r="Q31" i="24" s="1"/>
  <c r="Q29" i="24"/>
  <c r="Q28" i="24"/>
  <c r="Q27" i="24"/>
  <c r="Q26" i="24"/>
  <c r="Q25" i="24"/>
  <c r="Q24" i="24"/>
  <c r="Q23" i="24"/>
  <c r="P22" i="24"/>
  <c r="Q19" i="24"/>
  <c r="P18" i="24"/>
  <c r="Q18" i="24" s="1"/>
  <c r="Q90" i="23"/>
  <c r="P89" i="23"/>
  <c r="Q89" i="23" s="1"/>
  <c r="Q87" i="23"/>
  <c r="Q86" i="23"/>
  <c r="P86" i="23"/>
  <c r="Q84" i="23"/>
  <c r="P83" i="23"/>
  <c r="Q83" i="23" s="1"/>
  <c r="Q81" i="23"/>
  <c r="Q80" i="23"/>
  <c r="P79" i="23"/>
  <c r="P75" i="23" s="1"/>
  <c r="Q77" i="23"/>
  <c r="P76" i="23"/>
  <c r="Q76" i="23" s="1"/>
  <c r="Q73" i="23"/>
  <c r="P72" i="23"/>
  <c r="Q72" i="23" s="1"/>
  <c r="Q70" i="23"/>
  <c r="Q69" i="23"/>
  <c r="P68" i="23"/>
  <c r="Q68" i="23" s="1"/>
  <c r="Q66" i="23"/>
  <c r="Q65" i="23"/>
  <c r="P64" i="23"/>
  <c r="Q64" i="23" s="1"/>
  <c r="Q61" i="23"/>
  <c r="Q60" i="23"/>
  <c r="Q59" i="23"/>
  <c r="P58" i="23"/>
  <c r="Q58" i="23" s="1"/>
  <c r="Q56" i="23"/>
  <c r="P55" i="23"/>
  <c r="Q55" i="23" s="1"/>
  <c r="Q53" i="23"/>
  <c r="Q52" i="23"/>
  <c r="P52" i="23"/>
  <c r="Q50" i="23"/>
  <c r="P49" i="23"/>
  <c r="Q49" i="23" s="1"/>
  <c r="Q47" i="23"/>
  <c r="P46" i="23"/>
  <c r="Q46" i="23" s="1"/>
  <c r="Q44" i="23"/>
  <c r="Q43" i="23"/>
  <c r="P42" i="23"/>
  <c r="Q42" i="23" s="1"/>
  <c r="Q40" i="23"/>
  <c r="Q39" i="23"/>
  <c r="P39" i="23"/>
  <c r="Q37" i="23"/>
  <c r="Q36" i="23"/>
  <c r="Q35" i="23"/>
  <c r="P34" i="23"/>
  <c r="Q34" i="23" s="1"/>
  <c r="Q32" i="23"/>
  <c r="P31" i="23"/>
  <c r="Q31" i="23" s="1"/>
  <c r="Q29" i="23"/>
  <c r="Q28" i="23"/>
  <c r="Q27" i="23"/>
  <c r="Q26" i="23"/>
  <c r="Q25" i="23"/>
  <c r="Q24" i="23"/>
  <c r="Q23" i="23"/>
  <c r="P22" i="23"/>
  <c r="Q22" i="23" s="1"/>
  <c r="Q19" i="23"/>
  <c r="P18" i="23"/>
  <c r="Q18" i="23" s="1"/>
  <c r="Q90" i="22"/>
  <c r="Q89" i="22"/>
  <c r="P89" i="22"/>
  <c r="Q87" i="22"/>
  <c r="P86" i="22"/>
  <c r="Q86" i="22" s="1"/>
  <c r="Q84" i="22"/>
  <c r="Q83" i="22"/>
  <c r="P83" i="22"/>
  <c r="Q81" i="22"/>
  <c r="Q80" i="22"/>
  <c r="P79" i="22"/>
  <c r="Q79" i="22" s="1"/>
  <c r="Q77" i="22"/>
  <c r="P76" i="22"/>
  <c r="Q76" i="22" s="1"/>
  <c r="P75" i="22"/>
  <c r="Q75" i="22" s="1"/>
  <c r="Q73" i="22"/>
  <c r="P72" i="22"/>
  <c r="Q72" i="22" s="1"/>
  <c r="Q70" i="22"/>
  <c r="Q69" i="22"/>
  <c r="P68" i="22"/>
  <c r="Q68" i="22" s="1"/>
  <c r="Q66" i="22"/>
  <c r="Q65" i="22"/>
  <c r="Q64" i="22"/>
  <c r="P64" i="22"/>
  <c r="Q61" i="22"/>
  <c r="Q60" i="22"/>
  <c r="Q59" i="22"/>
  <c r="P58" i="22"/>
  <c r="Q58" i="22" s="1"/>
  <c r="Q56" i="22"/>
  <c r="P55" i="22"/>
  <c r="Q55" i="22" s="1"/>
  <c r="Q53" i="22"/>
  <c r="P52" i="22"/>
  <c r="Q52" i="22" s="1"/>
  <c r="Q50" i="22"/>
  <c r="P49" i="22"/>
  <c r="Q49" i="22" s="1"/>
  <c r="Q47" i="22"/>
  <c r="P46" i="22"/>
  <c r="Q46" i="22" s="1"/>
  <c r="Q44" i="22"/>
  <c r="Q43" i="22"/>
  <c r="P42" i="22"/>
  <c r="Q42" i="22" s="1"/>
  <c r="Q40" i="22"/>
  <c r="P39" i="22"/>
  <c r="Q39" i="22" s="1"/>
  <c r="Q37" i="22"/>
  <c r="Q36" i="22"/>
  <c r="Q35" i="22"/>
  <c r="P34" i="22"/>
  <c r="Q34" i="22" s="1"/>
  <c r="Q32" i="22"/>
  <c r="P31" i="22"/>
  <c r="Q31" i="22" s="1"/>
  <c r="Q29" i="22"/>
  <c r="Q28" i="22"/>
  <c r="Q27" i="22"/>
  <c r="Q26" i="22"/>
  <c r="Q25" i="22"/>
  <c r="Q24" i="22"/>
  <c r="Q23" i="22"/>
  <c r="P22" i="22"/>
  <c r="Q19" i="22"/>
  <c r="P18" i="22"/>
  <c r="Q18" i="22" s="1"/>
  <c r="P15" i="22"/>
  <c r="Q15" i="22" s="1"/>
  <c r="Q90" i="21"/>
  <c r="Q89" i="21"/>
  <c r="P89" i="21"/>
  <c r="Q87" i="21"/>
  <c r="P86" i="21"/>
  <c r="Q86" i="21" s="1"/>
  <c r="Q84" i="21"/>
  <c r="P83" i="21"/>
  <c r="Q83" i="21" s="1"/>
  <c r="Q81" i="21"/>
  <c r="Q80" i="21"/>
  <c r="P79" i="21"/>
  <c r="Q79" i="21" s="1"/>
  <c r="Q77" i="21"/>
  <c r="Q76" i="21"/>
  <c r="P76" i="21"/>
  <c r="P75" i="21"/>
  <c r="P15" i="21" s="1"/>
  <c r="Q73" i="21"/>
  <c r="P72" i="21"/>
  <c r="Q72" i="21" s="1"/>
  <c r="Q70" i="21"/>
  <c r="Q69" i="21"/>
  <c r="P68" i="21"/>
  <c r="Q68" i="21" s="1"/>
  <c r="Q66" i="21"/>
  <c r="Q65" i="21"/>
  <c r="P64" i="21"/>
  <c r="Q64" i="21" s="1"/>
  <c r="Q61" i="21"/>
  <c r="Q60" i="21"/>
  <c r="Q59" i="21"/>
  <c r="P58" i="21"/>
  <c r="Q58" i="21" s="1"/>
  <c r="Q56" i="21"/>
  <c r="Q55" i="21"/>
  <c r="P55" i="21"/>
  <c r="Q53" i="21"/>
  <c r="P52" i="21"/>
  <c r="Q52" i="21" s="1"/>
  <c r="Q50" i="21"/>
  <c r="P49" i="21"/>
  <c r="Q49" i="21" s="1"/>
  <c r="Q47" i="21"/>
  <c r="P46" i="21"/>
  <c r="Q46" i="21" s="1"/>
  <c r="Q44" i="21"/>
  <c r="Q43" i="21"/>
  <c r="P42" i="21"/>
  <c r="Q42" i="21" s="1"/>
  <c r="Q40" i="21"/>
  <c r="O40" i="21"/>
  <c r="P39" i="21"/>
  <c r="Q39" i="21" s="1"/>
  <c r="Q37" i="21"/>
  <c r="Q36" i="21"/>
  <c r="Q35" i="21"/>
  <c r="Q34" i="21"/>
  <c r="P34" i="21"/>
  <c r="Q32" i="21"/>
  <c r="P31" i="21"/>
  <c r="Q31" i="21" s="1"/>
  <c r="Q29" i="21"/>
  <c r="Q28" i="21"/>
  <c r="Q27" i="21"/>
  <c r="Q26" i="21"/>
  <c r="Q25" i="21"/>
  <c r="Q24" i="21"/>
  <c r="Q23" i="21"/>
  <c r="P22" i="21"/>
  <c r="P21" i="21" s="1"/>
  <c r="Q19" i="21"/>
  <c r="Q18" i="21"/>
  <c r="P18" i="21"/>
  <c r="Q17" i="21"/>
  <c r="P17" i="21"/>
  <c r="Q13" i="21"/>
  <c r="P13" i="21"/>
  <c r="R40" i="20"/>
  <c r="S40" i="20" s="1"/>
  <c r="R50" i="20"/>
  <c r="R49" i="20" s="1"/>
  <c r="R65" i="20"/>
  <c r="S65" i="20" s="1"/>
  <c r="T90" i="20"/>
  <c r="T87" i="20"/>
  <c r="T84" i="20"/>
  <c r="T80" i="20"/>
  <c r="T79" i="20" s="1"/>
  <c r="T81" i="20"/>
  <c r="T77" i="20"/>
  <c r="T73" i="20"/>
  <c r="T70" i="20"/>
  <c r="T68" i="20" s="1"/>
  <c r="T66" i="20"/>
  <c r="T65" i="20"/>
  <c r="T62" i="20"/>
  <c r="T61" i="20"/>
  <c r="T60" i="20"/>
  <c r="T59" i="20"/>
  <c r="T56" i="20"/>
  <c r="T53" i="20"/>
  <c r="T50" i="20"/>
  <c r="T49" i="20" s="1"/>
  <c r="T40" i="20"/>
  <c r="T39" i="20" s="1"/>
  <c r="T37" i="20"/>
  <c r="T29" i="20"/>
  <c r="T28" i="20"/>
  <c r="T26" i="20"/>
  <c r="T25" i="20"/>
  <c r="T23" i="20"/>
  <c r="R39" i="20"/>
  <c r="R62" i="20"/>
  <c r="T64" i="20"/>
  <c r="O50" i="20"/>
  <c r="Q50" i="20"/>
  <c r="S50" i="20"/>
  <c r="P49" i="20"/>
  <c r="N49" i="20"/>
  <c r="Q40" i="20"/>
  <c r="O40" i="20"/>
  <c r="Q35" i="20"/>
  <c r="P39" i="20"/>
  <c r="N39" i="20"/>
  <c r="O39" i="20" s="1"/>
  <c r="M89" i="31"/>
  <c r="M86" i="31"/>
  <c r="M83" i="31"/>
  <c r="M79" i="31"/>
  <c r="M75" i="31" s="1"/>
  <c r="M76" i="31"/>
  <c r="M72" i="31"/>
  <c r="M68" i="31"/>
  <c r="M64" i="31"/>
  <c r="M58" i="31"/>
  <c r="M55" i="31"/>
  <c r="M52" i="31"/>
  <c r="M49" i="31"/>
  <c r="M46" i="31"/>
  <c r="M42" i="31"/>
  <c r="M39" i="31"/>
  <c r="M34" i="31"/>
  <c r="M31" i="31"/>
  <c r="M22" i="31"/>
  <c r="M21" i="31"/>
  <c r="M89" i="30"/>
  <c r="M86" i="30"/>
  <c r="M83" i="30"/>
  <c r="M79" i="30"/>
  <c r="M76" i="30"/>
  <c r="M72" i="30"/>
  <c r="M68" i="30"/>
  <c r="M64" i="30"/>
  <c r="M58" i="30"/>
  <c r="M55" i="30"/>
  <c r="M52" i="30"/>
  <c r="M49" i="30"/>
  <c r="M46" i="30"/>
  <c r="M42" i="30"/>
  <c r="M39" i="30"/>
  <c r="M34" i="30"/>
  <c r="M31" i="30"/>
  <c r="M22" i="30"/>
  <c r="M21" i="30"/>
  <c r="M89" i="29"/>
  <c r="M86" i="29"/>
  <c r="M83" i="29"/>
  <c r="M79" i="29"/>
  <c r="M76" i="29"/>
  <c r="M72" i="29"/>
  <c r="Q72" i="29" s="1"/>
  <c r="M68" i="29"/>
  <c r="Q68" i="29" s="1"/>
  <c r="M64" i="29"/>
  <c r="Q64" i="29" s="1"/>
  <c r="M58" i="29"/>
  <c r="M55" i="29"/>
  <c r="M52" i="29"/>
  <c r="Q52" i="29" s="1"/>
  <c r="M49" i="29"/>
  <c r="M46" i="29"/>
  <c r="M42" i="29"/>
  <c r="M39" i="29"/>
  <c r="M34" i="29"/>
  <c r="M31" i="29"/>
  <c r="M22" i="29"/>
  <c r="M89" i="28"/>
  <c r="M86" i="28"/>
  <c r="M83" i="28"/>
  <c r="M79" i="28"/>
  <c r="M76" i="28"/>
  <c r="M72" i="28"/>
  <c r="M68" i="28"/>
  <c r="M64" i="28"/>
  <c r="M58" i="28"/>
  <c r="M55" i="28"/>
  <c r="M52" i="28"/>
  <c r="M49" i="28"/>
  <c r="M46" i="28"/>
  <c r="M42" i="28"/>
  <c r="M39" i="28"/>
  <c r="M34" i="28"/>
  <c r="M31" i="28"/>
  <c r="M22" i="28"/>
  <c r="M21" i="28"/>
  <c r="M89" i="27"/>
  <c r="M86" i="27"/>
  <c r="M83" i="27"/>
  <c r="M79" i="27"/>
  <c r="M76" i="27"/>
  <c r="M72" i="27"/>
  <c r="M68" i="27"/>
  <c r="M64" i="27"/>
  <c r="M58" i="27"/>
  <c r="M55" i="27"/>
  <c r="M52" i="27"/>
  <c r="M49" i="27"/>
  <c r="M46" i="27"/>
  <c r="M42" i="27"/>
  <c r="M39" i="27"/>
  <c r="M34" i="27"/>
  <c r="M31" i="27"/>
  <c r="M22" i="27"/>
  <c r="M21" i="27"/>
  <c r="M89" i="26"/>
  <c r="M86" i="26"/>
  <c r="M83" i="26"/>
  <c r="M79" i="26"/>
  <c r="M75" i="26" s="1"/>
  <c r="M76" i="26"/>
  <c r="M72" i="26"/>
  <c r="M68" i="26"/>
  <c r="M64" i="26"/>
  <c r="M58" i="26"/>
  <c r="M55" i="26"/>
  <c r="M52" i="26"/>
  <c r="M49" i="26"/>
  <c r="M46" i="26"/>
  <c r="M42" i="26"/>
  <c r="M39" i="26"/>
  <c r="M34" i="26"/>
  <c r="M21" i="26" s="1"/>
  <c r="M31" i="26"/>
  <c r="M22" i="26"/>
  <c r="M89" i="25"/>
  <c r="M86" i="25"/>
  <c r="M83" i="25"/>
  <c r="M79" i="25"/>
  <c r="M75" i="25" s="1"/>
  <c r="M76" i="25"/>
  <c r="M72" i="25"/>
  <c r="M68" i="25"/>
  <c r="M64" i="25"/>
  <c r="M58" i="25"/>
  <c r="M55" i="25"/>
  <c r="M52" i="25"/>
  <c r="M49" i="25"/>
  <c r="M46" i="25"/>
  <c r="M42" i="25"/>
  <c r="M39" i="25"/>
  <c r="M34" i="25"/>
  <c r="M31" i="25"/>
  <c r="M22" i="25"/>
  <c r="M21" i="25"/>
  <c r="M89" i="24"/>
  <c r="M86" i="24"/>
  <c r="M83" i="24"/>
  <c r="M79" i="24"/>
  <c r="M75" i="24" s="1"/>
  <c r="M76" i="24"/>
  <c r="M72" i="24"/>
  <c r="M68" i="24"/>
  <c r="M64" i="24"/>
  <c r="M58" i="24"/>
  <c r="M55" i="24"/>
  <c r="M52" i="24"/>
  <c r="M49" i="24"/>
  <c r="M46" i="24"/>
  <c r="M42" i="24"/>
  <c r="M39" i="24"/>
  <c r="M34" i="24"/>
  <c r="M31" i="24"/>
  <c r="M22" i="24"/>
  <c r="M21" i="24"/>
  <c r="M89" i="23"/>
  <c r="M86" i="23"/>
  <c r="M83" i="23"/>
  <c r="M79" i="23"/>
  <c r="M76" i="23"/>
  <c r="M72" i="23"/>
  <c r="M68" i="23"/>
  <c r="M64" i="23"/>
  <c r="M58" i="23"/>
  <c r="M55" i="23"/>
  <c r="M52" i="23"/>
  <c r="M49" i="23"/>
  <c r="M46" i="23"/>
  <c r="M42" i="23"/>
  <c r="M39" i="23"/>
  <c r="M34" i="23"/>
  <c r="M31" i="23"/>
  <c r="M22" i="23"/>
  <c r="M21" i="23"/>
  <c r="M89" i="22"/>
  <c r="M86" i="22"/>
  <c r="M83" i="22"/>
  <c r="M79" i="22"/>
  <c r="M76" i="22"/>
  <c r="M72" i="22"/>
  <c r="M68" i="22"/>
  <c r="M64" i="22"/>
  <c r="M58" i="22"/>
  <c r="M55" i="22"/>
  <c r="M52" i="22"/>
  <c r="M49" i="22"/>
  <c r="M46" i="22"/>
  <c r="M42" i="22"/>
  <c r="M39" i="22"/>
  <c r="M34" i="22"/>
  <c r="M31" i="22"/>
  <c r="M22" i="22"/>
  <c r="M21" i="22"/>
  <c r="M89" i="21"/>
  <c r="M86" i="21"/>
  <c r="M83" i="21"/>
  <c r="M79" i="21"/>
  <c r="M75" i="21" s="1"/>
  <c r="M76" i="21"/>
  <c r="M72" i="21"/>
  <c r="M68" i="21"/>
  <c r="M64" i="21"/>
  <c r="M58" i="21"/>
  <c r="M55" i="21"/>
  <c r="M52" i="21"/>
  <c r="M49" i="21"/>
  <c r="M46" i="21"/>
  <c r="M42" i="21"/>
  <c r="M39" i="21"/>
  <c r="M34" i="21"/>
  <c r="M31" i="21"/>
  <c r="M22" i="21"/>
  <c r="N16" i="31"/>
  <c r="N20" i="31"/>
  <c r="N30" i="31"/>
  <c r="N33" i="31"/>
  <c r="N38" i="31"/>
  <c r="N41" i="31"/>
  <c r="N45" i="31"/>
  <c r="N48" i="31"/>
  <c r="N51" i="31"/>
  <c r="N54" i="31"/>
  <c r="N57" i="31"/>
  <c r="N63" i="31"/>
  <c r="N67" i="31"/>
  <c r="N71" i="31"/>
  <c r="N74" i="31"/>
  <c r="N78" i="31"/>
  <c r="N82" i="31"/>
  <c r="N85" i="31"/>
  <c r="N88" i="31"/>
  <c r="N16" i="30"/>
  <c r="N20" i="30"/>
  <c r="N30" i="30"/>
  <c r="N33" i="30"/>
  <c r="N38" i="30"/>
  <c r="N41" i="30"/>
  <c r="N45" i="30"/>
  <c r="N48" i="30"/>
  <c r="N51" i="30"/>
  <c r="N54" i="30"/>
  <c r="N57" i="30"/>
  <c r="N63" i="30"/>
  <c r="N67" i="30"/>
  <c r="N71" i="30"/>
  <c r="N74" i="30"/>
  <c r="N78" i="30"/>
  <c r="N82" i="30"/>
  <c r="N85" i="30"/>
  <c r="N88" i="30"/>
  <c r="N16" i="29"/>
  <c r="N20" i="29"/>
  <c r="N30" i="29"/>
  <c r="N33" i="29"/>
  <c r="N38" i="29"/>
  <c r="N41" i="29"/>
  <c r="N45" i="29"/>
  <c r="N48" i="29"/>
  <c r="N51" i="29"/>
  <c r="N54" i="29"/>
  <c r="N57" i="29"/>
  <c r="N63" i="29"/>
  <c r="N67" i="29"/>
  <c r="N71" i="29"/>
  <c r="N74" i="29"/>
  <c r="N78" i="29"/>
  <c r="N82" i="29"/>
  <c r="N85" i="29"/>
  <c r="N88" i="29"/>
  <c r="N16" i="28"/>
  <c r="N20" i="28"/>
  <c r="N30" i="28"/>
  <c r="N33" i="28"/>
  <c r="N38" i="28"/>
  <c r="N41" i="28"/>
  <c r="N45" i="28"/>
  <c r="N48" i="28"/>
  <c r="N51" i="28"/>
  <c r="N54" i="28"/>
  <c r="N57" i="28"/>
  <c r="N63" i="28"/>
  <c r="N67" i="28"/>
  <c r="N71" i="28"/>
  <c r="N74" i="28"/>
  <c r="N78" i="28"/>
  <c r="N82" i="28"/>
  <c r="N85" i="28"/>
  <c r="N88" i="28"/>
  <c r="N16" i="27"/>
  <c r="N20" i="27"/>
  <c r="N30" i="27"/>
  <c r="N33" i="27"/>
  <c r="N38" i="27"/>
  <c r="N41" i="27"/>
  <c r="N45" i="27"/>
  <c r="N48" i="27"/>
  <c r="N51" i="27"/>
  <c r="N54" i="27"/>
  <c r="N57" i="27"/>
  <c r="N63" i="27"/>
  <c r="N67" i="27"/>
  <c r="N71" i="27"/>
  <c r="N74" i="27"/>
  <c r="N78" i="27"/>
  <c r="N82" i="27"/>
  <c r="N85" i="27"/>
  <c r="N88" i="27"/>
  <c r="N16" i="26"/>
  <c r="N20" i="26"/>
  <c r="N30" i="26"/>
  <c r="N33" i="26"/>
  <c r="N38" i="26"/>
  <c r="N41" i="26"/>
  <c r="N45" i="26"/>
  <c r="N48" i="26"/>
  <c r="N51" i="26"/>
  <c r="N54" i="26"/>
  <c r="N57" i="26"/>
  <c r="N63" i="26"/>
  <c r="N67" i="26"/>
  <c r="N71" i="26"/>
  <c r="N74" i="26"/>
  <c r="N78" i="26"/>
  <c r="N82" i="26"/>
  <c r="N85" i="26"/>
  <c r="N88" i="26"/>
  <c r="N16" i="25"/>
  <c r="N20" i="25"/>
  <c r="N30" i="25"/>
  <c r="N33" i="25"/>
  <c r="N38" i="25"/>
  <c r="N41" i="25"/>
  <c r="N45" i="25"/>
  <c r="N48" i="25"/>
  <c r="N51" i="25"/>
  <c r="N54" i="25"/>
  <c r="N57" i="25"/>
  <c r="N63" i="25"/>
  <c r="N67" i="25"/>
  <c r="N71" i="25"/>
  <c r="N74" i="25"/>
  <c r="N78" i="25"/>
  <c r="N82" i="25"/>
  <c r="N85" i="25"/>
  <c r="N88" i="25"/>
  <c r="N16" i="24"/>
  <c r="N20" i="24"/>
  <c r="N30" i="24"/>
  <c r="N33" i="24"/>
  <c r="N38" i="24"/>
  <c r="N41" i="24"/>
  <c r="N45" i="24"/>
  <c r="N48" i="24"/>
  <c r="N51" i="24"/>
  <c r="N54" i="24"/>
  <c r="N57" i="24"/>
  <c r="N63" i="24"/>
  <c r="N67" i="24"/>
  <c r="N71" i="24"/>
  <c r="N74" i="24"/>
  <c r="N78" i="24"/>
  <c r="N82" i="24"/>
  <c r="N85" i="24"/>
  <c r="N88" i="24"/>
  <c r="N16" i="23"/>
  <c r="N20" i="23"/>
  <c r="N30" i="23"/>
  <c r="N33" i="23"/>
  <c r="N38" i="23"/>
  <c r="N41" i="23"/>
  <c r="N45" i="23"/>
  <c r="N48" i="23"/>
  <c r="N51" i="23"/>
  <c r="N54" i="23"/>
  <c r="N57" i="23"/>
  <c r="N63" i="23"/>
  <c r="N67" i="23"/>
  <c r="N71" i="23"/>
  <c r="N74" i="23"/>
  <c r="N78" i="23"/>
  <c r="N82" i="23"/>
  <c r="N85" i="23"/>
  <c r="N88" i="23"/>
  <c r="N16" i="22"/>
  <c r="N20" i="22"/>
  <c r="N30" i="22"/>
  <c r="N33" i="22"/>
  <c r="N38" i="22"/>
  <c r="N41" i="22"/>
  <c r="N45" i="22"/>
  <c r="N48" i="22"/>
  <c r="N51" i="22"/>
  <c r="N54" i="22"/>
  <c r="N57" i="22"/>
  <c r="N63" i="22"/>
  <c r="N67" i="22"/>
  <c r="N71" i="22"/>
  <c r="N74" i="22"/>
  <c r="N78" i="22"/>
  <c r="N82" i="22"/>
  <c r="N85" i="22"/>
  <c r="N88" i="22"/>
  <c r="N16" i="21"/>
  <c r="N20" i="21"/>
  <c r="N30" i="21"/>
  <c r="N33" i="21"/>
  <c r="N38" i="21"/>
  <c r="N40" i="21"/>
  <c r="R40" i="21" s="1"/>
  <c r="N41" i="21"/>
  <c r="N45" i="21"/>
  <c r="N48" i="21"/>
  <c r="N50" i="21"/>
  <c r="R50" i="21" s="1"/>
  <c r="N51" i="21"/>
  <c r="N54" i="21"/>
  <c r="N57" i="21"/>
  <c r="N62" i="21"/>
  <c r="R62" i="21" s="1"/>
  <c r="N63" i="21"/>
  <c r="N67" i="21"/>
  <c r="N71" i="21"/>
  <c r="N74" i="21"/>
  <c r="N78" i="21"/>
  <c r="N80" i="21"/>
  <c r="O80" i="21" s="1"/>
  <c r="N82" i="21"/>
  <c r="N85" i="21"/>
  <c r="N88" i="21"/>
  <c r="R19" i="20"/>
  <c r="N19" i="21" s="1"/>
  <c r="R90" i="20"/>
  <c r="R89" i="20" s="1"/>
  <c r="R87" i="20"/>
  <c r="R86" i="20" s="1"/>
  <c r="R84" i="20"/>
  <c r="N84" i="21" s="1"/>
  <c r="O84" i="21" s="1"/>
  <c r="R81" i="20"/>
  <c r="R80" i="20"/>
  <c r="T89" i="20"/>
  <c r="T86" i="20"/>
  <c r="T83" i="20"/>
  <c r="P76" i="20"/>
  <c r="R77" i="20"/>
  <c r="N77" i="21" s="1"/>
  <c r="R73" i="20"/>
  <c r="N73" i="21" s="1"/>
  <c r="R70" i="20"/>
  <c r="S70" i="20" s="1"/>
  <c r="R69" i="20"/>
  <c r="N69" i="21" s="1"/>
  <c r="P89" i="20"/>
  <c r="N89" i="20"/>
  <c r="P86" i="20"/>
  <c r="N86" i="20"/>
  <c r="R83" i="20"/>
  <c r="N83" i="21" s="1"/>
  <c r="O83" i="21" s="1"/>
  <c r="P83" i="20"/>
  <c r="N83" i="20"/>
  <c r="S80" i="20"/>
  <c r="S84" i="20"/>
  <c r="S87" i="20"/>
  <c r="Q80" i="20"/>
  <c r="Q81" i="20"/>
  <c r="Q84" i="20"/>
  <c r="Q87" i="20"/>
  <c r="Q90" i="20"/>
  <c r="O80" i="20"/>
  <c r="O81" i="20"/>
  <c r="O84" i="20"/>
  <c r="O87" i="20"/>
  <c r="O90" i="20"/>
  <c r="P79" i="20"/>
  <c r="Q79" i="20" s="1"/>
  <c r="N79" i="20"/>
  <c r="M79" i="20"/>
  <c r="N55" i="20"/>
  <c r="M89" i="20"/>
  <c r="Q89" i="20" s="1"/>
  <c r="M86" i="20"/>
  <c r="O86" i="20" s="1"/>
  <c r="M83" i="20"/>
  <c r="T76" i="20"/>
  <c r="M76" i="20"/>
  <c r="P68" i="20"/>
  <c r="N68" i="20"/>
  <c r="N64" i="20"/>
  <c r="N58" i="20"/>
  <c r="Q70" i="20"/>
  <c r="O70" i="20"/>
  <c r="M68" i="20"/>
  <c r="O65" i="20"/>
  <c r="O66" i="20"/>
  <c r="Q65" i="20"/>
  <c r="Q66" i="20"/>
  <c r="P64" i="20"/>
  <c r="M64" i="20"/>
  <c r="P58" i="20"/>
  <c r="M58" i="20"/>
  <c r="M49" i="20"/>
  <c r="M39" i="20"/>
  <c r="P31" i="20"/>
  <c r="N31" i="20"/>
  <c r="M31" i="20"/>
  <c r="Q39" i="29" l="1"/>
  <c r="Q83" i="29"/>
  <c r="Q46" i="29"/>
  <c r="Q58" i="29"/>
  <c r="M21" i="29"/>
  <c r="Q86" i="29"/>
  <c r="Q42" i="29"/>
  <c r="P75" i="29"/>
  <c r="P15" i="29" s="1"/>
  <c r="Q89" i="29"/>
  <c r="Q34" i="29"/>
  <c r="Q22" i="29"/>
  <c r="Q49" i="29"/>
  <c r="P21" i="29"/>
  <c r="P14" i="29" s="1"/>
  <c r="P21" i="28"/>
  <c r="P14" i="28" s="1"/>
  <c r="Q14" i="28" s="1"/>
  <c r="P17" i="27"/>
  <c r="P13" i="27" s="1"/>
  <c r="P21" i="27"/>
  <c r="Q21" i="27" s="1"/>
  <c r="P75" i="27"/>
  <c r="Q75" i="27" s="1"/>
  <c r="Q49" i="26"/>
  <c r="Q68" i="26"/>
  <c r="Q83" i="26"/>
  <c r="Q22" i="26"/>
  <c r="Q31" i="26"/>
  <c r="Q55" i="26"/>
  <c r="P75" i="26"/>
  <c r="Q75" i="26" s="1"/>
  <c r="Q89" i="26"/>
  <c r="Q34" i="26"/>
  <c r="P17" i="26"/>
  <c r="P13" i="26" s="1"/>
  <c r="Q42" i="26"/>
  <c r="P21" i="26"/>
  <c r="P75" i="25"/>
  <c r="P21" i="25"/>
  <c r="P14" i="25" s="1"/>
  <c r="Q14" i="25" s="1"/>
  <c r="P17" i="25"/>
  <c r="P13" i="25" s="1"/>
  <c r="Q22" i="24"/>
  <c r="P21" i="24"/>
  <c r="Q21" i="24" s="1"/>
  <c r="P17" i="24"/>
  <c r="P13" i="24" s="1"/>
  <c r="P21" i="23"/>
  <c r="P17" i="23"/>
  <c r="P13" i="23" s="1"/>
  <c r="Q13" i="23" s="1"/>
  <c r="M21" i="21"/>
  <c r="Q22" i="21"/>
  <c r="Q22" i="22"/>
  <c r="P21" i="22"/>
  <c r="P17" i="22"/>
  <c r="Q49" i="20"/>
  <c r="M75" i="20"/>
  <c r="O83" i="20"/>
  <c r="Q86" i="20"/>
  <c r="R76" i="20"/>
  <c r="N76" i="21" s="1"/>
  <c r="O76" i="21" s="1"/>
  <c r="O49" i="20"/>
  <c r="O79" i="20"/>
  <c r="R79" i="20"/>
  <c r="N79" i="21" s="1"/>
  <c r="O79" i="21" s="1"/>
  <c r="Q39" i="20"/>
  <c r="S62" i="21"/>
  <c r="N62" i="22"/>
  <c r="R62" i="22" s="1"/>
  <c r="R49" i="21"/>
  <c r="N50" i="22"/>
  <c r="S40" i="21"/>
  <c r="R39" i="21"/>
  <c r="N40" i="22"/>
  <c r="R77" i="21"/>
  <c r="O77" i="21"/>
  <c r="R73" i="21"/>
  <c r="O73" i="21"/>
  <c r="Q83" i="20"/>
  <c r="O89" i="20"/>
  <c r="N87" i="21"/>
  <c r="N65" i="21"/>
  <c r="O50" i="21"/>
  <c r="R80" i="21"/>
  <c r="S80" i="21" s="1"/>
  <c r="R84" i="21"/>
  <c r="S81" i="20"/>
  <c r="S83" i="20"/>
  <c r="P75" i="20"/>
  <c r="S86" i="20"/>
  <c r="N90" i="21"/>
  <c r="N86" i="21"/>
  <c r="O86" i="21" s="1"/>
  <c r="N70" i="21"/>
  <c r="S39" i="20"/>
  <c r="S89" i="20"/>
  <c r="N89" i="21"/>
  <c r="O89" i="21" s="1"/>
  <c r="N81" i="21"/>
  <c r="R69" i="21"/>
  <c r="O69" i="21"/>
  <c r="R19" i="21"/>
  <c r="O19" i="21"/>
  <c r="Q75" i="31"/>
  <c r="P15" i="31"/>
  <c r="Q13" i="31"/>
  <c r="P12" i="31"/>
  <c r="Q12" i="31" s="1"/>
  <c r="Q14" i="31"/>
  <c r="T21" i="31"/>
  <c r="T14" i="31" s="1"/>
  <c r="T12" i="31" s="1"/>
  <c r="Q17" i="31"/>
  <c r="Q21" i="31"/>
  <c r="Q79" i="31"/>
  <c r="Q13" i="30"/>
  <c r="P15" i="30"/>
  <c r="Q75" i="30"/>
  <c r="T21" i="30"/>
  <c r="T14" i="30" s="1"/>
  <c r="T12" i="30" s="1"/>
  <c r="T75" i="30"/>
  <c r="T15" i="30" s="1"/>
  <c r="P14" i="30"/>
  <c r="P12" i="30" s="1"/>
  <c r="Q12" i="30" s="1"/>
  <c r="Q17" i="30"/>
  <c r="Q79" i="30"/>
  <c r="Q79" i="29"/>
  <c r="P15" i="28"/>
  <c r="Q75" i="28"/>
  <c r="Q13" i="28"/>
  <c r="Q17" i="28"/>
  <c r="Q79" i="28"/>
  <c r="P15" i="27"/>
  <c r="Q13" i="27"/>
  <c r="Q17" i="27"/>
  <c r="Q79" i="27"/>
  <c r="Q79" i="26"/>
  <c r="Q75" i="25"/>
  <c r="P15" i="25"/>
  <c r="Q13" i="25"/>
  <c r="P12" i="25"/>
  <c r="Q12" i="25" s="1"/>
  <c r="Q17" i="25"/>
  <c r="Q79" i="25"/>
  <c r="P15" i="24"/>
  <c r="Q75" i="24"/>
  <c r="Q13" i="24"/>
  <c r="Q17" i="24"/>
  <c r="Q79" i="24"/>
  <c r="P15" i="23"/>
  <c r="Q75" i="23"/>
  <c r="Q79" i="23"/>
  <c r="Q15" i="21"/>
  <c r="S50" i="21"/>
  <c r="Q75" i="21"/>
  <c r="S84" i="21"/>
  <c r="N39" i="21"/>
  <c r="O39" i="21" s="1"/>
  <c r="N49" i="21"/>
  <c r="O49" i="21" s="1"/>
  <c r="S49" i="20"/>
  <c r="M75" i="30"/>
  <c r="M75" i="29"/>
  <c r="Q75" i="29" s="1"/>
  <c r="M75" i="28"/>
  <c r="M75" i="27"/>
  <c r="M75" i="23"/>
  <c r="M75" i="22"/>
  <c r="S90" i="20"/>
  <c r="R75" i="20"/>
  <c r="N75" i="21" s="1"/>
  <c r="O75" i="21" s="1"/>
  <c r="S79" i="20"/>
  <c r="T75" i="20"/>
  <c r="P12" i="29" l="1"/>
  <c r="Q21" i="29"/>
  <c r="Q21" i="28"/>
  <c r="P14" i="27"/>
  <c r="Q14" i="27" s="1"/>
  <c r="P15" i="26"/>
  <c r="Q21" i="26"/>
  <c r="P14" i="26"/>
  <c r="Q21" i="25"/>
  <c r="P14" i="24"/>
  <c r="Q14" i="24" s="1"/>
  <c r="Q21" i="23"/>
  <c r="P14" i="23"/>
  <c r="Q14" i="23" s="1"/>
  <c r="Q17" i="23"/>
  <c r="Q21" i="22"/>
  <c r="P14" i="22"/>
  <c r="Q14" i="22" s="1"/>
  <c r="Q17" i="22"/>
  <c r="P13" i="22"/>
  <c r="S77" i="21"/>
  <c r="R76" i="21"/>
  <c r="N77" i="22"/>
  <c r="O50" i="22"/>
  <c r="R50" i="22"/>
  <c r="R90" i="21"/>
  <c r="O90" i="21"/>
  <c r="O65" i="21"/>
  <c r="R65" i="21"/>
  <c r="R40" i="22"/>
  <c r="O40" i="22"/>
  <c r="S49" i="21"/>
  <c r="N49" i="22"/>
  <c r="O49" i="22" s="1"/>
  <c r="R83" i="21"/>
  <c r="N84" i="22"/>
  <c r="R87" i="21"/>
  <c r="O87" i="21"/>
  <c r="S73" i="21"/>
  <c r="N73" i="22"/>
  <c r="R72" i="21"/>
  <c r="S39" i="21"/>
  <c r="N39" i="22"/>
  <c r="O39" i="22" s="1"/>
  <c r="S62" i="22"/>
  <c r="N62" i="23"/>
  <c r="R62" i="23" s="1"/>
  <c r="O81" i="21"/>
  <c r="R81" i="21"/>
  <c r="O70" i="21"/>
  <c r="R70" i="21"/>
  <c r="R68" i="21" s="1"/>
  <c r="N80" i="22"/>
  <c r="S69" i="21"/>
  <c r="N69" i="22"/>
  <c r="S19" i="21"/>
  <c r="R18" i="21"/>
  <c r="N19" i="22"/>
  <c r="Q15" i="31"/>
  <c r="Q15" i="30"/>
  <c r="Q14" i="30"/>
  <c r="Q15" i="28"/>
  <c r="P12" i="28"/>
  <c r="Q12" i="28" s="1"/>
  <c r="Q15" i="27"/>
  <c r="Q15" i="25"/>
  <c r="Q15" i="24"/>
  <c r="P12" i="24"/>
  <c r="Q12" i="24" s="1"/>
  <c r="Q15" i="23"/>
  <c r="P12" i="23"/>
  <c r="Q12" i="23" s="1"/>
  <c r="Q21" i="21"/>
  <c r="P14" i="21"/>
  <c r="P12" i="27" l="1"/>
  <c r="Q12" i="27" s="1"/>
  <c r="P12" i="26"/>
  <c r="Q13" i="22"/>
  <c r="P12" i="22"/>
  <c r="Q12" i="22" s="1"/>
  <c r="S40" i="22"/>
  <c r="R39" i="22"/>
  <c r="N40" i="23"/>
  <c r="N90" i="22"/>
  <c r="S90" i="21"/>
  <c r="R89" i="21"/>
  <c r="S76" i="21"/>
  <c r="N76" i="22"/>
  <c r="O76" i="22" s="1"/>
  <c r="S70" i="21"/>
  <c r="N70" i="22"/>
  <c r="S62" i="23"/>
  <c r="N62" i="24"/>
  <c r="R62" i="24" s="1"/>
  <c r="S72" i="21"/>
  <c r="N72" i="22"/>
  <c r="O72" i="22" s="1"/>
  <c r="R86" i="21"/>
  <c r="N87" i="22"/>
  <c r="S87" i="21"/>
  <c r="R73" i="22"/>
  <c r="O73" i="22"/>
  <c r="O84" i="22"/>
  <c r="R84" i="22"/>
  <c r="O77" i="22"/>
  <c r="R77" i="22"/>
  <c r="O80" i="22"/>
  <c r="R80" i="22"/>
  <c r="S81" i="21"/>
  <c r="N81" i="22"/>
  <c r="S83" i="21"/>
  <c r="N83" i="22"/>
  <c r="O83" i="22" s="1"/>
  <c r="R79" i="21"/>
  <c r="S65" i="21"/>
  <c r="N65" i="22"/>
  <c r="S50" i="22"/>
  <c r="N50" i="23"/>
  <c r="R49" i="22"/>
  <c r="S68" i="21"/>
  <c r="N68" i="22"/>
  <c r="O68" i="22" s="1"/>
  <c r="R69" i="22"/>
  <c r="O69" i="22"/>
  <c r="O19" i="22"/>
  <c r="R19" i="22"/>
  <c r="S18" i="21"/>
  <c r="R17" i="21"/>
  <c r="N18" i="22"/>
  <c r="O18" i="22" s="1"/>
  <c r="P12" i="21"/>
  <c r="S49" i="22" l="1"/>
  <c r="N49" i="23"/>
  <c r="O49" i="23" s="1"/>
  <c r="R87" i="22"/>
  <c r="O87" i="22"/>
  <c r="S62" i="24"/>
  <c r="N62" i="25"/>
  <c r="R62" i="25" s="1"/>
  <c r="O90" i="22"/>
  <c r="R90" i="22"/>
  <c r="R50" i="23"/>
  <c r="O50" i="23"/>
  <c r="O81" i="22"/>
  <c r="R81" i="22"/>
  <c r="S77" i="22"/>
  <c r="R76" i="22"/>
  <c r="N77" i="23"/>
  <c r="S86" i="21"/>
  <c r="N86" i="22"/>
  <c r="O86" i="22" s="1"/>
  <c r="O40" i="23"/>
  <c r="R40" i="23"/>
  <c r="N79" i="22"/>
  <c r="O79" i="22" s="1"/>
  <c r="S79" i="21"/>
  <c r="R75" i="21"/>
  <c r="S73" i="22"/>
  <c r="R72" i="22"/>
  <c r="S72" i="22" s="1"/>
  <c r="O70" i="22"/>
  <c r="R70" i="22"/>
  <c r="S89" i="21"/>
  <c r="N89" i="22"/>
  <c r="O89" i="22" s="1"/>
  <c r="S39" i="22"/>
  <c r="N39" i="23"/>
  <c r="O39" i="23" s="1"/>
  <c r="O65" i="22"/>
  <c r="R65" i="22"/>
  <c r="R79" i="22"/>
  <c r="S80" i="22"/>
  <c r="N80" i="23"/>
  <c r="R83" i="22"/>
  <c r="S84" i="22"/>
  <c r="N84" i="23"/>
  <c r="S69" i="22"/>
  <c r="S17" i="21"/>
  <c r="N17" i="22"/>
  <c r="O17" i="22" s="1"/>
  <c r="S19" i="22"/>
  <c r="R18" i="22"/>
  <c r="R84" i="23" l="1"/>
  <c r="O84" i="23"/>
  <c r="S70" i="22"/>
  <c r="N70" i="23"/>
  <c r="N75" i="22"/>
  <c r="O75" i="22" s="1"/>
  <c r="S75" i="21"/>
  <c r="S76" i="22"/>
  <c r="N76" i="23"/>
  <c r="O76" i="23" s="1"/>
  <c r="N62" i="26"/>
  <c r="R62" i="26" s="1"/>
  <c r="S62" i="25"/>
  <c r="S79" i="22"/>
  <c r="N79" i="23"/>
  <c r="O79" i="23" s="1"/>
  <c r="S50" i="23"/>
  <c r="R49" i="23"/>
  <c r="N50" i="24"/>
  <c r="R68" i="22"/>
  <c r="S68" i="22" s="1"/>
  <c r="S83" i="22"/>
  <c r="N83" i="23"/>
  <c r="O83" i="23" s="1"/>
  <c r="S65" i="22"/>
  <c r="N65" i="23"/>
  <c r="S81" i="22"/>
  <c r="N81" i="23"/>
  <c r="R89" i="22"/>
  <c r="S90" i="22"/>
  <c r="N90" i="23"/>
  <c r="O80" i="23"/>
  <c r="R80" i="23"/>
  <c r="S40" i="23"/>
  <c r="R39" i="23"/>
  <c r="N40" i="24"/>
  <c r="R77" i="23"/>
  <c r="O77" i="23"/>
  <c r="R86" i="22"/>
  <c r="S87" i="22"/>
  <c r="N87" i="23"/>
  <c r="R17" i="22"/>
  <c r="S17" i="22" s="1"/>
  <c r="S18" i="22"/>
  <c r="S86" i="22" l="1"/>
  <c r="N86" i="23"/>
  <c r="O86" i="23" s="1"/>
  <c r="R90" i="23"/>
  <c r="O90" i="23"/>
  <c r="S49" i="23"/>
  <c r="N49" i="24"/>
  <c r="O49" i="24" s="1"/>
  <c r="O65" i="23"/>
  <c r="R65" i="23"/>
  <c r="R87" i="23"/>
  <c r="O87" i="23"/>
  <c r="S39" i="23"/>
  <c r="N39" i="24"/>
  <c r="O39" i="24" s="1"/>
  <c r="R76" i="23"/>
  <c r="S77" i="23"/>
  <c r="N77" i="24"/>
  <c r="S80" i="23"/>
  <c r="N80" i="24"/>
  <c r="S89" i="22"/>
  <c r="N89" i="23"/>
  <c r="O89" i="23" s="1"/>
  <c r="S62" i="26"/>
  <c r="N62" i="27"/>
  <c r="R62" i="27" s="1"/>
  <c r="S84" i="23"/>
  <c r="R83" i="23"/>
  <c r="R40" i="24"/>
  <c r="O40" i="24"/>
  <c r="R81" i="23"/>
  <c r="O81" i="23"/>
  <c r="O50" i="24"/>
  <c r="R50" i="24"/>
  <c r="R75" i="22"/>
  <c r="O70" i="23"/>
  <c r="R70" i="23"/>
  <c r="N84" i="24"/>
  <c r="S70" i="23" l="1"/>
  <c r="N70" i="24"/>
  <c r="S40" i="24"/>
  <c r="N40" i="25"/>
  <c r="R39" i="24"/>
  <c r="N65" i="24"/>
  <c r="S65" i="23"/>
  <c r="S83" i="23"/>
  <c r="N83" i="24"/>
  <c r="O83" i="24" s="1"/>
  <c r="R77" i="24"/>
  <c r="O77" i="24"/>
  <c r="S90" i="23"/>
  <c r="R89" i="23"/>
  <c r="N90" i="24"/>
  <c r="S75" i="22"/>
  <c r="N75" i="23"/>
  <c r="O75" i="23" s="1"/>
  <c r="R79" i="23"/>
  <c r="S81" i="23"/>
  <c r="N81" i="24"/>
  <c r="R84" i="24"/>
  <c r="O84" i="24"/>
  <c r="S50" i="24"/>
  <c r="R49" i="24"/>
  <c r="N50" i="25"/>
  <c r="S62" i="27"/>
  <c r="N62" i="28"/>
  <c r="R62" i="28" s="1"/>
  <c r="S62" i="28" s="1"/>
  <c r="R80" i="24"/>
  <c r="O80" i="24"/>
  <c r="S76" i="23"/>
  <c r="N76" i="24"/>
  <c r="O76" i="24" s="1"/>
  <c r="S87" i="23"/>
  <c r="R86" i="23"/>
  <c r="N87" i="24"/>
  <c r="S80" i="24" l="1"/>
  <c r="N80" i="25"/>
  <c r="S49" i="24"/>
  <c r="N49" i="25"/>
  <c r="O49" i="25" s="1"/>
  <c r="R81" i="24"/>
  <c r="O81" i="24"/>
  <c r="R40" i="25"/>
  <c r="O40" i="25"/>
  <c r="R90" i="24"/>
  <c r="O90" i="24"/>
  <c r="R76" i="24"/>
  <c r="S77" i="24"/>
  <c r="N77" i="25"/>
  <c r="R65" i="24"/>
  <c r="O65" i="24"/>
  <c r="R87" i="24"/>
  <c r="O87" i="24"/>
  <c r="S79" i="23"/>
  <c r="R75" i="23"/>
  <c r="N79" i="24"/>
  <c r="O79" i="24" s="1"/>
  <c r="S89" i="23"/>
  <c r="N89" i="24"/>
  <c r="O89" i="24" s="1"/>
  <c r="O70" i="24"/>
  <c r="R70" i="24"/>
  <c r="S86" i="23"/>
  <c r="N86" i="24"/>
  <c r="O86" i="24" s="1"/>
  <c r="O50" i="25"/>
  <c r="R50" i="25"/>
  <c r="R83" i="24"/>
  <c r="S84" i="24"/>
  <c r="N84" i="25"/>
  <c r="S39" i="24"/>
  <c r="N39" i="25"/>
  <c r="O39" i="25" s="1"/>
  <c r="S50" i="25" l="1"/>
  <c r="R49" i="25"/>
  <c r="N50" i="26"/>
  <c r="S70" i="24"/>
  <c r="N70" i="25"/>
  <c r="S87" i="24"/>
  <c r="R86" i="24"/>
  <c r="N87" i="25"/>
  <c r="R84" i="25"/>
  <c r="O84" i="25"/>
  <c r="S75" i="23"/>
  <c r="N75" i="24"/>
  <c r="O75" i="24" s="1"/>
  <c r="S76" i="24"/>
  <c r="N76" i="25"/>
  <c r="O76" i="25" s="1"/>
  <c r="S40" i="25"/>
  <c r="N40" i="26"/>
  <c r="R39" i="25"/>
  <c r="N65" i="25"/>
  <c r="S65" i="24"/>
  <c r="O80" i="25"/>
  <c r="R80" i="25"/>
  <c r="S83" i="24"/>
  <c r="N83" i="25"/>
  <c r="O83" i="25" s="1"/>
  <c r="R77" i="25"/>
  <c r="O77" i="25"/>
  <c r="R89" i="24"/>
  <c r="S90" i="24"/>
  <c r="N90" i="25"/>
  <c r="R79" i="24"/>
  <c r="S81" i="24"/>
  <c r="N81" i="25"/>
  <c r="R81" i="25" l="1"/>
  <c r="O81" i="25"/>
  <c r="O40" i="26"/>
  <c r="R40" i="26"/>
  <c r="R87" i="25"/>
  <c r="O87" i="25"/>
  <c r="S89" i="24"/>
  <c r="N89" i="25"/>
  <c r="O89" i="25" s="1"/>
  <c r="R65" i="25"/>
  <c r="O65" i="25"/>
  <c r="S86" i="24"/>
  <c r="N86" i="25"/>
  <c r="O86" i="25" s="1"/>
  <c r="O50" i="26"/>
  <c r="R50" i="26"/>
  <c r="S79" i="24"/>
  <c r="R75" i="24"/>
  <c r="N79" i="25"/>
  <c r="O79" i="25" s="1"/>
  <c r="S80" i="25"/>
  <c r="N80" i="26"/>
  <c r="S49" i="25"/>
  <c r="N49" i="26"/>
  <c r="O49" i="26" s="1"/>
  <c r="R90" i="25"/>
  <c r="O90" i="25"/>
  <c r="R76" i="25"/>
  <c r="S77" i="25"/>
  <c r="N77" i="26"/>
  <c r="S39" i="25"/>
  <c r="N39" i="26"/>
  <c r="O39" i="26" s="1"/>
  <c r="R83" i="25"/>
  <c r="S84" i="25"/>
  <c r="N84" i="26"/>
  <c r="R70" i="25"/>
  <c r="O70" i="25"/>
  <c r="S70" i="25" l="1"/>
  <c r="N70" i="26"/>
  <c r="S76" i="25"/>
  <c r="N76" i="26"/>
  <c r="O76" i="26" s="1"/>
  <c r="S75" i="24"/>
  <c r="N75" i="25"/>
  <c r="O75" i="25" s="1"/>
  <c r="S40" i="26"/>
  <c r="N40" i="27"/>
  <c r="R39" i="26"/>
  <c r="R84" i="26"/>
  <c r="O84" i="26"/>
  <c r="O80" i="26"/>
  <c r="R80" i="26"/>
  <c r="O77" i="26"/>
  <c r="R77" i="26"/>
  <c r="R89" i="25"/>
  <c r="S90" i="25"/>
  <c r="N90" i="26"/>
  <c r="S50" i="26"/>
  <c r="R49" i="26"/>
  <c r="N50" i="27"/>
  <c r="S83" i="25"/>
  <c r="N83" i="26"/>
  <c r="O83" i="26" s="1"/>
  <c r="S65" i="25"/>
  <c r="N65" i="26"/>
  <c r="S87" i="25"/>
  <c r="R86" i="25"/>
  <c r="N87" i="26"/>
  <c r="R79" i="25"/>
  <c r="S81" i="25"/>
  <c r="N81" i="26"/>
  <c r="R81" i="26" l="1"/>
  <c r="O81" i="26"/>
  <c r="S86" i="25"/>
  <c r="N86" i="26"/>
  <c r="O86" i="26" s="1"/>
  <c r="S49" i="26"/>
  <c r="N49" i="27"/>
  <c r="O49" i="27" s="1"/>
  <c r="S89" i="25"/>
  <c r="N89" i="26"/>
  <c r="O89" i="26" s="1"/>
  <c r="R40" i="27"/>
  <c r="O40" i="27"/>
  <c r="R76" i="26"/>
  <c r="S77" i="26"/>
  <c r="N77" i="27"/>
  <c r="S79" i="25"/>
  <c r="R75" i="25"/>
  <c r="N79" i="26"/>
  <c r="O79" i="26" s="1"/>
  <c r="R65" i="26"/>
  <c r="O65" i="26"/>
  <c r="R90" i="26"/>
  <c r="O90" i="26"/>
  <c r="S84" i="26"/>
  <c r="R83" i="26"/>
  <c r="N84" i="27"/>
  <c r="R70" i="26"/>
  <c r="O70" i="26"/>
  <c r="R87" i="26"/>
  <c r="O87" i="26"/>
  <c r="O50" i="27"/>
  <c r="R50" i="27"/>
  <c r="S80" i="26"/>
  <c r="N80" i="27"/>
  <c r="S39" i="26"/>
  <c r="N39" i="27"/>
  <c r="O39" i="27" s="1"/>
  <c r="S70" i="26" l="1"/>
  <c r="N70" i="27"/>
  <c r="R80" i="27"/>
  <c r="O80" i="27"/>
  <c r="R84" i="27"/>
  <c r="O84" i="27"/>
  <c r="S90" i="26"/>
  <c r="R89" i="26"/>
  <c r="N90" i="27"/>
  <c r="S75" i="25"/>
  <c r="N75" i="26"/>
  <c r="O75" i="26" s="1"/>
  <c r="S76" i="26"/>
  <c r="N76" i="27"/>
  <c r="O76" i="27" s="1"/>
  <c r="S87" i="26"/>
  <c r="R86" i="26"/>
  <c r="N87" i="27"/>
  <c r="S83" i="26"/>
  <c r="N83" i="27"/>
  <c r="O83" i="27" s="1"/>
  <c r="S50" i="27"/>
  <c r="R49" i="27"/>
  <c r="N50" i="28"/>
  <c r="S65" i="26"/>
  <c r="N65" i="27"/>
  <c r="R77" i="27"/>
  <c r="O77" i="27"/>
  <c r="S40" i="27"/>
  <c r="N40" i="28"/>
  <c r="R39" i="27"/>
  <c r="R79" i="26"/>
  <c r="S81" i="26"/>
  <c r="N81" i="27"/>
  <c r="S79" i="26" l="1"/>
  <c r="R75" i="26"/>
  <c r="N79" i="27"/>
  <c r="O79" i="27" s="1"/>
  <c r="R81" i="27"/>
  <c r="O81" i="27"/>
  <c r="O40" i="28"/>
  <c r="R40" i="28"/>
  <c r="R65" i="27"/>
  <c r="O65" i="27"/>
  <c r="S49" i="27"/>
  <c r="N49" i="28"/>
  <c r="O49" i="28" s="1"/>
  <c r="R87" i="27"/>
  <c r="O87" i="27"/>
  <c r="S89" i="26"/>
  <c r="N89" i="27"/>
  <c r="O89" i="27" s="1"/>
  <c r="S86" i="26"/>
  <c r="N86" i="27"/>
  <c r="O86" i="27" s="1"/>
  <c r="S80" i="27"/>
  <c r="N80" i="28"/>
  <c r="O70" i="27"/>
  <c r="R70" i="27"/>
  <c r="S39" i="27"/>
  <c r="N39" i="28"/>
  <c r="O39" i="28" s="1"/>
  <c r="R76" i="27"/>
  <c r="S77" i="27"/>
  <c r="N77" i="28"/>
  <c r="R50" i="28"/>
  <c r="O50" i="28"/>
  <c r="R90" i="27"/>
  <c r="O90" i="27"/>
  <c r="R83" i="27"/>
  <c r="S84" i="27"/>
  <c r="N84" i="28"/>
  <c r="S76" i="27" l="1"/>
  <c r="N76" i="28"/>
  <c r="O76" i="28" s="1"/>
  <c r="S87" i="27"/>
  <c r="R86" i="27"/>
  <c r="N87" i="28"/>
  <c r="N65" i="28"/>
  <c r="S65" i="27"/>
  <c r="R79" i="27"/>
  <c r="S81" i="27"/>
  <c r="N81" i="28"/>
  <c r="S83" i="27"/>
  <c r="N83" i="28"/>
  <c r="O83" i="28" s="1"/>
  <c r="S50" i="28"/>
  <c r="R49" i="28"/>
  <c r="N50" i="29"/>
  <c r="O80" i="28"/>
  <c r="R80" i="28"/>
  <c r="S40" i="28"/>
  <c r="N40" i="29"/>
  <c r="R39" i="28"/>
  <c r="R77" i="28"/>
  <c r="O77" i="28"/>
  <c r="S75" i="26"/>
  <c r="N75" i="27"/>
  <c r="O75" i="27" s="1"/>
  <c r="R84" i="28"/>
  <c r="O84" i="28"/>
  <c r="R89" i="27"/>
  <c r="S90" i="27"/>
  <c r="N90" i="28"/>
  <c r="S70" i="27"/>
  <c r="N70" i="28"/>
  <c r="P42" i="20"/>
  <c r="R90" i="28" l="1"/>
  <c r="O90" i="28"/>
  <c r="R70" i="28"/>
  <c r="O70" i="28"/>
  <c r="S89" i="27"/>
  <c r="N89" i="28"/>
  <c r="O89" i="28" s="1"/>
  <c r="R40" i="29"/>
  <c r="O40" i="29"/>
  <c r="O50" i="29"/>
  <c r="R50" i="29"/>
  <c r="S86" i="27"/>
  <c r="N86" i="28"/>
  <c r="O86" i="28" s="1"/>
  <c r="S49" i="28"/>
  <c r="N49" i="29"/>
  <c r="O49" i="29" s="1"/>
  <c r="R81" i="28"/>
  <c r="O81" i="28"/>
  <c r="R65" i="28"/>
  <c r="O65" i="28"/>
  <c r="S84" i="28"/>
  <c r="R83" i="28"/>
  <c r="N84" i="29"/>
  <c r="R76" i="28"/>
  <c r="S77" i="28"/>
  <c r="N77" i="29"/>
  <c r="S80" i="28"/>
  <c r="N80" i="29"/>
  <c r="S39" i="28"/>
  <c r="N39" i="29"/>
  <c r="O39" i="29" s="1"/>
  <c r="S79" i="27"/>
  <c r="R75" i="27"/>
  <c r="N79" i="28"/>
  <c r="O79" i="28" s="1"/>
  <c r="R87" i="28"/>
  <c r="O87" i="28"/>
  <c r="R79" i="28" l="1"/>
  <c r="S81" i="28"/>
  <c r="N81" i="29"/>
  <c r="S40" i="29"/>
  <c r="N40" i="30"/>
  <c r="R39" i="29"/>
  <c r="S70" i="28"/>
  <c r="N70" i="29"/>
  <c r="O80" i="29"/>
  <c r="R80" i="29"/>
  <c r="S87" i="28"/>
  <c r="R86" i="28"/>
  <c r="N87" i="29"/>
  <c r="R77" i="29"/>
  <c r="O77" i="29"/>
  <c r="S83" i="28"/>
  <c r="N83" i="29"/>
  <c r="O83" i="29" s="1"/>
  <c r="S75" i="27"/>
  <c r="N75" i="28"/>
  <c r="O75" i="28" s="1"/>
  <c r="S76" i="28"/>
  <c r="N76" i="29"/>
  <c r="O76" i="29" s="1"/>
  <c r="S50" i="29"/>
  <c r="R49" i="29"/>
  <c r="N50" i="30"/>
  <c r="R84" i="29"/>
  <c r="O84" i="29"/>
  <c r="N65" i="29"/>
  <c r="S65" i="28"/>
  <c r="S90" i="28"/>
  <c r="R89" i="28"/>
  <c r="N90" i="29"/>
  <c r="O50" i="30" l="1"/>
  <c r="R50" i="30"/>
  <c r="S86" i="28"/>
  <c r="N86" i="29"/>
  <c r="O86" i="29" s="1"/>
  <c r="R70" i="29"/>
  <c r="O70" i="29"/>
  <c r="R90" i="29"/>
  <c r="O90" i="29"/>
  <c r="S89" i="28"/>
  <c r="N89" i="29"/>
  <c r="O89" i="29" s="1"/>
  <c r="S49" i="29"/>
  <c r="N49" i="30"/>
  <c r="O49" i="30" s="1"/>
  <c r="R81" i="29"/>
  <c r="O81" i="29"/>
  <c r="R65" i="29"/>
  <c r="O65" i="29"/>
  <c r="R76" i="29"/>
  <c r="S77" i="29"/>
  <c r="N77" i="30"/>
  <c r="S80" i="29"/>
  <c r="N80" i="30"/>
  <c r="N39" i="30"/>
  <c r="O39" i="30" s="1"/>
  <c r="S39" i="29"/>
  <c r="S84" i="29"/>
  <c r="R83" i="29"/>
  <c r="N84" i="30"/>
  <c r="R87" i="29"/>
  <c r="O87" i="29"/>
  <c r="R40" i="30"/>
  <c r="O40" i="30"/>
  <c r="S79" i="28"/>
  <c r="R75" i="28"/>
  <c r="N79" i="29"/>
  <c r="O79" i="29" s="1"/>
  <c r="S75" i="28" l="1"/>
  <c r="N75" i="29"/>
  <c r="O75" i="29" s="1"/>
  <c r="S87" i="29"/>
  <c r="R86" i="29"/>
  <c r="N87" i="30"/>
  <c r="O77" i="30"/>
  <c r="R77" i="30"/>
  <c r="N65" i="30"/>
  <c r="S65" i="29"/>
  <c r="S90" i="29"/>
  <c r="R89" i="29"/>
  <c r="N90" i="30"/>
  <c r="O84" i="30"/>
  <c r="R84" i="30"/>
  <c r="S50" i="30"/>
  <c r="R49" i="30"/>
  <c r="N50" i="31"/>
  <c r="S40" i="30"/>
  <c r="R39" i="30"/>
  <c r="N40" i="31"/>
  <c r="S83" i="29"/>
  <c r="N83" i="30"/>
  <c r="O83" i="30" s="1"/>
  <c r="R80" i="30"/>
  <c r="O80" i="30"/>
  <c r="S76" i="29"/>
  <c r="N76" i="30"/>
  <c r="O76" i="30" s="1"/>
  <c r="R79" i="29"/>
  <c r="S81" i="29"/>
  <c r="N81" i="30"/>
  <c r="S70" i="29"/>
  <c r="N70" i="30"/>
  <c r="S79" i="29" l="1"/>
  <c r="R75" i="29"/>
  <c r="N79" i="30"/>
  <c r="O79" i="30" s="1"/>
  <c r="S80" i="30"/>
  <c r="N80" i="31"/>
  <c r="S39" i="30"/>
  <c r="N39" i="31"/>
  <c r="O39" i="31" s="1"/>
  <c r="S89" i="29"/>
  <c r="N89" i="30"/>
  <c r="O89" i="30" s="1"/>
  <c r="S86" i="29"/>
  <c r="N86" i="30"/>
  <c r="O86" i="30" s="1"/>
  <c r="O70" i="30"/>
  <c r="R70" i="30"/>
  <c r="S84" i="30"/>
  <c r="R83" i="30"/>
  <c r="N84" i="31"/>
  <c r="R76" i="30"/>
  <c r="S77" i="30"/>
  <c r="N77" i="31"/>
  <c r="O81" i="30"/>
  <c r="R81" i="30"/>
  <c r="O50" i="31"/>
  <c r="R50" i="31"/>
  <c r="O40" i="31"/>
  <c r="R40" i="31"/>
  <c r="S49" i="30"/>
  <c r="N49" i="31"/>
  <c r="O49" i="31" s="1"/>
  <c r="R90" i="30"/>
  <c r="O90" i="30"/>
  <c r="O65" i="30"/>
  <c r="R65" i="30"/>
  <c r="R87" i="30"/>
  <c r="O87" i="30"/>
  <c r="S87" i="30" l="1"/>
  <c r="R86" i="30"/>
  <c r="N87" i="31"/>
  <c r="S90" i="30"/>
  <c r="R89" i="30"/>
  <c r="N90" i="31"/>
  <c r="O84" i="31"/>
  <c r="R84" i="31"/>
  <c r="S65" i="30"/>
  <c r="N65" i="31"/>
  <c r="R49" i="31"/>
  <c r="S49" i="31" s="1"/>
  <c r="S50" i="31"/>
  <c r="R77" i="31"/>
  <c r="O77" i="31"/>
  <c r="S83" i="30"/>
  <c r="N83" i="31"/>
  <c r="O83" i="31" s="1"/>
  <c r="S75" i="29"/>
  <c r="N75" i="30"/>
  <c r="O75" i="30" s="1"/>
  <c r="S40" i="31"/>
  <c r="R39" i="31"/>
  <c r="S39" i="31" s="1"/>
  <c r="R79" i="30"/>
  <c r="S81" i="30"/>
  <c r="N81" i="31"/>
  <c r="S76" i="30"/>
  <c r="N76" i="31"/>
  <c r="O76" i="31" s="1"/>
  <c r="S70" i="30"/>
  <c r="N70" i="31"/>
  <c r="O80" i="31"/>
  <c r="R80" i="31"/>
  <c r="S62" i="20"/>
  <c r="T31" i="20"/>
  <c r="R66" i="20"/>
  <c r="N66" i="21" s="1"/>
  <c r="R76" i="31" l="1"/>
  <c r="S76" i="31" s="1"/>
  <c r="S77" i="31"/>
  <c r="S86" i="30"/>
  <c r="N86" i="31"/>
  <c r="O86" i="31" s="1"/>
  <c r="R70" i="31"/>
  <c r="S70" i="31" s="1"/>
  <c r="O70" i="31"/>
  <c r="R81" i="31"/>
  <c r="S81" i="31" s="1"/>
  <c r="O81" i="31"/>
  <c r="R83" i="31"/>
  <c r="S83" i="31" s="1"/>
  <c r="S84" i="31"/>
  <c r="R65" i="31"/>
  <c r="O65" i="31"/>
  <c r="R87" i="31"/>
  <c r="O87" i="31"/>
  <c r="R79" i="31"/>
  <c r="S80" i="31"/>
  <c r="S79" i="30"/>
  <c r="R75" i="30"/>
  <c r="N79" i="31"/>
  <c r="O79" i="31" s="1"/>
  <c r="R90" i="31"/>
  <c r="O90" i="31"/>
  <c r="O66" i="21"/>
  <c r="R66" i="21"/>
  <c r="S89" i="30"/>
  <c r="N89" i="31"/>
  <c r="O89" i="31" s="1"/>
  <c r="R64" i="20"/>
  <c r="N64" i="21" s="1"/>
  <c r="O64" i="21" s="1"/>
  <c r="S66" i="20"/>
  <c r="Q64" i="20"/>
  <c r="P52" i="20"/>
  <c r="M52" i="20"/>
  <c r="S90" i="31" l="1"/>
  <c r="R89" i="31"/>
  <c r="S89" i="31" s="1"/>
  <c r="S66" i="21"/>
  <c r="N66" i="22"/>
  <c r="R64" i="21"/>
  <c r="S79" i="31"/>
  <c r="S65" i="31"/>
  <c r="S75" i="30"/>
  <c r="N75" i="31"/>
  <c r="O75" i="31" s="1"/>
  <c r="S87" i="31"/>
  <c r="R86" i="31"/>
  <c r="S86" i="31" s="1"/>
  <c r="S64" i="20"/>
  <c r="O64" i="20"/>
  <c r="R75" i="31" l="1"/>
  <c r="S75" i="31" s="1"/>
  <c r="O66" i="22"/>
  <c r="R66" i="22"/>
  <c r="N66" i="23" s="1"/>
  <c r="S64" i="21"/>
  <c r="N64" i="22"/>
  <c r="O64" i="22" s="1"/>
  <c r="O66" i="23" l="1"/>
  <c r="R66" i="23"/>
  <c r="S66" i="22"/>
  <c r="R64" i="22"/>
  <c r="M15" i="31"/>
  <c r="M18" i="31"/>
  <c r="S64" i="22" l="1"/>
  <c r="N64" i="23"/>
  <c r="O64" i="23" s="1"/>
  <c r="S66" i="23"/>
  <c r="R64" i="23"/>
  <c r="S64" i="23" s="1"/>
  <c r="N66" i="24"/>
  <c r="M17" i="31"/>
  <c r="M14" i="31"/>
  <c r="M18" i="30"/>
  <c r="R66" i="24" l="1"/>
  <c r="O66" i="24"/>
  <c r="N64" i="24"/>
  <c r="O64" i="24" s="1"/>
  <c r="M13" i="31"/>
  <c r="M17" i="30"/>
  <c r="M14" i="30"/>
  <c r="M15" i="30"/>
  <c r="M18" i="29"/>
  <c r="Q18" i="29" s="1"/>
  <c r="S66" i="24" l="1"/>
  <c r="R64" i="24"/>
  <c r="S64" i="24" s="1"/>
  <c r="N64" i="25"/>
  <c r="O64" i="25" s="1"/>
  <c r="N66" i="25"/>
  <c r="M12" i="31"/>
  <c r="M13" i="30"/>
  <c r="M17" i="29"/>
  <c r="Q17" i="29" s="1"/>
  <c r="M15" i="29"/>
  <c r="Q15" i="29" s="1"/>
  <c r="M14" i="29"/>
  <c r="Q14" i="29" s="1"/>
  <c r="M18" i="28"/>
  <c r="R66" i="25" l="1"/>
  <c r="O66" i="25"/>
  <c r="M11" i="31"/>
  <c r="M12" i="30"/>
  <c r="M11" i="30" s="1"/>
  <c r="M13" i="29"/>
  <c r="Q13" i="29" s="1"/>
  <c r="M17" i="28"/>
  <c r="M12" i="29"/>
  <c r="Q12" i="29" s="1"/>
  <c r="M15" i="28"/>
  <c r="M14" i="28"/>
  <c r="M18" i="27"/>
  <c r="S66" i="25" l="1"/>
  <c r="R64" i="25"/>
  <c r="S64" i="25" s="1"/>
  <c r="N64" i="26"/>
  <c r="O64" i="26" s="1"/>
  <c r="N66" i="26"/>
  <c r="M13" i="28"/>
  <c r="M11" i="29"/>
  <c r="M14" i="27"/>
  <c r="M15" i="27"/>
  <c r="M17" i="27"/>
  <c r="M18" i="26"/>
  <c r="Q18" i="26" s="1"/>
  <c r="R66" i="26" l="1"/>
  <c r="O66" i="26"/>
  <c r="M12" i="28"/>
  <c r="M11" i="28" s="1"/>
  <c r="M17" i="26"/>
  <c r="Q17" i="26" s="1"/>
  <c r="M13" i="27"/>
  <c r="M14" i="26"/>
  <c r="Q14" i="26" s="1"/>
  <c r="S66" i="26" l="1"/>
  <c r="R64" i="26"/>
  <c r="S64" i="26" s="1"/>
  <c r="N64" i="27"/>
  <c r="O64" i="27" s="1"/>
  <c r="N66" i="27"/>
  <c r="M13" i="26"/>
  <c r="Q13" i="26" s="1"/>
  <c r="M12" i="27"/>
  <c r="M15" i="26"/>
  <c r="Q15" i="26" s="1"/>
  <c r="R66" i="27" l="1"/>
  <c r="O66" i="27"/>
  <c r="M12" i="26"/>
  <c r="Q12" i="26" s="1"/>
  <c r="M11" i="27"/>
  <c r="S66" i="27" l="1"/>
  <c r="R64" i="27"/>
  <c r="S64" i="27" s="1"/>
  <c r="N64" i="28"/>
  <c r="O64" i="28" s="1"/>
  <c r="N66" i="28"/>
  <c r="M11" i="26"/>
  <c r="M18" i="25"/>
  <c r="R66" i="28" l="1"/>
  <c r="O66" i="28"/>
  <c r="M17" i="25"/>
  <c r="M15" i="25"/>
  <c r="S66" i="28" l="1"/>
  <c r="R64" i="28"/>
  <c r="S64" i="28" s="1"/>
  <c r="N64" i="29"/>
  <c r="O64" i="29" s="1"/>
  <c r="N66" i="29"/>
  <c r="M13" i="25"/>
  <c r="M14" i="25"/>
  <c r="R66" i="29" l="1"/>
  <c r="O66" i="29"/>
  <c r="N66" i="30"/>
  <c r="M12" i="25"/>
  <c r="O66" i="30" l="1"/>
  <c r="R66" i="30"/>
  <c r="S66" i="29"/>
  <c r="R64" i="29"/>
  <c r="S64" i="29" s="1"/>
  <c r="M11" i="25"/>
  <c r="M18" i="24"/>
  <c r="S66" i="30" l="1"/>
  <c r="R64" i="30"/>
  <c r="S64" i="30" s="1"/>
  <c r="N64" i="30"/>
  <c r="O64" i="30" s="1"/>
  <c r="N66" i="31"/>
  <c r="M17" i="24"/>
  <c r="M15" i="24"/>
  <c r="M14" i="24"/>
  <c r="R66" i="31" l="1"/>
  <c r="O66" i="31"/>
  <c r="M13" i="24"/>
  <c r="N64" i="31"/>
  <c r="O64" i="31" s="1"/>
  <c r="M18" i="23"/>
  <c r="S66" i="31" l="1"/>
  <c r="R64" i="31"/>
  <c r="S64" i="31" s="1"/>
  <c r="M12" i="24"/>
  <c r="M17" i="23"/>
  <c r="M15" i="23"/>
  <c r="M11" i="24" l="1"/>
  <c r="M13" i="23"/>
  <c r="M14" i="23"/>
  <c r="N62" i="29" l="1"/>
  <c r="R62" i="29" s="1"/>
  <c r="M12" i="23"/>
  <c r="M15" i="22"/>
  <c r="M18" i="22"/>
  <c r="M17" i="22" s="1"/>
  <c r="M13" i="22" s="1"/>
  <c r="S62" i="29" l="1"/>
  <c r="N62" i="30"/>
  <c r="R62" i="30" s="1"/>
  <c r="M11" i="23"/>
  <c r="S62" i="30" l="1"/>
  <c r="N62" i="31"/>
  <c r="R62" i="31" s="1"/>
  <c r="S62" i="31" s="1"/>
  <c r="M14" i="22"/>
  <c r="M18" i="21"/>
  <c r="M17" i="21" s="1"/>
  <c r="M13" i="21" s="1"/>
  <c r="M14" i="21" l="1"/>
  <c r="Q14" i="21" s="1"/>
  <c r="M15" i="21"/>
  <c r="M12" i="22"/>
  <c r="T34" i="20"/>
  <c r="M12" i="21" l="1"/>
  <c r="M11" i="22"/>
  <c r="N12" i="20"/>
  <c r="N18" i="20"/>
  <c r="N17" i="20" s="1"/>
  <c r="N22" i="20"/>
  <c r="N34" i="20"/>
  <c r="N42" i="20"/>
  <c r="N46" i="20"/>
  <c r="N72" i="20"/>
  <c r="M11" i="21" l="1"/>
  <c r="Q12" i="21"/>
  <c r="M46" i="20"/>
  <c r="Q77" i="20" l="1"/>
  <c r="O77" i="20"/>
  <c r="Q73" i="20"/>
  <c r="O73" i="20"/>
  <c r="P72" i="20"/>
  <c r="M72" i="20"/>
  <c r="Q69" i="20"/>
  <c r="R68" i="20"/>
  <c r="N68" i="21" s="1"/>
  <c r="O68" i="21" s="1"/>
  <c r="Q61" i="20"/>
  <c r="R61" i="20"/>
  <c r="Q60" i="20"/>
  <c r="O60" i="20"/>
  <c r="Q59" i="20"/>
  <c r="R59" i="20"/>
  <c r="N59" i="21" s="1"/>
  <c r="Q56" i="20"/>
  <c r="O56" i="20"/>
  <c r="T55" i="20"/>
  <c r="P55" i="20"/>
  <c r="M55" i="20"/>
  <c r="T52" i="20"/>
  <c r="Q53" i="20"/>
  <c r="R53" i="20"/>
  <c r="T46" i="20"/>
  <c r="Q47" i="20"/>
  <c r="O47" i="20"/>
  <c r="P46" i="20"/>
  <c r="Q44" i="20"/>
  <c r="R44" i="20"/>
  <c r="Q43" i="20"/>
  <c r="O43" i="20"/>
  <c r="M42" i="20"/>
  <c r="Q37" i="20"/>
  <c r="O37" i="20"/>
  <c r="Q36" i="20"/>
  <c r="O36" i="20"/>
  <c r="O35" i="20"/>
  <c r="P34" i="20"/>
  <c r="M34" i="20"/>
  <c r="Q32" i="20"/>
  <c r="O32" i="20"/>
  <c r="Q29" i="20"/>
  <c r="R29" i="20"/>
  <c r="N29" i="21" s="1"/>
  <c r="Q28" i="20"/>
  <c r="R28" i="20"/>
  <c r="N28" i="21" s="1"/>
  <c r="Q27" i="20"/>
  <c r="O27" i="20"/>
  <c r="Q26" i="20"/>
  <c r="O26" i="20"/>
  <c r="Q25" i="20"/>
  <c r="O25" i="20"/>
  <c r="Q24" i="20"/>
  <c r="O24" i="20"/>
  <c r="Q23" i="20"/>
  <c r="O23" i="20"/>
  <c r="P22" i="20"/>
  <c r="M22" i="20"/>
  <c r="T18" i="20"/>
  <c r="T17" i="20" s="1"/>
  <c r="Q19" i="20"/>
  <c r="S19" i="20"/>
  <c r="P18" i="20"/>
  <c r="P17" i="20" s="1"/>
  <c r="M18" i="20"/>
  <c r="M17" i="20" s="1"/>
  <c r="N53" i="21" l="1"/>
  <c r="R52" i="20"/>
  <c r="N52" i="21" s="1"/>
  <c r="O52" i="21" s="1"/>
  <c r="S61" i="20"/>
  <c r="N61" i="21"/>
  <c r="O29" i="21"/>
  <c r="R29" i="21"/>
  <c r="S29" i="21" s="1"/>
  <c r="R59" i="21"/>
  <c r="O59" i="21"/>
  <c r="R28" i="21"/>
  <c r="S28" i="21" s="1"/>
  <c r="O28" i="21"/>
  <c r="S44" i="20"/>
  <c r="N44" i="21"/>
  <c r="M21" i="20"/>
  <c r="M15" i="20"/>
  <c r="O15" i="20" s="1"/>
  <c r="S69" i="20"/>
  <c r="S28" i="20"/>
  <c r="S59" i="20"/>
  <c r="S29" i="20"/>
  <c r="S53" i="20"/>
  <c r="N52" i="20"/>
  <c r="N21" i="20" s="1"/>
  <c r="N76" i="20"/>
  <c r="N75" i="20" s="1"/>
  <c r="O61" i="20"/>
  <c r="R60" i="20"/>
  <c r="R18" i="20"/>
  <c r="N18" i="21" s="1"/>
  <c r="O18" i="21" s="1"/>
  <c r="Q22" i="20"/>
  <c r="Q18" i="20"/>
  <c r="Q34" i="20"/>
  <c r="O22" i="20"/>
  <c r="Q72" i="20"/>
  <c r="R25" i="20"/>
  <c r="N25" i="21" s="1"/>
  <c r="O46" i="20"/>
  <c r="Q52" i="20"/>
  <c r="O55" i="20"/>
  <c r="T58" i="20"/>
  <c r="Q68" i="20"/>
  <c r="R23" i="20"/>
  <c r="N23" i="21" s="1"/>
  <c r="O28" i="20"/>
  <c r="O34" i="20"/>
  <c r="O42" i="20"/>
  <c r="Q55" i="20"/>
  <c r="R56" i="20"/>
  <c r="Q58" i="20"/>
  <c r="O69" i="20"/>
  <c r="O44" i="20"/>
  <c r="Q46" i="20"/>
  <c r="O72" i="20"/>
  <c r="Q76" i="20"/>
  <c r="T15" i="20"/>
  <c r="O19" i="20"/>
  <c r="R27" i="20"/>
  <c r="N27" i="21" s="1"/>
  <c r="O31" i="20"/>
  <c r="R35" i="20"/>
  <c r="R36" i="20"/>
  <c r="O68" i="20"/>
  <c r="R26" i="20"/>
  <c r="N26" i="21" s="1"/>
  <c r="Q31" i="20"/>
  <c r="R37" i="20"/>
  <c r="N37" i="21" s="1"/>
  <c r="Q42" i="20"/>
  <c r="R43" i="20"/>
  <c r="R42" i="20" s="1"/>
  <c r="N42" i="21" s="1"/>
  <c r="O42" i="21" s="1"/>
  <c r="O53" i="20"/>
  <c r="T13" i="20"/>
  <c r="R24" i="20"/>
  <c r="N24" i="21" s="1"/>
  <c r="O29" i="20"/>
  <c r="R47" i="20"/>
  <c r="O58" i="20"/>
  <c r="O18" i="20"/>
  <c r="R32" i="20"/>
  <c r="O59" i="20"/>
  <c r="O53" i="21" l="1"/>
  <c r="R53" i="21"/>
  <c r="R37" i="21"/>
  <c r="O37" i="21"/>
  <c r="R55" i="20"/>
  <c r="N55" i="21" s="1"/>
  <c r="O55" i="21" s="1"/>
  <c r="N56" i="21"/>
  <c r="S59" i="21"/>
  <c r="N59" i="22"/>
  <c r="S43" i="20"/>
  <c r="N43" i="21"/>
  <c r="O52" i="20"/>
  <c r="O23" i="21"/>
  <c r="R23" i="21"/>
  <c r="S23" i="21" s="1"/>
  <c r="R26" i="21"/>
  <c r="S26" i="21" s="1"/>
  <c r="O26" i="21"/>
  <c r="R25" i="21"/>
  <c r="S25" i="21" s="1"/>
  <c r="O25" i="21"/>
  <c r="R58" i="20"/>
  <c r="N58" i="21" s="1"/>
  <c r="O58" i="21" s="1"/>
  <c r="N60" i="21"/>
  <c r="R61" i="21"/>
  <c r="O61" i="21"/>
  <c r="R46" i="20"/>
  <c r="N46" i="21" s="1"/>
  <c r="O46" i="21" s="1"/>
  <c r="N47" i="21"/>
  <c r="R44" i="21"/>
  <c r="O44" i="21"/>
  <c r="S36" i="20"/>
  <c r="N36" i="21"/>
  <c r="R31" i="20"/>
  <c r="N31" i="21" s="1"/>
  <c r="O31" i="21" s="1"/>
  <c r="N32" i="21"/>
  <c r="S35" i="20"/>
  <c r="R34" i="20"/>
  <c r="N35" i="21"/>
  <c r="O27" i="21"/>
  <c r="R27" i="21"/>
  <c r="S27" i="21" s="1"/>
  <c r="R24" i="21"/>
  <c r="O24" i="21"/>
  <c r="T21" i="20"/>
  <c r="T14" i="20" s="1"/>
  <c r="T12" i="20" s="1"/>
  <c r="S47" i="20"/>
  <c r="S26" i="20"/>
  <c r="S25" i="20"/>
  <c r="S60" i="20"/>
  <c r="N29" i="22"/>
  <c r="S27" i="20"/>
  <c r="R72" i="20"/>
  <c r="N72" i="21" s="1"/>
  <c r="O72" i="21" s="1"/>
  <c r="S23" i="20"/>
  <c r="S18" i="20"/>
  <c r="R17" i="20"/>
  <c r="N17" i="21" s="1"/>
  <c r="O17" i="21" s="1"/>
  <c r="S77" i="20"/>
  <c r="S32" i="20"/>
  <c r="S24" i="20"/>
  <c r="S37" i="20"/>
  <c r="S68" i="20"/>
  <c r="O76" i="20"/>
  <c r="S76" i="20"/>
  <c r="S73" i="20"/>
  <c r="O75" i="20"/>
  <c r="S56" i="20"/>
  <c r="O17" i="20"/>
  <c r="M13" i="20"/>
  <c r="O13" i="20" s="1"/>
  <c r="Q17" i="20"/>
  <c r="P13" i="20"/>
  <c r="Q75" i="20"/>
  <c r="P15" i="20"/>
  <c r="R15" i="20" s="1"/>
  <c r="N15" i="21" s="1"/>
  <c r="M14" i="20"/>
  <c r="O21" i="20"/>
  <c r="Q21" i="20"/>
  <c r="P14" i="20"/>
  <c r="R22" i="20"/>
  <c r="N22" i="21" s="1"/>
  <c r="O22" i="21" s="1"/>
  <c r="N26" i="22" l="1"/>
  <c r="O26" i="22" s="1"/>
  <c r="S53" i="21"/>
  <c r="R52" i="21"/>
  <c r="N53" i="22"/>
  <c r="O60" i="21"/>
  <c r="R60" i="21"/>
  <c r="R29" i="22"/>
  <c r="S29" i="22" s="1"/>
  <c r="O29" i="22"/>
  <c r="O43" i="21"/>
  <c r="R43" i="21"/>
  <c r="S37" i="21"/>
  <c r="N37" i="22"/>
  <c r="R56" i="21"/>
  <c r="O56" i="21"/>
  <c r="O15" i="21"/>
  <c r="R15" i="21"/>
  <c r="S61" i="21"/>
  <c r="N61" i="22"/>
  <c r="O59" i="22"/>
  <c r="R59" i="22"/>
  <c r="O47" i="21"/>
  <c r="R47" i="21"/>
  <c r="S44" i="21"/>
  <c r="N44" i="22"/>
  <c r="R42" i="21"/>
  <c r="R36" i="21"/>
  <c r="O36" i="21"/>
  <c r="O32" i="21"/>
  <c r="R32" i="21"/>
  <c r="R35" i="21"/>
  <c r="O35" i="21"/>
  <c r="N34" i="21"/>
  <c r="O34" i="21" s="1"/>
  <c r="S34" i="20"/>
  <c r="S24" i="21"/>
  <c r="R22" i="21"/>
  <c r="R21" i="20"/>
  <c r="S17" i="20"/>
  <c r="S31" i="20"/>
  <c r="N59" i="23"/>
  <c r="N28" i="22"/>
  <c r="S42" i="20"/>
  <c r="S55" i="20"/>
  <c r="S46" i="20"/>
  <c r="S58" i="20"/>
  <c r="N24" i="22"/>
  <c r="N23" i="22"/>
  <c r="N25" i="22"/>
  <c r="N27" i="22"/>
  <c r="S72" i="20"/>
  <c r="S52" i="20"/>
  <c r="P12" i="20"/>
  <c r="Q13" i="20"/>
  <c r="R13" i="20"/>
  <c r="N13" i="21" s="1"/>
  <c r="Q15" i="20"/>
  <c r="S75" i="20"/>
  <c r="Q14" i="20"/>
  <c r="R14" i="20"/>
  <c r="O14" i="20"/>
  <c r="M12" i="20"/>
  <c r="S22" i="20"/>
  <c r="R26" i="22" l="1"/>
  <c r="N29" i="23"/>
  <c r="O25" i="22"/>
  <c r="R25" i="22"/>
  <c r="S25" i="22" s="1"/>
  <c r="S52" i="21"/>
  <c r="N52" i="22"/>
  <c r="O52" i="22" s="1"/>
  <c r="O59" i="23"/>
  <c r="R59" i="23"/>
  <c r="R29" i="23"/>
  <c r="S29" i="23" s="1"/>
  <c r="O29" i="23"/>
  <c r="O61" i="22"/>
  <c r="R61" i="22"/>
  <c r="S43" i="21"/>
  <c r="N43" i="22"/>
  <c r="O53" i="22"/>
  <c r="R53" i="22"/>
  <c r="S56" i="21"/>
  <c r="N56" i="22"/>
  <c r="R55" i="21"/>
  <c r="O23" i="22"/>
  <c r="R23" i="22"/>
  <c r="S23" i="22" s="1"/>
  <c r="O28" i="22"/>
  <c r="R28" i="22"/>
  <c r="S28" i="22" s="1"/>
  <c r="S59" i="22"/>
  <c r="S15" i="21"/>
  <c r="N15" i="22"/>
  <c r="O37" i="22"/>
  <c r="R37" i="22"/>
  <c r="S37" i="22" s="1"/>
  <c r="S60" i="21"/>
  <c r="N60" i="22"/>
  <c r="R58" i="21"/>
  <c r="S47" i="21"/>
  <c r="N47" i="22"/>
  <c r="R46" i="21"/>
  <c r="S42" i="21"/>
  <c r="N42" i="22"/>
  <c r="O42" i="22" s="1"/>
  <c r="O44" i="22"/>
  <c r="R44" i="22"/>
  <c r="N36" i="22"/>
  <c r="S36" i="21"/>
  <c r="R31" i="21"/>
  <c r="S32" i="21"/>
  <c r="N32" i="22"/>
  <c r="S35" i="21"/>
  <c r="R34" i="21"/>
  <c r="N35" i="22"/>
  <c r="R27" i="22"/>
  <c r="S27" i="22" s="1"/>
  <c r="O27" i="22"/>
  <c r="R24" i="22"/>
  <c r="N24" i="23" s="1"/>
  <c r="O24" i="22"/>
  <c r="S22" i="21"/>
  <c r="O13" i="21"/>
  <c r="R13" i="21"/>
  <c r="N19" i="23"/>
  <c r="N53" i="23"/>
  <c r="N68" i="23"/>
  <c r="O68" i="23" s="1"/>
  <c r="N69" i="23"/>
  <c r="N21" i="21"/>
  <c r="O21" i="21" s="1"/>
  <c r="R12" i="20"/>
  <c r="N14" i="21"/>
  <c r="Q12" i="20"/>
  <c r="S21" i="20"/>
  <c r="N73" i="23"/>
  <c r="S14" i="20"/>
  <c r="S15" i="20"/>
  <c r="N37" i="23"/>
  <c r="M11" i="20"/>
  <c r="O12" i="20"/>
  <c r="S13" i="20"/>
  <c r="S26" i="22" l="1"/>
  <c r="N26" i="23"/>
  <c r="N23" i="23"/>
  <c r="N27" i="23"/>
  <c r="O27" i="23" s="1"/>
  <c r="N28" i="23"/>
  <c r="R21" i="21"/>
  <c r="S21" i="21" s="1"/>
  <c r="O73" i="23"/>
  <c r="R73" i="23"/>
  <c r="O23" i="23"/>
  <c r="R23" i="23"/>
  <c r="S23" i="23" s="1"/>
  <c r="S58" i="21"/>
  <c r="N58" i="22"/>
  <c r="O58" i="22" s="1"/>
  <c r="S53" i="22"/>
  <c r="R52" i="22"/>
  <c r="S61" i="22"/>
  <c r="N61" i="23"/>
  <c r="S59" i="23"/>
  <c r="O37" i="23"/>
  <c r="R37" i="23"/>
  <c r="S37" i="23" s="1"/>
  <c r="O56" i="22"/>
  <c r="R56" i="22"/>
  <c r="O43" i="22"/>
  <c r="R43" i="22"/>
  <c r="S43" i="22" s="1"/>
  <c r="O60" i="22"/>
  <c r="R60" i="22"/>
  <c r="O15" i="22"/>
  <c r="R15" i="22"/>
  <c r="S15" i="22" s="1"/>
  <c r="S55" i="21"/>
  <c r="N55" i="22"/>
  <c r="O55" i="22" s="1"/>
  <c r="R53" i="23"/>
  <c r="O53" i="23"/>
  <c r="N25" i="23"/>
  <c r="R28" i="23"/>
  <c r="S28" i="23" s="1"/>
  <c r="O28" i="23"/>
  <c r="O69" i="23"/>
  <c r="R69" i="23"/>
  <c r="S46" i="21"/>
  <c r="N46" i="22"/>
  <c r="O46" i="22" s="1"/>
  <c r="R47" i="22"/>
  <c r="O47" i="22"/>
  <c r="S44" i="22"/>
  <c r="N44" i="23"/>
  <c r="R36" i="22"/>
  <c r="S36" i="22" s="1"/>
  <c r="O36" i="22"/>
  <c r="O32" i="22"/>
  <c r="R32" i="22"/>
  <c r="N32" i="23" s="1"/>
  <c r="N31" i="22"/>
  <c r="O31" i="22" s="1"/>
  <c r="S31" i="21"/>
  <c r="S34" i="21"/>
  <c r="N34" i="22"/>
  <c r="O34" i="22" s="1"/>
  <c r="R35" i="22"/>
  <c r="O35" i="22"/>
  <c r="O24" i="23"/>
  <c r="R24" i="23"/>
  <c r="O14" i="21"/>
  <c r="R14" i="21"/>
  <c r="S24" i="22"/>
  <c r="R22" i="22"/>
  <c r="N22" i="23" s="1"/>
  <c r="O22" i="23" s="1"/>
  <c r="R19" i="23"/>
  <c r="O19" i="23"/>
  <c r="N13" i="22"/>
  <c r="S13" i="21"/>
  <c r="N17" i="23"/>
  <c r="O17" i="23" s="1"/>
  <c r="N18" i="23"/>
  <c r="O18" i="23" s="1"/>
  <c r="N56" i="23"/>
  <c r="N60" i="23"/>
  <c r="N22" i="22"/>
  <c r="O22" i="22" s="1"/>
  <c r="N72" i="23"/>
  <c r="O72" i="23" s="1"/>
  <c r="N12" i="21"/>
  <c r="O12" i="21" s="1"/>
  <c r="S12" i="20"/>
  <c r="N29" i="24"/>
  <c r="N59" i="24"/>
  <c r="O26" i="23" l="1"/>
  <c r="R26" i="23"/>
  <c r="S14" i="21"/>
  <c r="R12" i="21"/>
  <c r="S12" i="21" s="1"/>
  <c r="N21" i="22"/>
  <c r="O21" i="22" s="1"/>
  <c r="R27" i="23"/>
  <c r="S27" i="23" s="1"/>
  <c r="N36" i="23"/>
  <c r="R36" i="23" s="1"/>
  <c r="S36" i="23" s="1"/>
  <c r="N43" i="23"/>
  <c r="R43" i="23" s="1"/>
  <c r="S43" i="23" s="1"/>
  <c r="O60" i="23"/>
  <c r="R60" i="23"/>
  <c r="R56" i="23"/>
  <c r="O56" i="23"/>
  <c r="S60" i="22"/>
  <c r="R58" i="22"/>
  <c r="S56" i="22"/>
  <c r="R55" i="22"/>
  <c r="S52" i="22"/>
  <c r="N52" i="23"/>
  <c r="O52" i="23" s="1"/>
  <c r="O43" i="23"/>
  <c r="O59" i="24"/>
  <c r="R59" i="24"/>
  <c r="R25" i="23"/>
  <c r="S25" i="23" s="1"/>
  <c r="O25" i="23"/>
  <c r="O61" i="23"/>
  <c r="R61" i="23"/>
  <c r="S73" i="23"/>
  <c r="R72" i="23"/>
  <c r="S72" i="23" s="1"/>
  <c r="O29" i="24"/>
  <c r="R29" i="24"/>
  <c r="S29" i="24" s="1"/>
  <c r="R42" i="22"/>
  <c r="S53" i="23"/>
  <c r="R52" i="23"/>
  <c r="S52" i="23" s="1"/>
  <c r="R68" i="23"/>
  <c r="S68" i="23" s="1"/>
  <c r="S69" i="23"/>
  <c r="S47" i="22"/>
  <c r="R46" i="22"/>
  <c r="N47" i="23"/>
  <c r="R44" i="23"/>
  <c r="O44" i="23"/>
  <c r="N14" i="22"/>
  <c r="O14" i="22" s="1"/>
  <c r="S32" i="22"/>
  <c r="R31" i="22"/>
  <c r="O32" i="23"/>
  <c r="R32" i="23"/>
  <c r="S35" i="22"/>
  <c r="R34" i="22"/>
  <c r="N35" i="23"/>
  <c r="S22" i="22"/>
  <c r="S24" i="23"/>
  <c r="S19" i="23"/>
  <c r="R18" i="23"/>
  <c r="O13" i="22"/>
  <c r="R13" i="22"/>
  <c r="N19" i="24"/>
  <c r="N69" i="24"/>
  <c r="N53" i="24"/>
  <c r="N23" i="24"/>
  <c r="N37" i="24"/>
  <c r="N73" i="24"/>
  <c r="N28" i="24"/>
  <c r="N15" i="23"/>
  <c r="N24" i="24"/>
  <c r="S26" i="23" l="1"/>
  <c r="N26" i="24"/>
  <c r="N25" i="24"/>
  <c r="R22" i="23"/>
  <c r="S22" i="23" s="1"/>
  <c r="N27" i="24"/>
  <c r="R27" i="24" s="1"/>
  <c r="S27" i="24" s="1"/>
  <c r="N68" i="24"/>
  <c r="O68" i="24" s="1"/>
  <c r="N52" i="24"/>
  <c r="O52" i="24" s="1"/>
  <c r="O36" i="23"/>
  <c r="O53" i="24"/>
  <c r="R53" i="24"/>
  <c r="S55" i="22"/>
  <c r="N55" i="23"/>
  <c r="O55" i="23" s="1"/>
  <c r="S60" i="23"/>
  <c r="R58" i="23"/>
  <c r="S58" i="23" s="1"/>
  <c r="O15" i="23"/>
  <c r="R15" i="23"/>
  <c r="S15" i="23" s="1"/>
  <c r="R23" i="24"/>
  <c r="S23" i="24" s="1"/>
  <c r="O23" i="24"/>
  <c r="S61" i="23"/>
  <c r="N61" i="24"/>
  <c r="S59" i="24"/>
  <c r="S58" i="22"/>
  <c r="N58" i="23"/>
  <c r="O58" i="23" s="1"/>
  <c r="R25" i="24"/>
  <c r="S25" i="24" s="1"/>
  <c r="O25" i="24"/>
  <c r="O28" i="24"/>
  <c r="R28" i="24"/>
  <c r="S28" i="24" s="1"/>
  <c r="R21" i="22"/>
  <c r="S21" i="22" s="1"/>
  <c r="R73" i="24"/>
  <c r="O73" i="24"/>
  <c r="R37" i="24"/>
  <c r="S37" i="24" s="1"/>
  <c r="O37" i="24"/>
  <c r="S42" i="22"/>
  <c r="N42" i="23"/>
  <c r="O42" i="23" s="1"/>
  <c r="S56" i="23"/>
  <c r="R55" i="23"/>
  <c r="S55" i="23" s="1"/>
  <c r="R69" i="24"/>
  <c r="O69" i="24"/>
  <c r="R47" i="23"/>
  <c r="O47" i="23"/>
  <c r="S46" i="22"/>
  <c r="N46" i="23"/>
  <c r="O46" i="23" s="1"/>
  <c r="S44" i="23"/>
  <c r="R42" i="23"/>
  <c r="S42" i="23" s="1"/>
  <c r="N44" i="24"/>
  <c r="R14" i="22"/>
  <c r="S14" i="22" s="1"/>
  <c r="N12" i="22"/>
  <c r="O12" i="22" s="1"/>
  <c r="S32" i="23"/>
  <c r="R31" i="23"/>
  <c r="S31" i="23" s="1"/>
  <c r="S31" i="22"/>
  <c r="N31" i="23"/>
  <c r="O31" i="23" s="1"/>
  <c r="O35" i="23"/>
  <c r="R35" i="23"/>
  <c r="S34" i="22"/>
  <c r="N34" i="23"/>
  <c r="O34" i="23" s="1"/>
  <c r="R24" i="24"/>
  <c r="O24" i="24"/>
  <c r="S13" i="22"/>
  <c r="N13" i="23"/>
  <c r="O19" i="24"/>
  <c r="R19" i="24"/>
  <c r="R17" i="23"/>
  <c r="S17" i="23" s="1"/>
  <c r="S18" i="23"/>
  <c r="N18" i="24"/>
  <c r="O18" i="24" s="1"/>
  <c r="N60" i="24"/>
  <c r="N56" i="24"/>
  <c r="N36" i="24"/>
  <c r="N43" i="24"/>
  <c r="N32" i="24"/>
  <c r="N22" i="24"/>
  <c r="O22" i="24" s="1"/>
  <c r="N72" i="24"/>
  <c r="O72" i="24" s="1"/>
  <c r="N59" i="25"/>
  <c r="N29" i="25"/>
  <c r="O27" i="24" l="1"/>
  <c r="R26" i="24"/>
  <c r="O26" i="24"/>
  <c r="N55" i="24"/>
  <c r="O55" i="24" s="1"/>
  <c r="N21" i="23"/>
  <c r="O21" i="23" s="1"/>
  <c r="N14" i="23"/>
  <c r="R14" i="23" s="1"/>
  <c r="S14" i="23" s="1"/>
  <c r="R12" i="22"/>
  <c r="S12" i="22" s="1"/>
  <c r="N42" i="24"/>
  <c r="O42" i="24" s="1"/>
  <c r="S73" i="24"/>
  <c r="R72" i="24"/>
  <c r="S72" i="24" s="1"/>
  <c r="S53" i="24"/>
  <c r="R52" i="24"/>
  <c r="S52" i="24" s="1"/>
  <c r="O29" i="25"/>
  <c r="R29" i="25"/>
  <c r="S29" i="25" s="1"/>
  <c r="N58" i="24"/>
  <c r="O58" i="24" s="1"/>
  <c r="O61" i="24"/>
  <c r="R61" i="24"/>
  <c r="O43" i="24"/>
  <c r="R43" i="24"/>
  <c r="S43" i="24" s="1"/>
  <c r="O59" i="25"/>
  <c r="R59" i="25"/>
  <c r="N31" i="24"/>
  <c r="O31" i="24" s="1"/>
  <c r="O56" i="24"/>
  <c r="R56" i="24"/>
  <c r="O60" i="24"/>
  <c r="R60" i="24"/>
  <c r="R68" i="24"/>
  <c r="S68" i="24" s="1"/>
  <c r="S69" i="24"/>
  <c r="R46" i="23"/>
  <c r="S47" i="23"/>
  <c r="N47" i="24"/>
  <c r="R44" i="24"/>
  <c r="O44" i="24"/>
  <c r="O36" i="24"/>
  <c r="R36" i="24"/>
  <c r="S36" i="24" s="1"/>
  <c r="R32" i="24"/>
  <c r="O32" i="24"/>
  <c r="S35" i="23"/>
  <c r="R34" i="23"/>
  <c r="N35" i="24"/>
  <c r="S24" i="24"/>
  <c r="R22" i="24"/>
  <c r="S19" i="24"/>
  <c r="R18" i="24"/>
  <c r="N17" i="24"/>
  <c r="O17" i="24" s="1"/>
  <c r="O13" i="23"/>
  <c r="R13" i="23"/>
  <c r="N19" i="25"/>
  <c r="N53" i="25"/>
  <c r="N69" i="25"/>
  <c r="N23" i="25"/>
  <c r="N37" i="25"/>
  <c r="N28" i="25"/>
  <c r="N15" i="24"/>
  <c r="W22" i="22"/>
  <c r="N27" i="25"/>
  <c r="N24" i="25"/>
  <c r="N25" i="25"/>
  <c r="S26" i="24" l="1"/>
  <c r="N26" i="25"/>
  <c r="N14" i="24"/>
  <c r="N52" i="25"/>
  <c r="O52" i="25" s="1"/>
  <c r="O14" i="23"/>
  <c r="N68" i="25"/>
  <c r="O68" i="25" s="1"/>
  <c r="R37" i="25"/>
  <c r="S37" i="25" s="1"/>
  <c r="O37" i="25"/>
  <c r="O15" i="24"/>
  <c r="R15" i="24"/>
  <c r="S15" i="24" s="1"/>
  <c r="S60" i="24"/>
  <c r="R58" i="24"/>
  <c r="S58" i="24" s="1"/>
  <c r="S56" i="24"/>
  <c r="R55" i="24"/>
  <c r="S55" i="24" s="1"/>
  <c r="O28" i="25"/>
  <c r="R28" i="25"/>
  <c r="S28" i="25" s="1"/>
  <c r="S59" i="25"/>
  <c r="R25" i="25"/>
  <c r="S25" i="25" s="1"/>
  <c r="O25" i="25"/>
  <c r="R23" i="25"/>
  <c r="S23" i="25" s="1"/>
  <c r="O23" i="25"/>
  <c r="O53" i="25"/>
  <c r="R53" i="25"/>
  <c r="S61" i="24"/>
  <c r="N61" i="25"/>
  <c r="O69" i="25"/>
  <c r="R69" i="25"/>
  <c r="R47" i="24"/>
  <c r="O47" i="24"/>
  <c r="S46" i="23"/>
  <c r="N46" i="24"/>
  <c r="O46" i="24" s="1"/>
  <c r="R42" i="24"/>
  <c r="S42" i="24" s="1"/>
  <c r="S44" i="24"/>
  <c r="N44" i="25"/>
  <c r="S32" i="24"/>
  <c r="R31" i="24"/>
  <c r="S31" i="24" s="1"/>
  <c r="S34" i="23"/>
  <c r="N34" i="24"/>
  <c r="O34" i="24" s="1"/>
  <c r="R21" i="23"/>
  <c r="R35" i="24"/>
  <c r="O35" i="24"/>
  <c r="R27" i="25"/>
  <c r="S27" i="25" s="1"/>
  <c r="O27" i="25"/>
  <c r="O24" i="25"/>
  <c r="R24" i="25"/>
  <c r="S22" i="24"/>
  <c r="O14" i="24"/>
  <c r="R14" i="24"/>
  <c r="S14" i="24" s="1"/>
  <c r="S13" i="23"/>
  <c r="R12" i="23"/>
  <c r="S12" i="23" s="1"/>
  <c r="N13" i="24"/>
  <c r="R19" i="25"/>
  <c r="O19" i="25"/>
  <c r="R17" i="24"/>
  <c r="S17" i="24" s="1"/>
  <c r="S18" i="24"/>
  <c r="N42" i="25"/>
  <c r="O42" i="25" s="1"/>
  <c r="N43" i="25"/>
  <c r="N60" i="25"/>
  <c r="N73" i="25"/>
  <c r="N55" i="25"/>
  <c r="O55" i="25" s="1"/>
  <c r="N56" i="25"/>
  <c r="N36" i="25"/>
  <c r="N18" i="25"/>
  <c r="O18" i="25" s="1"/>
  <c r="N32" i="25"/>
  <c r="N59" i="26"/>
  <c r="N22" i="25"/>
  <c r="O22" i="25" s="1"/>
  <c r="N72" i="25"/>
  <c r="O72" i="25" s="1"/>
  <c r="N12" i="23"/>
  <c r="O12" i="23" s="1"/>
  <c r="R26" i="25" l="1"/>
  <c r="O26" i="25"/>
  <c r="N58" i="25"/>
  <c r="O58" i="25" s="1"/>
  <c r="N31" i="25"/>
  <c r="O31" i="25" s="1"/>
  <c r="O59" i="26"/>
  <c r="R59" i="26"/>
  <c r="N17" i="25"/>
  <c r="O17" i="25" s="1"/>
  <c r="R73" i="25"/>
  <c r="O73" i="25"/>
  <c r="O60" i="25"/>
  <c r="R60" i="25"/>
  <c r="S53" i="25"/>
  <c r="R52" i="25"/>
  <c r="S52" i="25" s="1"/>
  <c r="O56" i="25"/>
  <c r="R56" i="25"/>
  <c r="N27" i="26"/>
  <c r="O27" i="26" s="1"/>
  <c r="O43" i="25"/>
  <c r="R43" i="25"/>
  <c r="S43" i="25" s="1"/>
  <c r="O61" i="25"/>
  <c r="R61" i="25"/>
  <c r="S61" i="25" s="1"/>
  <c r="R68" i="25"/>
  <c r="S68" i="25" s="1"/>
  <c r="S69" i="25"/>
  <c r="R46" i="24"/>
  <c r="S47" i="24"/>
  <c r="N47" i="25"/>
  <c r="R44" i="25"/>
  <c r="N44" i="26" s="1"/>
  <c r="O44" i="25"/>
  <c r="R36" i="25"/>
  <c r="S36" i="25" s="1"/>
  <c r="O36" i="25"/>
  <c r="R32" i="25"/>
  <c r="O32" i="25"/>
  <c r="S35" i="24"/>
  <c r="R34" i="24"/>
  <c r="N35" i="25"/>
  <c r="S21" i="23"/>
  <c r="N21" i="24"/>
  <c r="O21" i="24" s="1"/>
  <c r="S24" i="25"/>
  <c r="R22" i="25"/>
  <c r="R18" i="25"/>
  <c r="S19" i="25"/>
  <c r="O13" i="24"/>
  <c r="R13" i="24"/>
  <c r="N61" i="26"/>
  <c r="N14" i="25"/>
  <c r="N15" i="25"/>
  <c r="W21" i="23"/>
  <c r="S26" i="25" l="1"/>
  <c r="N26" i="26"/>
  <c r="R27" i="26"/>
  <c r="S27" i="26" s="1"/>
  <c r="R61" i="26"/>
  <c r="S61" i="26" s="1"/>
  <c r="O61" i="26"/>
  <c r="S73" i="25"/>
  <c r="R72" i="25"/>
  <c r="S72" i="25" s="1"/>
  <c r="O15" i="25"/>
  <c r="R15" i="25"/>
  <c r="S15" i="25" s="1"/>
  <c r="S56" i="25"/>
  <c r="R55" i="25"/>
  <c r="S55" i="25" s="1"/>
  <c r="S60" i="25"/>
  <c r="R58" i="25"/>
  <c r="S58" i="25" s="1"/>
  <c r="S59" i="26"/>
  <c r="O47" i="25"/>
  <c r="R47" i="25"/>
  <c r="S46" i="24"/>
  <c r="N46" i="25"/>
  <c r="O46" i="25" s="1"/>
  <c r="S44" i="25"/>
  <c r="R42" i="25"/>
  <c r="S42" i="25" s="1"/>
  <c r="R44" i="26"/>
  <c r="O44" i="26"/>
  <c r="S32" i="25"/>
  <c r="R31" i="25"/>
  <c r="S31" i="25" s="1"/>
  <c r="O35" i="25"/>
  <c r="R35" i="25"/>
  <c r="S34" i="24"/>
  <c r="N34" i="25"/>
  <c r="O34" i="25" s="1"/>
  <c r="R21" i="24"/>
  <c r="O14" i="25"/>
  <c r="R14" i="25"/>
  <c r="S14" i="25" s="1"/>
  <c r="S22" i="25"/>
  <c r="R17" i="25"/>
  <c r="S17" i="25" s="1"/>
  <c r="S18" i="25"/>
  <c r="S13" i="24"/>
  <c r="R12" i="24"/>
  <c r="S12" i="24" s="1"/>
  <c r="N13" i="25"/>
  <c r="N47" i="26"/>
  <c r="N68" i="26"/>
  <c r="O68" i="26" s="1"/>
  <c r="N69" i="26"/>
  <c r="N19" i="26"/>
  <c r="N52" i="26"/>
  <c r="O52" i="26" s="1"/>
  <c r="N53" i="26"/>
  <c r="N59" i="27"/>
  <c r="N29" i="26"/>
  <c r="N37" i="26"/>
  <c r="N24" i="26"/>
  <c r="N73" i="26"/>
  <c r="N32" i="26"/>
  <c r="N12" i="24"/>
  <c r="O12" i="24" s="1"/>
  <c r="N27" i="27" l="1"/>
  <c r="R26" i="26"/>
  <c r="O26" i="26"/>
  <c r="O59" i="27"/>
  <c r="R59" i="27"/>
  <c r="O37" i="26"/>
  <c r="R37" i="26"/>
  <c r="S37" i="26" s="1"/>
  <c r="O53" i="26"/>
  <c r="R53" i="26"/>
  <c r="O73" i="26"/>
  <c r="R73" i="26"/>
  <c r="O29" i="26"/>
  <c r="R29" i="26"/>
  <c r="S29" i="26" s="1"/>
  <c r="O69" i="26"/>
  <c r="R69" i="26"/>
  <c r="O47" i="26"/>
  <c r="R47" i="26"/>
  <c r="N47" i="27" s="1"/>
  <c r="R46" i="25"/>
  <c r="S47" i="25"/>
  <c r="S44" i="26"/>
  <c r="R32" i="26"/>
  <c r="O32" i="26"/>
  <c r="S35" i="25"/>
  <c r="R34" i="25"/>
  <c r="N34" i="26" s="1"/>
  <c r="O34" i="26" s="1"/>
  <c r="N35" i="26"/>
  <c r="S21" i="24"/>
  <c r="N21" i="25"/>
  <c r="O21" i="25" s="1"/>
  <c r="O27" i="27"/>
  <c r="R27" i="27"/>
  <c r="S27" i="27" s="1"/>
  <c r="O24" i="26"/>
  <c r="R24" i="26"/>
  <c r="N24" i="27" s="1"/>
  <c r="O13" i="25"/>
  <c r="R13" i="25"/>
  <c r="O19" i="26"/>
  <c r="R19" i="26"/>
  <c r="N17" i="26"/>
  <c r="O17" i="26" s="1"/>
  <c r="N18" i="26"/>
  <c r="O18" i="26" s="1"/>
  <c r="N42" i="26"/>
  <c r="O42" i="26" s="1"/>
  <c r="N43" i="26"/>
  <c r="N58" i="26"/>
  <c r="O58" i="26" s="1"/>
  <c r="N60" i="26"/>
  <c r="N61" i="27"/>
  <c r="N36" i="26"/>
  <c r="N55" i="26"/>
  <c r="O55" i="26" s="1"/>
  <c r="N56" i="26"/>
  <c r="N69" i="27"/>
  <c r="N28" i="26"/>
  <c r="N23" i="26"/>
  <c r="N25" i="26"/>
  <c r="N73" i="27"/>
  <c r="N13" i="26"/>
  <c r="N44" i="27"/>
  <c r="S26" i="26" l="1"/>
  <c r="N26" i="27"/>
  <c r="N29" i="27"/>
  <c r="R29" i="27" s="1"/>
  <c r="S29" i="27" s="1"/>
  <c r="O28" i="26"/>
  <c r="R28" i="26"/>
  <c r="S28" i="26" s="1"/>
  <c r="O43" i="26"/>
  <c r="R43" i="26"/>
  <c r="N43" i="27" s="1"/>
  <c r="R25" i="26"/>
  <c r="S25" i="26" s="1"/>
  <c r="O25" i="26"/>
  <c r="O56" i="26"/>
  <c r="R56" i="26"/>
  <c r="O60" i="26"/>
  <c r="R60" i="26"/>
  <c r="R23" i="26"/>
  <c r="S23" i="26" s="1"/>
  <c r="O23" i="26"/>
  <c r="S53" i="26"/>
  <c r="R52" i="26"/>
  <c r="S52" i="26" s="1"/>
  <c r="R73" i="27"/>
  <c r="O73" i="27"/>
  <c r="S59" i="27"/>
  <c r="O29" i="27"/>
  <c r="O61" i="27"/>
  <c r="R61" i="27"/>
  <c r="S61" i="27" s="1"/>
  <c r="R72" i="26"/>
  <c r="S72" i="26" s="1"/>
  <c r="S73" i="26"/>
  <c r="N53" i="27"/>
  <c r="O69" i="27"/>
  <c r="R69" i="27"/>
  <c r="R68" i="26"/>
  <c r="S69" i="26"/>
  <c r="R47" i="27"/>
  <c r="O47" i="27"/>
  <c r="S46" i="25"/>
  <c r="N46" i="26"/>
  <c r="O46" i="26" s="1"/>
  <c r="R46" i="26"/>
  <c r="S47" i="26"/>
  <c r="R44" i="27"/>
  <c r="O44" i="27"/>
  <c r="O36" i="26"/>
  <c r="R36" i="26"/>
  <c r="S36" i="26" s="1"/>
  <c r="S32" i="26"/>
  <c r="R31" i="26"/>
  <c r="S31" i="26" s="1"/>
  <c r="R35" i="26"/>
  <c r="O35" i="26"/>
  <c r="S34" i="25"/>
  <c r="R21" i="25"/>
  <c r="S21" i="25" s="1"/>
  <c r="S24" i="26"/>
  <c r="R24" i="27"/>
  <c r="O24" i="27"/>
  <c r="S19" i="26"/>
  <c r="R18" i="26"/>
  <c r="O13" i="26"/>
  <c r="R13" i="26"/>
  <c r="N13" i="27" s="1"/>
  <c r="S13" i="25"/>
  <c r="R12" i="25"/>
  <c r="S12" i="25" s="1"/>
  <c r="N31" i="26"/>
  <c r="O31" i="26" s="1"/>
  <c r="N72" i="26"/>
  <c r="O72" i="26" s="1"/>
  <c r="N19" i="27"/>
  <c r="N59" i="28"/>
  <c r="N37" i="27"/>
  <c r="N23" i="27"/>
  <c r="N22" i="26"/>
  <c r="O22" i="26" s="1"/>
  <c r="N27" i="28"/>
  <c r="N14" i="26"/>
  <c r="N12" i="25"/>
  <c r="O12" i="25" s="1"/>
  <c r="N52" i="27" l="1"/>
  <c r="O52" i="27" s="1"/>
  <c r="R26" i="27"/>
  <c r="O26" i="27"/>
  <c r="R22" i="26"/>
  <c r="S22" i="26" s="1"/>
  <c r="R23" i="27"/>
  <c r="S23" i="27" s="1"/>
  <c r="O23" i="27"/>
  <c r="O53" i="27"/>
  <c r="R53" i="27"/>
  <c r="S73" i="27"/>
  <c r="R72" i="27"/>
  <c r="S72" i="27" s="1"/>
  <c r="N25" i="27"/>
  <c r="R59" i="28"/>
  <c r="O59" i="28"/>
  <c r="S60" i="26"/>
  <c r="R58" i="26"/>
  <c r="S58" i="26" s="1"/>
  <c r="O43" i="27"/>
  <c r="R43" i="27"/>
  <c r="N28" i="27"/>
  <c r="R37" i="27"/>
  <c r="S37" i="27" s="1"/>
  <c r="O37" i="27"/>
  <c r="N36" i="27"/>
  <c r="O36" i="27" s="1"/>
  <c r="S56" i="26"/>
  <c r="R55" i="26"/>
  <c r="S55" i="26" s="1"/>
  <c r="S43" i="26"/>
  <c r="R42" i="26"/>
  <c r="S42" i="26" s="1"/>
  <c r="S68" i="26"/>
  <c r="N68" i="27"/>
  <c r="O68" i="27" s="1"/>
  <c r="R68" i="27"/>
  <c r="S68" i="27" s="1"/>
  <c r="S69" i="27"/>
  <c r="N69" i="28"/>
  <c r="S46" i="26"/>
  <c r="N46" i="27"/>
  <c r="O46" i="27" s="1"/>
  <c r="R46" i="27"/>
  <c r="S46" i="27" s="1"/>
  <c r="S47" i="27"/>
  <c r="S44" i="27"/>
  <c r="R42" i="27"/>
  <c r="S42" i="27" s="1"/>
  <c r="R36" i="27"/>
  <c r="S36" i="27" s="1"/>
  <c r="S35" i="26"/>
  <c r="R34" i="26"/>
  <c r="S34" i="26" s="1"/>
  <c r="N35" i="27"/>
  <c r="R27" i="28"/>
  <c r="S27" i="28" s="1"/>
  <c r="O27" i="28"/>
  <c r="S24" i="27"/>
  <c r="O14" i="26"/>
  <c r="R14" i="26"/>
  <c r="S14" i="26" s="1"/>
  <c r="N24" i="28"/>
  <c r="S13" i="26"/>
  <c r="O13" i="27"/>
  <c r="R13" i="27"/>
  <c r="R19" i="27"/>
  <c r="N19" i="28" s="1"/>
  <c r="O19" i="27"/>
  <c r="R17" i="26"/>
  <c r="S17" i="26" s="1"/>
  <c r="S18" i="26"/>
  <c r="N60" i="27"/>
  <c r="N47" i="28"/>
  <c r="N56" i="27"/>
  <c r="N72" i="27"/>
  <c r="O72" i="27" s="1"/>
  <c r="N32" i="27"/>
  <c r="N18" i="27"/>
  <c r="O18" i="27" s="1"/>
  <c r="N15" i="26"/>
  <c r="N61" i="28"/>
  <c r="N21" i="26"/>
  <c r="O21" i="26" s="1"/>
  <c r="N12" i="26"/>
  <c r="O12" i="26" s="1"/>
  <c r="N29" i="28"/>
  <c r="N44" i="28"/>
  <c r="N23" i="28" l="1"/>
  <c r="O23" i="28" s="1"/>
  <c r="N37" i="28"/>
  <c r="O37" i="28" s="1"/>
  <c r="N22" i="27"/>
  <c r="O22" i="27" s="1"/>
  <c r="S26" i="27"/>
  <c r="N26" i="28"/>
  <c r="N58" i="27"/>
  <c r="O58" i="27" s="1"/>
  <c r="R21" i="26"/>
  <c r="S21" i="26" s="1"/>
  <c r="R23" i="28"/>
  <c r="S23" i="28" s="1"/>
  <c r="S59" i="28"/>
  <c r="S53" i="27"/>
  <c r="R52" i="27"/>
  <c r="N53" i="28"/>
  <c r="O15" i="26"/>
  <c r="R15" i="26"/>
  <c r="S15" i="26" s="1"/>
  <c r="O56" i="27"/>
  <c r="R56" i="27"/>
  <c r="N42" i="27"/>
  <c r="O42" i="27" s="1"/>
  <c r="R25" i="27"/>
  <c r="N25" i="28" s="1"/>
  <c r="O25" i="27"/>
  <c r="O28" i="27"/>
  <c r="R28" i="27"/>
  <c r="S28" i="27" s="1"/>
  <c r="R29" i="28"/>
  <c r="S29" i="28" s="1"/>
  <c r="O29" i="28"/>
  <c r="R61" i="28"/>
  <c r="S61" i="28" s="1"/>
  <c r="O61" i="28"/>
  <c r="O60" i="27"/>
  <c r="R60" i="27"/>
  <c r="S43" i="27"/>
  <c r="N43" i="28"/>
  <c r="O69" i="28"/>
  <c r="R69" i="28"/>
  <c r="R47" i="28"/>
  <c r="N47" i="29" s="1"/>
  <c r="O47" i="28"/>
  <c r="R44" i="28"/>
  <c r="O44" i="28"/>
  <c r="O32" i="27"/>
  <c r="R32" i="27"/>
  <c r="O35" i="27"/>
  <c r="R35" i="27"/>
  <c r="N34" i="27"/>
  <c r="O34" i="27" s="1"/>
  <c r="R24" i="28"/>
  <c r="N24" i="29" s="1"/>
  <c r="O24" i="28"/>
  <c r="R12" i="26"/>
  <c r="S12" i="26" s="1"/>
  <c r="R18" i="27"/>
  <c r="N18" i="28" s="1"/>
  <c r="O18" i="28" s="1"/>
  <c r="S19" i="27"/>
  <c r="S13" i="27"/>
  <c r="O19" i="28"/>
  <c r="R19" i="28"/>
  <c r="N19" i="29" s="1"/>
  <c r="N59" i="29"/>
  <c r="N68" i="28"/>
  <c r="O68" i="28" s="1"/>
  <c r="N31" i="27"/>
  <c r="O31" i="27" s="1"/>
  <c r="N17" i="27"/>
  <c r="O17" i="27" s="1"/>
  <c r="N55" i="27"/>
  <c r="O55" i="27" s="1"/>
  <c r="N46" i="28"/>
  <c r="O46" i="28" s="1"/>
  <c r="N36" i="28"/>
  <c r="N73" i="28"/>
  <c r="N69" i="29"/>
  <c r="N27" i="29"/>
  <c r="N13" i="28"/>
  <c r="N42" i="28"/>
  <c r="O42" i="28" s="1"/>
  <c r="N61" i="29" l="1"/>
  <c r="R37" i="28"/>
  <c r="N15" i="27"/>
  <c r="O15" i="27" s="1"/>
  <c r="O26" i="28"/>
  <c r="R26" i="28"/>
  <c r="N21" i="27"/>
  <c r="O21" i="27" s="1"/>
  <c r="S56" i="27"/>
  <c r="R55" i="27"/>
  <c r="S55" i="27" s="1"/>
  <c r="N28" i="28"/>
  <c r="R59" i="29"/>
  <c r="O59" i="29"/>
  <c r="S60" i="27"/>
  <c r="R58" i="27"/>
  <c r="S58" i="27" s="1"/>
  <c r="S52" i="27"/>
  <c r="N52" i="28"/>
  <c r="O52" i="28" s="1"/>
  <c r="O73" i="28"/>
  <c r="R73" i="28"/>
  <c r="O43" i="28"/>
  <c r="R43" i="28"/>
  <c r="R25" i="28"/>
  <c r="O25" i="28"/>
  <c r="O61" i="29"/>
  <c r="R61" i="29"/>
  <c r="S61" i="29" s="1"/>
  <c r="S25" i="27"/>
  <c r="R22" i="27"/>
  <c r="S22" i="27" s="1"/>
  <c r="O53" i="28"/>
  <c r="R53" i="28"/>
  <c r="O69" i="29"/>
  <c r="R69" i="29"/>
  <c r="R68" i="28"/>
  <c r="S68" i="28" s="1"/>
  <c r="S69" i="28"/>
  <c r="O47" i="29"/>
  <c r="R47" i="29"/>
  <c r="R46" i="28"/>
  <c r="S46" i="28" s="1"/>
  <c r="S47" i="28"/>
  <c r="S44" i="28"/>
  <c r="R42" i="28"/>
  <c r="S42" i="28" s="1"/>
  <c r="O36" i="28"/>
  <c r="R36" i="28"/>
  <c r="S36" i="28" s="1"/>
  <c r="S32" i="27"/>
  <c r="R31" i="27"/>
  <c r="S31" i="27" s="1"/>
  <c r="N32" i="28"/>
  <c r="S35" i="27"/>
  <c r="R34" i="27"/>
  <c r="N34" i="28" s="1"/>
  <c r="O34" i="28" s="1"/>
  <c r="N35" i="28"/>
  <c r="R27" i="29"/>
  <c r="S27" i="29" s="1"/>
  <c r="O27" i="29"/>
  <c r="O24" i="29"/>
  <c r="R24" i="29"/>
  <c r="S24" i="28"/>
  <c r="O19" i="29"/>
  <c r="R19" i="29"/>
  <c r="N19" i="30" s="1"/>
  <c r="R17" i="27"/>
  <c r="S17" i="27" s="1"/>
  <c r="S18" i="27"/>
  <c r="O13" i="28"/>
  <c r="R13" i="28"/>
  <c r="N13" i="29" s="1"/>
  <c r="S19" i="28"/>
  <c r="R18" i="28"/>
  <c r="N18" i="29" s="1"/>
  <c r="O18" i="29" s="1"/>
  <c r="N61" i="30"/>
  <c r="N60" i="28"/>
  <c r="N31" i="28"/>
  <c r="O31" i="28" s="1"/>
  <c r="N56" i="28"/>
  <c r="N72" i="28"/>
  <c r="O72" i="28" s="1"/>
  <c r="N23" i="29"/>
  <c r="N14" i="27"/>
  <c r="N47" i="30"/>
  <c r="N29" i="29"/>
  <c r="N44" i="29"/>
  <c r="N12" i="27"/>
  <c r="O12" i="27" s="1"/>
  <c r="N58" i="28" l="1"/>
  <c r="O58" i="28" s="1"/>
  <c r="S37" i="28"/>
  <c r="N37" i="29"/>
  <c r="R15" i="27"/>
  <c r="N15" i="28" s="1"/>
  <c r="N17" i="28"/>
  <c r="O17" i="28" s="1"/>
  <c r="S26" i="28"/>
  <c r="N26" i="29"/>
  <c r="N46" i="29"/>
  <c r="O46" i="29" s="1"/>
  <c r="N22" i="28"/>
  <c r="O22" i="28" s="1"/>
  <c r="S25" i="28"/>
  <c r="N25" i="29"/>
  <c r="R56" i="28"/>
  <c r="O56" i="28"/>
  <c r="N36" i="29"/>
  <c r="R36" i="29" s="1"/>
  <c r="S36" i="29" s="1"/>
  <c r="S59" i="29"/>
  <c r="O29" i="29"/>
  <c r="R29" i="29"/>
  <c r="S29" i="29" s="1"/>
  <c r="R61" i="30"/>
  <c r="S61" i="30" s="1"/>
  <c r="O61" i="30"/>
  <c r="S73" i="28"/>
  <c r="R72" i="28"/>
  <c r="S72" i="28" s="1"/>
  <c r="R28" i="28"/>
  <c r="N28" i="29" s="1"/>
  <c r="O28" i="28"/>
  <c r="R23" i="29"/>
  <c r="S23" i="29" s="1"/>
  <c r="O23" i="29"/>
  <c r="R60" i="28"/>
  <c r="O60" i="28"/>
  <c r="S53" i="28"/>
  <c r="R52" i="28"/>
  <c r="N53" i="29"/>
  <c r="S43" i="28"/>
  <c r="N43" i="29"/>
  <c r="R68" i="29"/>
  <c r="S68" i="29" s="1"/>
  <c r="S69" i="29"/>
  <c r="R47" i="30"/>
  <c r="O47" i="30"/>
  <c r="R46" i="29"/>
  <c r="S46" i="29" s="1"/>
  <c r="S47" i="29"/>
  <c r="O44" i="29"/>
  <c r="R44" i="29"/>
  <c r="O32" i="28"/>
  <c r="R32" i="28"/>
  <c r="S34" i="27"/>
  <c r="R21" i="27"/>
  <c r="S21" i="27" s="1"/>
  <c r="R35" i="28"/>
  <c r="O35" i="28"/>
  <c r="S24" i="29"/>
  <c r="O14" i="27"/>
  <c r="R14" i="27"/>
  <c r="R17" i="28"/>
  <c r="S17" i="28" s="1"/>
  <c r="S18" i="28"/>
  <c r="O19" i="30"/>
  <c r="R19" i="30"/>
  <c r="O13" i="29"/>
  <c r="R13" i="29"/>
  <c r="N13" i="30" s="1"/>
  <c r="S13" i="28"/>
  <c r="S19" i="29"/>
  <c r="R18" i="29"/>
  <c r="N18" i="30" s="1"/>
  <c r="O18" i="30" s="1"/>
  <c r="N59" i="30"/>
  <c r="N73" i="29"/>
  <c r="N55" i="28"/>
  <c r="O55" i="28" s="1"/>
  <c r="N68" i="29"/>
  <c r="O68" i="29" s="1"/>
  <c r="N69" i="30"/>
  <c r="N24" i="30"/>
  <c r="N27" i="30"/>
  <c r="N42" i="29"/>
  <c r="O42" i="29" s="1"/>
  <c r="S15" i="27" l="1"/>
  <c r="N61" i="31"/>
  <c r="O61" i="31" s="1"/>
  <c r="N72" i="29"/>
  <c r="O72" i="29" s="1"/>
  <c r="O37" i="29"/>
  <c r="R37" i="29"/>
  <c r="O36" i="29"/>
  <c r="R26" i="29"/>
  <c r="O26" i="29"/>
  <c r="N46" i="30"/>
  <c r="O46" i="30" s="1"/>
  <c r="N17" i="29"/>
  <c r="O17" i="29" s="1"/>
  <c r="S52" i="28"/>
  <c r="N52" i="29"/>
  <c r="O52" i="29" s="1"/>
  <c r="O73" i="29"/>
  <c r="R73" i="29"/>
  <c r="N73" i="30" s="1"/>
  <c r="O15" i="28"/>
  <c r="R15" i="28"/>
  <c r="O25" i="29"/>
  <c r="R25" i="29"/>
  <c r="O28" i="29"/>
  <c r="R28" i="29"/>
  <c r="S28" i="29" s="1"/>
  <c r="R59" i="30"/>
  <c r="N59" i="31" s="1"/>
  <c r="O59" i="30"/>
  <c r="R43" i="29"/>
  <c r="R42" i="29" s="1"/>
  <c r="S42" i="29" s="1"/>
  <c r="O43" i="29"/>
  <c r="R53" i="29"/>
  <c r="O53" i="29"/>
  <c r="S60" i="28"/>
  <c r="R58" i="28"/>
  <c r="S58" i="28" s="1"/>
  <c r="S28" i="28"/>
  <c r="R22" i="28"/>
  <c r="S22" i="28" s="1"/>
  <c r="R55" i="28"/>
  <c r="S55" i="28" s="1"/>
  <c r="S56" i="28"/>
  <c r="O69" i="30"/>
  <c r="R69" i="30"/>
  <c r="N69" i="31" s="1"/>
  <c r="R46" i="30"/>
  <c r="S46" i="30" s="1"/>
  <c r="S47" i="30"/>
  <c r="S44" i="29"/>
  <c r="N36" i="30"/>
  <c r="S32" i="28"/>
  <c r="R31" i="28"/>
  <c r="S31" i="28" s="1"/>
  <c r="N32" i="29"/>
  <c r="S35" i="28"/>
  <c r="R34" i="28"/>
  <c r="N35" i="29"/>
  <c r="N21" i="28"/>
  <c r="O21" i="28" s="1"/>
  <c r="O27" i="30"/>
  <c r="R27" i="30"/>
  <c r="S27" i="30" s="1"/>
  <c r="O24" i="30"/>
  <c r="R24" i="30"/>
  <c r="S14" i="27"/>
  <c r="R12" i="27"/>
  <c r="S12" i="27" s="1"/>
  <c r="R18" i="30"/>
  <c r="S19" i="30"/>
  <c r="R17" i="29"/>
  <c r="S17" i="29" s="1"/>
  <c r="S18" i="29"/>
  <c r="S13" i="29"/>
  <c r="N19" i="31"/>
  <c r="O13" i="30"/>
  <c r="R13" i="30"/>
  <c r="N13" i="31" s="1"/>
  <c r="N23" i="30"/>
  <c r="N24" i="31"/>
  <c r="N60" i="29"/>
  <c r="N56" i="29"/>
  <c r="N68" i="30"/>
  <c r="O68" i="30" s="1"/>
  <c r="N14" i="28"/>
  <c r="N47" i="31"/>
  <c r="N29" i="30"/>
  <c r="N44" i="30"/>
  <c r="N58" i="29" l="1"/>
  <c r="O58" i="29" s="1"/>
  <c r="R61" i="31"/>
  <c r="S61" i="31" s="1"/>
  <c r="S37" i="29"/>
  <c r="N37" i="30"/>
  <c r="S26" i="29"/>
  <c r="N26" i="30"/>
  <c r="N22" i="29"/>
  <c r="O22" i="29" s="1"/>
  <c r="S53" i="29"/>
  <c r="R52" i="29"/>
  <c r="N53" i="30"/>
  <c r="R29" i="30"/>
  <c r="S29" i="30" s="1"/>
  <c r="O29" i="30"/>
  <c r="S43" i="29"/>
  <c r="N43" i="30"/>
  <c r="O59" i="31"/>
  <c r="R59" i="31"/>
  <c r="R73" i="30"/>
  <c r="O73" i="30"/>
  <c r="N31" i="29"/>
  <c r="O31" i="29" s="1"/>
  <c r="R56" i="29"/>
  <c r="O56" i="29"/>
  <c r="R23" i="30"/>
  <c r="S23" i="30" s="1"/>
  <c r="O23" i="30"/>
  <c r="S25" i="29"/>
  <c r="N25" i="30"/>
  <c r="R22" i="29"/>
  <c r="S22" i="29" s="1"/>
  <c r="S73" i="29"/>
  <c r="R72" i="29"/>
  <c r="S72" i="29" s="1"/>
  <c r="R60" i="29"/>
  <c r="O60" i="29"/>
  <c r="S59" i="30"/>
  <c r="S15" i="28"/>
  <c r="N15" i="29"/>
  <c r="R68" i="30"/>
  <c r="S69" i="30"/>
  <c r="R69" i="31"/>
  <c r="O69" i="31"/>
  <c r="R47" i="31"/>
  <c r="O47" i="31"/>
  <c r="O44" i="30"/>
  <c r="R44" i="30"/>
  <c r="O36" i="30"/>
  <c r="R36" i="30"/>
  <c r="O32" i="29"/>
  <c r="R32" i="29"/>
  <c r="S34" i="28"/>
  <c r="R21" i="28"/>
  <c r="S21" i="28" s="1"/>
  <c r="N34" i="29"/>
  <c r="O34" i="29" s="1"/>
  <c r="R35" i="29"/>
  <c r="O35" i="29"/>
  <c r="N12" i="28"/>
  <c r="O12" i="28" s="1"/>
  <c r="O14" i="28"/>
  <c r="R14" i="28"/>
  <c r="S24" i="30"/>
  <c r="O24" i="31"/>
  <c r="R24" i="31"/>
  <c r="S13" i="30"/>
  <c r="R17" i="30"/>
  <c r="S18" i="30"/>
  <c r="N18" i="31"/>
  <c r="O18" i="31" s="1"/>
  <c r="R19" i="31"/>
  <c r="O19" i="31"/>
  <c r="O13" i="31"/>
  <c r="R13" i="31"/>
  <c r="N17" i="30"/>
  <c r="O17" i="30" s="1"/>
  <c r="N55" i="29"/>
  <c r="O55" i="29" s="1"/>
  <c r="N46" i="31"/>
  <c r="O46" i="31" s="1"/>
  <c r="N27" i="31"/>
  <c r="N42" i="30"/>
  <c r="O42" i="30" s="1"/>
  <c r="N28" i="30"/>
  <c r="N72" i="30" l="1"/>
  <c r="O72" i="30" s="1"/>
  <c r="N29" i="31"/>
  <c r="R29" i="31" s="1"/>
  <c r="S29" i="31" s="1"/>
  <c r="O37" i="30"/>
  <c r="R37" i="30"/>
  <c r="R26" i="30"/>
  <c r="O26" i="30"/>
  <c r="O25" i="30"/>
  <c r="R25" i="30"/>
  <c r="S52" i="29"/>
  <c r="N52" i="30"/>
  <c r="O52" i="30" s="1"/>
  <c r="R28" i="30"/>
  <c r="S28" i="30" s="1"/>
  <c r="O28" i="30"/>
  <c r="R72" i="30"/>
  <c r="S72" i="30" s="1"/>
  <c r="S73" i="30"/>
  <c r="O15" i="29"/>
  <c r="R15" i="29"/>
  <c r="O43" i="30"/>
  <c r="R43" i="30"/>
  <c r="R42" i="30" s="1"/>
  <c r="S42" i="30" s="1"/>
  <c r="O53" i="30"/>
  <c r="R53" i="30"/>
  <c r="S60" i="29"/>
  <c r="R58" i="29"/>
  <c r="S58" i="29" s="1"/>
  <c r="R55" i="29"/>
  <c r="S55" i="29" s="1"/>
  <c r="S56" i="29"/>
  <c r="S59" i="31"/>
  <c r="R68" i="31"/>
  <c r="S68" i="31" s="1"/>
  <c r="S69" i="31"/>
  <c r="S68" i="30"/>
  <c r="N68" i="31"/>
  <c r="O68" i="31" s="1"/>
  <c r="R46" i="31"/>
  <c r="S46" i="31" s="1"/>
  <c r="S47" i="31"/>
  <c r="S44" i="30"/>
  <c r="S36" i="30"/>
  <c r="N36" i="31"/>
  <c r="S32" i="29"/>
  <c r="R31" i="29"/>
  <c r="N32" i="30"/>
  <c r="N21" i="29"/>
  <c r="O21" i="29" s="1"/>
  <c r="S35" i="29"/>
  <c r="R34" i="29"/>
  <c r="N35" i="30"/>
  <c r="R27" i="31"/>
  <c r="S27" i="31" s="1"/>
  <c r="O27" i="31"/>
  <c r="S24" i="31"/>
  <c r="S14" i="28"/>
  <c r="R12" i="28"/>
  <c r="S12" i="28" s="1"/>
  <c r="S17" i="30"/>
  <c r="N17" i="31"/>
  <c r="O17" i="31" s="1"/>
  <c r="S13" i="31"/>
  <c r="S19" i="31"/>
  <c r="R18" i="31"/>
  <c r="N23" i="31"/>
  <c r="N60" i="30"/>
  <c r="N56" i="30"/>
  <c r="N14" i="29"/>
  <c r="N44" i="31"/>
  <c r="N22" i="30"/>
  <c r="O22" i="30" s="1"/>
  <c r="N58" i="30" l="1"/>
  <c r="O58" i="30" s="1"/>
  <c r="O29" i="31"/>
  <c r="S37" i="30"/>
  <c r="N37" i="31"/>
  <c r="S26" i="30"/>
  <c r="N26" i="31"/>
  <c r="O56" i="30"/>
  <c r="R56" i="30"/>
  <c r="N56" i="31" s="1"/>
  <c r="O23" i="31"/>
  <c r="R23" i="31"/>
  <c r="S53" i="30"/>
  <c r="R52" i="30"/>
  <c r="N53" i="31"/>
  <c r="S15" i="29"/>
  <c r="N15" i="30"/>
  <c r="R60" i="30"/>
  <c r="O60" i="30"/>
  <c r="S43" i="30"/>
  <c r="N43" i="31"/>
  <c r="S25" i="30"/>
  <c r="N25" i="31"/>
  <c r="R22" i="30"/>
  <c r="S22" i="30" s="1"/>
  <c r="O44" i="31"/>
  <c r="R44" i="31"/>
  <c r="R36" i="31"/>
  <c r="S36" i="31" s="1"/>
  <c r="O36" i="31"/>
  <c r="O32" i="30"/>
  <c r="R32" i="30"/>
  <c r="S31" i="29"/>
  <c r="N31" i="30"/>
  <c r="O31" i="30" s="1"/>
  <c r="S34" i="29"/>
  <c r="N34" i="30"/>
  <c r="O34" i="30" s="1"/>
  <c r="R21" i="29"/>
  <c r="S21" i="29" s="1"/>
  <c r="O35" i="30"/>
  <c r="R35" i="30"/>
  <c r="O14" i="29"/>
  <c r="R14" i="29"/>
  <c r="R17" i="31"/>
  <c r="S17" i="31" s="1"/>
  <c r="S18" i="31"/>
  <c r="N12" i="29"/>
  <c r="O12" i="29" s="1"/>
  <c r="N55" i="30"/>
  <c r="O55" i="30" s="1"/>
  <c r="N73" i="31"/>
  <c r="N72" i="31"/>
  <c r="O72" i="31" s="1"/>
  <c r="N42" i="31"/>
  <c r="O42" i="31" s="1"/>
  <c r="N28" i="31"/>
  <c r="O37" i="31" l="1"/>
  <c r="R37" i="31"/>
  <c r="S37" i="31" s="1"/>
  <c r="O26" i="31"/>
  <c r="R26" i="31"/>
  <c r="S26" i="31" s="1"/>
  <c r="R56" i="31"/>
  <c r="O56" i="31"/>
  <c r="S60" i="30"/>
  <c r="R58" i="30"/>
  <c r="S58" i="30" s="1"/>
  <c r="S23" i="31"/>
  <c r="R25" i="31"/>
  <c r="S25" i="31" s="1"/>
  <c r="O25" i="31"/>
  <c r="O53" i="31"/>
  <c r="R53" i="31"/>
  <c r="O73" i="31"/>
  <c r="R73" i="31"/>
  <c r="S52" i="30"/>
  <c r="N52" i="31"/>
  <c r="O52" i="31" s="1"/>
  <c r="S56" i="30"/>
  <c r="R55" i="30"/>
  <c r="S55" i="30" s="1"/>
  <c r="R28" i="31"/>
  <c r="S28" i="31" s="1"/>
  <c r="O28" i="31"/>
  <c r="R43" i="31"/>
  <c r="S43" i="31" s="1"/>
  <c r="O43" i="31"/>
  <c r="O15" i="30"/>
  <c r="R15" i="30"/>
  <c r="S44" i="31"/>
  <c r="S32" i="30"/>
  <c r="R31" i="30"/>
  <c r="N32" i="31"/>
  <c r="N21" i="30"/>
  <c r="O21" i="30" s="1"/>
  <c r="S35" i="30"/>
  <c r="R34" i="30"/>
  <c r="N35" i="31"/>
  <c r="S14" i="29"/>
  <c r="R12" i="29"/>
  <c r="S12" i="29" s="1"/>
  <c r="N55" i="31"/>
  <c r="O55" i="31" s="1"/>
  <c r="N60" i="31"/>
  <c r="N58" i="31" l="1"/>
  <c r="O58" i="31" s="1"/>
  <c r="R22" i="31"/>
  <c r="S22" i="31" s="1"/>
  <c r="S15" i="30"/>
  <c r="N15" i="31"/>
  <c r="O60" i="31"/>
  <c r="R60" i="31"/>
  <c r="R42" i="31"/>
  <c r="S42" i="31" s="1"/>
  <c r="S73" i="31"/>
  <c r="R72" i="31"/>
  <c r="S72" i="31" s="1"/>
  <c r="S53" i="31"/>
  <c r="R52" i="31"/>
  <c r="S52" i="31" s="1"/>
  <c r="S56" i="31"/>
  <c r="R55" i="31"/>
  <c r="S55" i="31" s="1"/>
  <c r="S31" i="30"/>
  <c r="N31" i="31"/>
  <c r="O31" i="31" s="1"/>
  <c r="O32" i="31"/>
  <c r="R32" i="31"/>
  <c r="S34" i="30"/>
  <c r="N34" i="31"/>
  <c r="O34" i="31" s="1"/>
  <c r="R21" i="30"/>
  <c r="S21" i="30" s="1"/>
  <c r="R35" i="31"/>
  <c r="O35" i="31"/>
  <c r="N22" i="31"/>
  <c r="O22" i="31" s="1"/>
  <c r="O15" i="31" l="1"/>
  <c r="R15" i="31"/>
  <c r="S15" i="31" s="1"/>
  <c r="S60" i="31"/>
  <c r="R58" i="31"/>
  <c r="S58" i="31" s="1"/>
  <c r="S32" i="31"/>
  <c r="R31" i="31"/>
  <c r="S31" i="31" s="1"/>
  <c r="S35" i="31"/>
  <c r="R34" i="31"/>
  <c r="N21" i="31"/>
  <c r="O21" i="31" s="1"/>
  <c r="N14" i="30"/>
  <c r="S34" i="31" l="1"/>
  <c r="R21" i="31"/>
  <c r="S21" i="31" s="1"/>
  <c r="O14" i="30"/>
  <c r="R14" i="30"/>
  <c r="N14" i="31" s="1"/>
  <c r="N12" i="30"/>
  <c r="O12" i="30" s="1"/>
  <c r="O14" i="31" l="1"/>
  <c r="R14" i="31"/>
  <c r="S14" i="30"/>
  <c r="R12" i="30"/>
  <c r="S12" i="30" s="1"/>
  <c r="S14" i="31" l="1"/>
  <c r="R12" i="31"/>
  <c r="S12" i="31" s="1"/>
  <c r="N12" i="31"/>
  <c r="O12" i="31" s="1"/>
</calcChain>
</file>

<file path=xl/sharedStrings.xml><?xml version="1.0" encoding="utf-8"?>
<sst xmlns="http://schemas.openxmlformats.org/spreadsheetml/2006/main" count="3039" uniqueCount="136">
  <si>
    <t>REALISASI FISIK DAN KEUANGAN</t>
  </si>
  <si>
    <t>KODE REKENING</t>
  </si>
  <si>
    <t>KEGIATAN</t>
  </si>
  <si>
    <t>LOKASI</t>
  </si>
  <si>
    <t>PAGU ANGGARAN (Rp)</t>
  </si>
  <si>
    <t>REALISASI</t>
  </si>
  <si>
    <t>KENDALA/ HAMBATAN</t>
  </si>
  <si>
    <t>PENANGGULANGAN</t>
  </si>
  <si>
    <t>S/D BULAN LALU</t>
  </si>
  <si>
    <t>BULAN INI</t>
  </si>
  <si>
    <t>S/D BULAN INI</t>
  </si>
  <si>
    <t>KEUANGAN</t>
  </si>
  <si>
    <t>FISIK</t>
  </si>
  <si>
    <t>Rp.</t>
  </si>
  <si>
    <t>%</t>
  </si>
  <si>
    <t>MELONG TENGAH</t>
  </si>
  <si>
    <t>PELAYANAN KESEHATAN DASAR JAMINAN KESEHATAN NASIONAL DI PUSKESMAS MELONG TENGAH</t>
  </si>
  <si>
    <t>02</t>
  </si>
  <si>
    <t>01</t>
  </si>
  <si>
    <t>BELANJA LANGSUNG</t>
  </si>
  <si>
    <t>BELANJA PEGAWAI</t>
  </si>
  <si>
    <t>5</t>
  </si>
  <si>
    <t>2</t>
  </si>
  <si>
    <t>BELANJA BARANG DAN JASA</t>
  </si>
  <si>
    <t>3</t>
  </si>
  <si>
    <t>BELANJA MODAL</t>
  </si>
  <si>
    <t>1</t>
  </si>
  <si>
    <t>05</t>
  </si>
  <si>
    <t>06</t>
  </si>
  <si>
    <t>09</t>
  </si>
  <si>
    <t>08</t>
  </si>
  <si>
    <t xml:space="preserve">Jasa Pelayanan </t>
  </si>
  <si>
    <t>Jasa Pelayanan Kesehatan</t>
  </si>
  <si>
    <t>BELANJA BAHAN HABIS PAKAI</t>
  </si>
  <si>
    <t>03</t>
  </si>
  <si>
    <t>04</t>
  </si>
  <si>
    <t>10</t>
  </si>
  <si>
    <t>11</t>
  </si>
  <si>
    <t>Belanja Bahan Kebutuhan Medis</t>
  </si>
  <si>
    <t>Belanja Bahan  Material</t>
  </si>
  <si>
    <t>Belanja Bahan Pokok/Natura</t>
  </si>
  <si>
    <t>Belanja Kawat/Faksimili/Internet</t>
  </si>
  <si>
    <t>Belanja Jasa Transaksi Keuangan</t>
  </si>
  <si>
    <t>Belanja Perjalanan Dinas Dalam Daerah</t>
  </si>
  <si>
    <t>16</t>
  </si>
  <si>
    <t>Belanja Modal Peralatan dan Mesin-Alat Kedokteran</t>
  </si>
  <si>
    <t>PEJABAT PELAKSANA TEKNIS KEGIATAN</t>
  </si>
  <si>
    <t>12</t>
  </si>
  <si>
    <t>17</t>
  </si>
  <si>
    <t>31</t>
  </si>
  <si>
    <t>07</t>
  </si>
  <si>
    <t>20</t>
  </si>
  <si>
    <t>Belanja Jasa Kantor</t>
  </si>
  <si>
    <t>Belanja Cetak &amp; Penggandaan</t>
  </si>
  <si>
    <t>Belanja Penggandaan</t>
  </si>
  <si>
    <t>Belanja Makan dan Minuman</t>
  </si>
  <si>
    <t>Belanja Makan dan Minuman Rapat</t>
  </si>
  <si>
    <t>Belanja Kursus, Pelatihan, Sosialisasi dan Bimbingan Teknis PNS</t>
  </si>
  <si>
    <t xml:space="preserve">Belanja Kursus-kursus Singkat/Pelatihan </t>
  </si>
  <si>
    <t xml:space="preserve">Belanja Pemeliharaan </t>
  </si>
  <si>
    <t>Belanja Pemeliharaan Alat Kesehatan</t>
  </si>
  <si>
    <t>Belanja Pemeliharaan Gedung</t>
  </si>
  <si>
    <t>Belanja Pemeliharaan Penampung air /Rservoir</t>
  </si>
  <si>
    <t>Belanja Jasa Tenaga Ahli/Instruktur/Narasumber/Penceramah</t>
  </si>
  <si>
    <t>Belanja Jasa Pemeliharaan Peralatan &amp; perlengkapan kantor</t>
  </si>
  <si>
    <t>Belanja Cetak</t>
  </si>
  <si>
    <t>Jasa Instruktur</t>
  </si>
  <si>
    <t>perjalanan dinas dalam daerah 27 kali bulan jan 1 kali dan feb 2 kali</t>
  </si>
  <si>
    <t>mamin 48 kali dalam setahun sudah dilaksanakan utk bulan jan/feb 2 kali snac penyuluhan dan pertemuan prog jkn</t>
  </si>
  <si>
    <t xml:space="preserve">Belanja Perjalanan Dinas Luar Daerah </t>
  </si>
  <si>
    <t>Dadan Rusnandar, S.Sos</t>
  </si>
  <si>
    <t>NIP. 196502231988031005</t>
  </si>
  <si>
    <t>PROGRAM PENGEMBANGAN PEMBIAYAAN KESEHATAN</t>
  </si>
  <si>
    <t>KEGIATAN PELAYANAN KESEHATAN DASAR JAMINAN KESEHATAN NASIONAL DI PUSKESMAS MELONG TENGAH  (38.14)</t>
  </si>
  <si>
    <t>1.02.01.38</t>
  </si>
  <si>
    <t>1.02.01.38.14</t>
  </si>
  <si>
    <t>Belanja Penyedia Jasa</t>
  </si>
  <si>
    <t>Belanja Penyedia Jasa Pemeriksaan Sampel</t>
  </si>
  <si>
    <t>25</t>
  </si>
  <si>
    <t>Belanja Perjalanan Dinas</t>
  </si>
  <si>
    <t>Belanja Pemeliharaan Jaringan WAN/LAN</t>
  </si>
  <si>
    <t xml:space="preserve">Jasa Narasumber/widyaiswara </t>
  </si>
  <si>
    <t>14</t>
  </si>
  <si>
    <t xml:space="preserve">Belanja Pakaian khusus dan hari-hari tertentu </t>
  </si>
  <si>
    <t xml:space="preserve">Belanja pakaian olahraga </t>
  </si>
  <si>
    <t>Cimahi, 31 Desember 2019</t>
  </si>
  <si>
    <t>Cimahi, 30 November 2019</t>
  </si>
  <si>
    <t>BULAN JANUARI 2020</t>
  </si>
  <si>
    <t>BULAN FEBRUARI 2020</t>
  </si>
  <si>
    <t>BULAN MARET 2020</t>
  </si>
  <si>
    <t>BULAN APRIL 2020</t>
  </si>
  <si>
    <t>BULAN MEI 2020</t>
  </si>
  <si>
    <t>BULAN JUNI 2020</t>
  </si>
  <si>
    <t>BULAN JULI 2020</t>
  </si>
  <si>
    <t>BULAN AGUSTUS 2020</t>
  </si>
  <si>
    <t>BULAN SEPTEMBER 2020</t>
  </si>
  <si>
    <t>BULAN OKTOBER 2020</t>
  </si>
  <si>
    <t>BULAN NOVEMBER 2020</t>
  </si>
  <si>
    <t>BULAN DESEMBER 2020</t>
  </si>
  <si>
    <t>Belanja Alat Tulis Kantor</t>
  </si>
  <si>
    <t>Belanja Perangko, Materai dan Benda Pos Lainnya</t>
  </si>
  <si>
    <t>Belanja Bahan Bakar Minyak/Gas</t>
  </si>
  <si>
    <t>Belanja Pengisian Tabung Pemadam Kebakaran</t>
  </si>
  <si>
    <t xml:space="preserve">Belanja Pengisian Tabung Gas </t>
  </si>
  <si>
    <t>Belanja Dokumentasi dan Media Periklanan</t>
  </si>
  <si>
    <t>Belanja Perawatan Kendaraan Bermotor</t>
  </si>
  <si>
    <t>Belanja Penggantian Suku Cadang Motor Dinas</t>
  </si>
  <si>
    <t xml:space="preserve">Belanja Penyedia Jasa Dokumentasi </t>
  </si>
  <si>
    <t>35</t>
  </si>
  <si>
    <t>Belanja Peralatan/Perlengkapan Untuk Kantor/Rumah Tangga/Lapangan</t>
  </si>
  <si>
    <t>Belanja Peralatan/Perlengkapan Untuk Rumah Tangga</t>
  </si>
  <si>
    <t xml:space="preserve">Belanja Modal Peralatan dan Mesin - Alat Kantor </t>
  </si>
  <si>
    <t>Alat Penyimpan Perlengkapan Kantor</t>
  </si>
  <si>
    <t>23</t>
  </si>
  <si>
    <t>Alat Kedokteran Umum</t>
  </si>
  <si>
    <t>Alat Kedokteran Gigi</t>
  </si>
  <si>
    <t>Belanja Modal Peralatan dan Mesin - Unit Alat Laboratorium</t>
  </si>
  <si>
    <t>56</t>
  </si>
  <si>
    <t>Alat Laboratorium Lain</t>
  </si>
  <si>
    <t>38</t>
  </si>
  <si>
    <t>Belanja Modal Peralatan dan Mesin - Personal Komputer</t>
  </si>
  <si>
    <t>Personal Komputer</t>
  </si>
  <si>
    <t>39</t>
  </si>
  <si>
    <t>Belanja Modal Peralatan dan Mesin - Peralatan Komputer</t>
  </si>
  <si>
    <t>Peralatan Personal Komputer</t>
  </si>
  <si>
    <t>Belanja Pemeliharaan Penampung Air/Resevoir</t>
  </si>
  <si>
    <t>Cimahi, 31 Januari 2020</t>
  </si>
  <si>
    <t>Cimahi, 29 Februari 2020</t>
  </si>
  <si>
    <t>Cimahi, 31 Maret 2020</t>
  </si>
  <si>
    <t>Cimahi, 30 April 2020</t>
  </si>
  <si>
    <t>Cimahi, 30 Mei 2020</t>
  </si>
  <si>
    <t>Cimahi, 30 Juni 2020</t>
  </si>
  <si>
    <t>Cimahi, 30 Juli 2020</t>
  </si>
  <si>
    <t>Cimahi, 31 Agustus 2020</t>
  </si>
  <si>
    <t>Cimahi, 30 September 2020</t>
  </si>
  <si>
    <t>Cimahi, 31 Oktober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</si>
</sst>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&quot;Rp&quot;#,##0;[Red]&quot;Rp&quot;#,##0"/>
    <numFmt numFmtId="165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3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0"/>
      <color rgb="FF000000"/>
      <name val="Arial"/>
      <family val="2"/>
    </font>
    <font>
      <sz val="10"/>
      <color theme="0"/>
      <name val="Arial"/>
      <family val="2"/>
    </font>
    <font>
      <u/>
      <sz val="10"/>
      <color theme="1"/>
      <name val="Arial"/>
      <family val="2"/>
    </font>
    <font>
      <b/>
      <i/>
      <sz val="10"/>
      <color rgb="FF000000"/>
      <name val="Arial"/>
      <family val="2"/>
    </font>
    <font>
      <sz val="11"/>
      <color rgb="FF000000"/>
      <name val="Calibri"/>
      <family val="2"/>
    </font>
    <font>
      <b/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1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43" fontId="1" fillId="0" borderId="0" applyFont="0" applyFill="0" applyBorder="0" applyAlignment="0" applyProtection="0"/>
    <xf numFmtId="0" fontId="17" fillId="0" borderId="0"/>
  </cellStyleXfs>
  <cellXfs count="212">
    <xf numFmtId="0" fontId="0" fillId="0" borderId="0" xfId="0"/>
    <xf numFmtId="0" fontId="4" fillId="2" borderId="0" xfId="0" applyFont="1" applyFill="1"/>
    <xf numFmtId="0" fontId="5" fillId="2" borderId="0" xfId="2" applyFont="1" applyFill="1" applyAlignment="1">
      <alignment horizontal="center"/>
    </xf>
    <xf numFmtId="164" fontId="8" fillId="2" borderId="1" xfId="2" applyNumberFormat="1" applyFont="1" applyFill="1" applyBorder="1" applyAlignment="1">
      <alignment horizontal="center" vertical="center" wrapText="1"/>
    </xf>
    <xf numFmtId="0" fontId="12" fillId="2" borderId="0" xfId="0" applyFont="1" applyFill="1"/>
    <xf numFmtId="41" fontId="10" fillId="3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49" fontId="10" fillId="3" borderId="1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vertical="center" wrapText="1"/>
    </xf>
    <xf numFmtId="49" fontId="12" fillId="3" borderId="1" xfId="0" applyNumberFormat="1" applyFont="1" applyFill="1" applyBorder="1" applyAlignment="1">
      <alignment vertical="center" wrapText="1"/>
    </xf>
    <xf numFmtId="49" fontId="9" fillId="3" borderId="1" xfId="0" applyNumberFormat="1" applyFont="1" applyFill="1" applyBorder="1" applyAlignment="1">
      <alignment vertical="center" wrapText="1"/>
    </xf>
    <xf numFmtId="0" fontId="12" fillId="2" borderId="1" xfId="0" applyFont="1" applyFill="1" applyBorder="1"/>
    <xf numFmtId="0" fontId="12" fillId="2" borderId="0" xfId="0" applyFont="1" applyFill="1" applyAlignment="1">
      <alignment vertical="top"/>
    </xf>
    <xf numFmtId="0" fontId="12" fillId="2" borderId="1" xfId="0" applyFont="1" applyFill="1" applyBorder="1" applyAlignment="1">
      <alignment vertical="center" wrapText="1"/>
    </xf>
    <xf numFmtId="2" fontId="11" fillId="3" borderId="1" xfId="0" applyNumberFormat="1" applyFont="1" applyFill="1" applyBorder="1" applyAlignment="1">
      <alignment horizontal="center" vertical="top" wrapText="1"/>
    </xf>
    <xf numFmtId="2" fontId="12" fillId="2" borderId="1" xfId="0" applyNumberFormat="1" applyFont="1" applyFill="1" applyBorder="1" applyAlignment="1">
      <alignment horizontal="center" vertical="top"/>
    </xf>
    <xf numFmtId="41" fontId="11" fillId="3" borderId="1" xfId="1" applyFont="1" applyFill="1" applyBorder="1" applyAlignment="1">
      <alignment horizontal="center" vertical="top"/>
    </xf>
    <xf numFmtId="0" fontId="7" fillId="2" borderId="0" xfId="2" applyFont="1" applyFill="1" applyBorder="1" applyAlignment="1">
      <alignment horizontal="center" vertical="center" wrapText="1"/>
    </xf>
    <xf numFmtId="0" fontId="8" fillId="2" borderId="0" xfId="2" applyFont="1" applyFill="1" applyBorder="1" applyAlignment="1">
      <alignment horizontal="center" vertical="center" wrapText="1"/>
    </xf>
    <xf numFmtId="0" fontId="12" fillId="2" borderId="0" xfId="0" applyFont="1" applyFill="1" applyBorder="1"/>
    <xf numFmtId="0" fontId="9" fillId="2" borderId="0" xfId="0" applyFont="1" applyFill="1" applyAlignment="1">
      <alignment vertical="top"/>
    </xf>
    <xf numFmtId="41" fontId="10" fillId="3" borderId="6" xfId="0" applyNumberFormat="1" applyFont="1" applyFill="1" applyBorder="1" applyAlignment="1">
      <alignment horizontal="center" vertical="top"/>
    </xf>
    <xf numFmtId="41" fontId="2" fillId="0" borderId="1" xfId="1" applyFont="1" applyBorder="1" applyAlignment="1">
      <alignment vertical="center"/>
    </xf>
    <xf numFmtId="43" fontId="12" fillId="2" borderId="0" xfId="5" applyFont="1" applyFill="1" applyBorder="1"/>
    <xf numFmtId="0" fontId="12" fillId="2" borderId="0" xfId="0" applyFont="1" applyFill="1" applyAlignment="1">
      <alignment horizontal="center" vertical="top"/>
    </xf>
    <xf numFmtId="0" fontId="2" fillId="2" borderId="0" xfId="2" applyFont="1" applyFill="1" applyAlignment="1">
      <alignment horizontal="center" vertical="top"/>
    </xf>
    <xf numFmtId="0" fontId="15" fillId="2" borderId="0" xfId="0" applyFont="1" applyFill="1" applyAlignment="1">
      <alignment horizontal="center" vertical="top"/>
    </xf>
    <xf numFmtId="0" fontId="4" fillId="0" borderId="0" xfId="0" applyFont="1" applyFill="1"/>
    <xf numFmtId="0" fontId="8" fillId="0" borderId="1" xfId="2" applyFont="1" applyFill="1" applyBorder="1" applyAlignment="1">
      <alignment horizontal="center" vertical="center" wrapText="1"/>
    </xf>
    <xf numFmtId="41" fontId="10" fillId="0" borderId="1" xfId="0" applyNumberFormat="1" applyFont="1" applyFill="1" applyBorder="1" applyAlignment="1">
      <alignment horizontal="right" vertical="center" wrapText="1"/>
    </xf>
    <xf numFmtId="41" fontId="11" fillId="0" borderId="1" xfId="1" applyFont="1" applyFill="1" applyBorder="1" applyAlignment="1">
      <alignment horizontal="center" vertical="top"/>
    </xf>
    <xf numFmtId="0" fontId="12" fillId="0" borderId="0" xfId="0" applyFont="1" applyFill="1"/>
    <xf numFmtId="41" fontId="20" fillId="0" borderId="1" xfId="1" applyFont="1" applyBorder="1" applyAlignment="1">
      <alignment vertical="center"/>
    </xf>
    <xf numFmtId="0" fontId="3" fillId="2" borderId="0" xfId="2" applyFont="1" applyFill="1" applyAlignment="1">
      <alignment horizontal="center"/>
    </xf>
    <xf numFmtId="0" fontId="10" fillId="3" borderId="6" xfId="0" applyNumberFormat="1" applyFont="1" applyFill="1" applyBorder="1" applyAlignment="1">
      <alignment horizontal="center" vertical="center" wrapText="1"/>
    </xf>
    <xf numFmtId="49" fontId="10" fillId="3" borderId="6" xfId="0" applyNumberFormat="1" applyFont="1" applyFill="1" applyBorder="1" applyAlignment="1">
      <alignment horizontal="center" vertical="center" wrapText="1"/>
    </xf>
    <xf numFmtId="49" fontId="11" fillId="3" borderId="7" xfId="0" applyNumberFormat="1" applyFont="1" applyFill="1" applyBorder="1" applyAlignment="1">
      <alignment horizontal="center" vertical="center" wrapText="1"/>
    </xf>
    <xf numFmtId="0" fontId="10" fillId="3" borderId="1" xfId="0" applyNumberFormat="1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49" fontId="11" fillId="3" borderId="2" xfId="0" applyNumberFormat="1" applyFont="1" applyFill="1" applyBorder="1" applyAlignment="1">
      <alignment horizontal="center" vertical="center" wrapText="1"/>
    </xf>
    <xf numFmtId="49" fontId="16" fillId="3" borderId="1" xfId="0" applyNumberFormat="1" applyFont="1" applyFill="1" applyBorder="1" applyAlignment="1">
      <alignment horizontal="center" vertical="center" wrapText="1"/>
    </xf>
    <xf numFmtId="49" fontId="13" fillId="3" borderId="2" xfId="0" applyNumberFormat="1" applyFont="1" applyFill="1" applyBorder="1" applyAlignment="1">
      <alignment horizontal="center" vertical="center" wrapText="1"/>
    </xf>
    <xf numFmtId="49" fontId="10" fillId="3" borderId="2" xfId="0" applyNumberFormat="1" applyFont="1" applyFill="1" applyBorder="1" applyAlignment="1">
      <alignment horizontal="center" vertical="center" wrapText="1"/>
    </xf>
    <xf numFmtId="0" fontId="8" fillId="2" borderId="2" xfId="0" quotePrefix="1" applyFont="1" applyFill="1" applyBorder="1" applyAlignment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49" fontId="11" fillId="2" borderId="2" xfId="0" applyNumberFormat="1" applyFont="1" applyFill="1" applyBorder="1" applyAlignment="1">
      <alignment horizontal="center" vertical="center" wrapText="1"/>
    </xf>
    <xf numFmtId="49" fontId="11" fillId="3" borderId="2" xfId="0" quotePrefix="1" applyNumberFormat="1" applyFont="1" applyFill="1" applyBorder="1" applyAlignment="1">
      <alignment horizontal="center" vertical="center" wrapText="1"/>
    </xf>
    <xf numFmtId="49" fontId="13" fillId="3" borderId="1" xfId="0" quotePrefix="1" applyNumberFormat="1" applyFont="1" applyFill="1" applyBorder="1" applyAlignment="1">
      <alignment horizontal="center" vertical="center" wrapText="1"/>
    </xf>
    <xf numFmtId="49" fontId="11" fillId="3" borderId="2" xfId="0" quotePrefix="1" applyNumberFormat="1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1" fillId="3" borderId="1" xfId="0" applyNumberFormat="1" applyFont="1" applyFill="1" applyBorder="1" applyAlignment="1">
      <alignment horizontal="center" vertical="center" wrapText="1"/>
    </xf>
    <xf numFmtId="49" fontId="11" fillId="3" borderId="1" xfId="0" quotePrefix="1" applyNumberFormat="1" applyFont="1" applyFill="1" applyBorder="1" applyAlignment="1">
      <alignment horizontal="center" vertical="center" wrapText="1"/>
    </xf>
    <xf numFmtId="49" fontId="16" fillId="3" borderId="2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49" fontId="11" fillId="3" borderId="2" xfId="0" applyNumberFormat="1" applyFont="1" applyFill="1" applyBorder="1" applyAlignment="1">
      <alignment horizontal="center" vertical="center"/>
    </xf>
    <xf numFmtId="49" fontId="16" fillId="3" borderId="1" xfId="0" quotePrefix="1" applyNumberFormat="1" applyFont="1" applyFill="1" applyBorder="1" applyAlignment="1">
      <alignment horizontal="center" vertical="center" wrapText="1"/>
    </xf>
    <xf numFmtId="49" fontId="10" fillId="3" borderId="1" xfId="0" quotePrefix="1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49" fontId="11" fillId="2" borderId="1" xfId="0" quotePrefix="1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1" fillId="3" borderId="1" xfId="0" applyNumberFormat="1" applyFont="1" applyFill="1" applyBorder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 vertical="center"/>
    </xf>
    <xf numFmtId="49" fontId="11" fillId="3" borderId="1" xfId="0" quotePrefix="1" applyNumberFormat="1" applyFont="1" applyFill="1" applyBorder="1" applyAlignment="1">
      <alignment horizontal="center" vertical="center"/>
    </xf>
    <xf numFmtId="49" fontId="11" fillId="2" borderId="1" xfId="0" quotePrefix="1" applyNumberFormat="1" applyFont="1" applyFill="1" applyBorder="1" applyAlignment="1">
      <alignment horizontal="center" vertical="center"/>
    </xf>
    <xf numFmtId="49" fontId="16" fillId="3" borderId="2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49" fontId="10" fillId="3" borderId="1" xfId="0" applyNumberFormat="1" applyFont="1" applyFill="1" applyBorder="1" applyAlignment="1">
      <alignment horizontal="center" vertical="center"/>
    </xf>
    <xf numFmtId="49" fontId="10" fillId="2" borderId="1" xfId="0" quotePrefix="1" applyNumberFormat="1" applyFont="1" applyFill="1" applyBorder="1" applyAlignment="1">
      <alignment horizontal="center" vertical="center"/>
    </xf>
    <xf numFmtId="0" fontId="11" fillId="3" borderId="1" xfId="0" applyNumberFormat="1" applyFont="1" applyFill="1" applyBorder="1" applyAlignment="1">
      <alignment horizontal="left" vertical="center" wrapText="1"/>
    </xf>
    <xf numFmtId="0" fontId="11" fillId="3" borderId="2" xfId="0" applyNumberFormat="1" applyFont="1" applyFill="1" applyBorder="1" applyAlignment="1">
      <alignment horizontal="left" vertical="center" wrapText="1"/>
    </xf>
    <xf numFmtId="49" fontId="11" fillId="2" borderId="2" xfId="0" applyNumberFormat="1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3" borderId="6" xfId="0" applyNumberFormat="1" applyFont="1" applyFill="1" applyBorder="1" applyAlignment="1">
      <alignment horizontal="left" vertical="center" wrapText="1"/>
    </xf>
    <xf numFmtId="49" fontId="11" fillId="3" borderId="1" xfId="0" applyNumberFormat="1" applyFont="1" applyFill="1" applyBorder="1" applyAlignment="1">
      <alignment horizontal="left" vertical="center" wrapText="1"/>
    </xf>
    <xf numFmtId="49" fontId="10" fillId="3" borderId="1" xfId="0" applyNumberFormat="1" applyFont="1" applyFill="1" applyBorder="1" applyAlignment="1">
      <alignment horizontal="left" vertical="center" wrapText="1"/>
    </xf>
    <xf numFmtId="0" fontId="10" fillId="3" borderId="1" xfId="0" applyNumberFormat="1" applyFont="1" applyFill="1" applyBorder="1" applyAlignment="1">
      <alignment horizontal="left" vertical="center" wrapText="1"/>
    </xf>
    <xf numFmtId="49" fontId="11" fillId="3" borderId="2" xfId="0" applyNumberFormat="1" applyFont="1" applyFill="1" applyBorder="1" applyAlignment="1">
      <alignment horizontal="left" vertical="center" wrapText="1"/>
    </xf>
    <xf numFmtId="0" fontId="11" fillId="3" borderId="1" xfId="0" applyNumberFormat="1" applyFont="1" applyFill="1" applyBorder="1" applyAlignment="1">
      <alignment horizontal="left" vertical="center"/>
    </xf>
    <xf numFmtId="0" fontId="16" fillId="2" borderId="2" xfId="6" applyFont="1" applyFill="1" applyBorder="1" applyAlignment="1">
      <alignment horizontal="left" vertical="center"/>
    </xf>
    <xf numFmtId="49" fontId="16" fillId="2" borderId="2" xfId="0" applyNumberFormat="1" applyFont="1" applyFill="1" applyBorder="1" applyAlignment="1">
      <alignment horizontal="left" vertical="center" wrapText="1"/>
    </xf>
    <xf numFmtId="49" fontId="10" fillId="3" borderId="2" xfId="0" applyNumberFormat="1" applyFont="1" applyFill="1" applyBorder="1" applyAlignment="1">
      <alignment horizontal="left" vertical="center" wrapText="1"/>
    </xf>
    <xf numFmtId="49" fontId="16" fillId="3" borderId="2" xfId="0" applyNumberFormat="1" applyFont="1" applyFill="1" applyBorder="1" applyAlignment="1">
      <alignment horizontal="left" vertical="center" wrapText="1"/>
    </xf>
    <xf numFmtId="49" fontId="16" fillId="3" borderId="1" xfId="0" applyNumberFormat="1" applyFont="1" applyFill="1" applyBorder="1" applyAlignment="1">
      <alignment horizontal="left" vertical="center" wrapText="1"/>
    </xf>
    <xf numFmtId="49" fontId="10" fillId="2" borderId="1" xfId="0" applyNumberFormat="1" applyFont="1" applyFill="1" applyBorder="1" applyAlignment="1">
      <alignment horizontal="left" vertical="center" wrapText="1"/>
    </xf>
    <xf numFmtId="49" fontId="11" fillId="2" borderId="1" xfId="0" applyNumberFormat="1" applyFont="1" applyFill="1" applyBorder="1" applyAlignment="1">
      <alignment horizontal="left" vertical="center" wrapText="1"/>
    </xf>
    <xf numFmtId="49" fontId="11" fillId="3" borderId="1" xfId="0" quotePrefix="1" applyNumberFormat="1" applyFont="1" applyFill="1" applyBorder="1" applyAlignment="1">
      <alignment horizontal="left" vertical="center" wrapText="1"/>
    </xf>
    <xf numFmtId="0" fontId="16" fillId="3" borderId="1" xfId="0" applyNumberFormat="1" applyFont="1" applyFill="1" applyBorder="1" applyAlignment="1">
      <alignment horizontal="left" vertical="center"/>
    </xf>
    <xf numFmtId="49" fontId="12" fillId="3" borderId="1" xfId="0" applyNumberFormat="1" applyFont="1" applyFill="1" applyBorder="1" applyAlignment="1">
      <alignment horizontal="left" vertical="center" wrapText="1"/>
    </xf>
    <xf numFmtId="41" fontId="10" fillId="0" borderId="6" xfId="0" applyNumberFormat="1" applyFont="1" applyFill="1" applyBorder="1" applyAlignment="1">
      <alignment horizontal="center" vertical="center"/>
    </xf>
    <xf numFmtId="41" fontId="10" fillId="3" borderId="6" xfId="0" applyNumberFormat="1" applyFont="1" applyFill="1" applyBorder="1" applyAlignment="1">
      <alignment horizontal="center" vertical="center"/>
    </xf>
    <xf numFmtId="2" fontId="10" fillId="3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41" fontId="11" fillId="0" borderId="1" xfId="0" applyNumberFormat="1" applyFont="1" applyFill="1" applyBorder="1" applyAlignment="1">
      <alignment horizontal="center" vertical="center"/>
    </xf>
    <xf numFmtId="41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>
      <alignment horizontal="center" vertical="center" wrapText="1"/>
    </xf>
    <xf numFmtId="2" fontId="12" fillId="2" borderId="1" xfId="0" applyNumberFormat="1" applyFont="1" applyFill="1" applyBorder="1" applyAlignment="1">
      <alignment horizontal="center" vertical="center"/>
    </xf>
    <xf numFmtId="41" fontId="11" fillId="3" borderId="1" xfId="0" applyNumberFormat="1" applyFont="1" applyFill="1" applyBorder="1" applyAlignment="1">
      <alignment horizontal="center" vertical="center" wrapText="1"/>
    </xf>
    <xf numFmtId="1" fontId="14" fillId="2" borderId="1" xfId="1" applyNumberFormat="1" applyFont="1" applyFill="1" applyBorder="1" applyAlignment="1">
      <alignment horizontal="center" vertical="center" wrapText="1"/>
    </xf>
    <xf numFmtId="41" fontId="10" fillId="0" borderId="1" xfId="0" applyNumberFormat="1" applyFont="1" applyFill="1" applyBorder="1" applyAlignment="1">
      <alignment horizontal="center" vertical="center"/>
    </xf>
    <xf numFmtId="41" fontId="10" fillId="3" borderId="1" xfId="0" applyNumberFormat="1" applyFont="1" applyFill="1" applyBorder="1" applyAlignment="1">
      <alignment horizontal="center" vertical="center"/>
    </xf>
    <xf numFmtId="41" fontId="10" fillId="0" borderId="1" xfId="1" applyFont="1" applyFill="1" applyBorder="1" applyAlignment="1">
      <alignment horizontal="center" vertical="center"/>
    </xf>
    <xf numFmtId="41" fontId="10" fillId="3" borderId="1" xfId="1" applyFont="1" applyFill="1" applyBorder="1" applyAlignment="1">
      <alignment horizontal="center" vertical="center"/>
    </xf>
    <xf numFmtId="41" fontId="11" fillId="0" borderId="1" xfId="1" applyFont="1" applyFill="1" applyBorder="1" applyAlignment="1">
      <alignment horizontal="center" vertical="center"/>
    </xf>
    <xf numFmtId="41" fontId="11" fillId="3" borderId="1" xfId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2" fontId="10" fillId="3" borderId="1" xfId="1" applyNumberFormat="1" applyFont="1" applyFill="1" applyBorder="1" applyAlignment="1">
      <alignment horizontal="center" vertical="center"/>
    </xf>
    <xf numFmtId="41" fontId="9" fillId="2" borderId="1" xfId="0" applyNumberFormat="1" applyFont="1" applyFill="1" applyBorder="1" applyAlignment="1">
      <alignment horizontal="center" vertical="center" wrapText="1"/>
    </xf>
    <xf numFmtId="41" fontId="11" fillId="3" borderId="2" xfId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 wrapText="1"/>
    </xf>
    <xf numFmtId="165" fontId="11" fillId="0" borderId="1" xfId="5" applyNumberFormat="1" applyFont="1" applyFill="1" applyBorder="1" applyAlignment="1">
      <alignment horizontal="center" vertical="center"/>
    </xf>
    <xf numFmtId="41" fontId="16" fillId="0" borderId="1" xfId="0" applyNumberFormat="1" applyFont="1" applyFill="1" applyBorder="1" applyAlignment="1">
      <alignment horizontal="center" vertical="center"/>
    </xf>
    <xf numFmtId="41" fontId="10" fillId="3" borderId="1" xfId="0" applyNumberFormat="1" applyFont="1" applyFill="1" applyBorder="1" applyAlignment="1">
      <alignment horizontal="center" vertical="center" wrapText="1"/>
    </xf>
    <xf numFmtId="41" fontId="16" fillId="3" borderId="1" xfId="0" applyNumberFormat="1" applyFont="1" applyFill="1" applyBorder="1" applyAlignment="1">
      <alignment horizontal="center" vertical="center"/>
    </xf>
    <xf numFmtId="41" fontId="16" fillId="0" borderId="1" xfId="1" applyFont="1" applyFill="1" applyBorder="1" applyAlignment="1">
      <alignment horizontal="center" vertical="center"/>
    </xf>
    <xf numFmtId="41" fontId="16" fillId="3" borderId="1" xfId="1" applyFont="1" applyFill="1" applyBorder="1" applyAlignment="1">
      <alignment horizontal="center" vertical="center"/>
    </xf>
    <xf numFmtId="41" fontId="11" fillId="2" borderId="1" xfId="1" applyFont="1" applyFill="1" applyBorder="1" applyAlignment="1">
      <alignment horizontal="center" vertical="center"/>
    </xf>
    <xf numFmtId="0" fontId="11" fillId="3" borderId="1" xfId="0" applyNumberFormat="1" applyFont="1" applyFill="1" applyBorder="1" applyAlignment="1">
      <alignment vertical="center"/>
    </xf>
    <xf numFmtId="49" fontId="11" fillId="3" borderId="1" xfId="0" applyNumberFormat="1" applyFont="1" applyFill="1" applyBorder="1" applyAlignment="1">
      <alignment vertical="center"/>
    </xf>
    <xf numFmtId="0" fontId="11" fillId="3" borderId="2" xfId="0" applyNumberFormat="1" applyFont="1" applyFill="1" applyBorder="1" applyAlignment="1">
      <alignment vertical="center"/>
    </xf>
    <xf numFmtId="49" fontId="11" fillId="3" borderId="1" xfId="0" quotePrefix="1" applyNumberFormat="1" applyFont="1" applyFill="1" applyBorder="1" applyAlignment="1">
      <alignment vertical="center"/>
    </xf>
    <xf numFmtId="49" fontId="11" fillId="2" borderId="1" xfId="0" quotePrefix="1" applyNumberFormat="1" applyFont="1" applyFill="1" applyBorder="1" applyAlignment="1">
      <alignment vertical="center"/>
    </xf>
    <xf numFmtId="49" fontId="16" fillId="3" borderId="2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49" fontId="10" fillId="2" borderId="1" xfId="0" applyNumberFormat="1" applyFont="1" applyFill="1" applyBorder="1" applyAlignment="1">
      <alignment vertical="center"/>
    </xf>
    <xf numFmtId="49" fontId="11" fillId="2" borderId="1" xfId="0" applyNumberFormat="1" applyFont="1" applyFill="1" applyBorder="1" applyAlignment="1">
      <alignment vertical="center"/>
    </xf>
    <xf numFmtId="49" fontId="10" fillId="3" borderId="1" xfId="0" applyNumberFormat="1" applyFont="1" applyFill="1" applyBorder="1" applyAlignment="1">
      <alignment vertical="center"/>
    </xf>
    <xf numFmtId="49" fontId="10" fillId="2" borderId="1" xfId="0" quotePrefix="1" applyNumberFormat="1" applyFont="1" applyFill="1" applyBorder="1" applyAlignment="1">
      <alignment vertical="center"/>
    </xf>
    <xf numFmtId="41" fontId="11" fillId="3" borderId="6" xfId="0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vertical="center"/>
    </xf>
    <xf numFmtId="49" fontId="10" fillId="3" borderId="0" xfId="0" applyNumberFormat="1" applyFont="1" applyFill="1" applyBorder="1" applyAlignment="1">
      <alignment horizontal="center" vertical="center" wrapText="1"/>
    </xf>
    <xf numFmtId="49" fontId="11" fillId="3" borderId="0" xfId="0" applyNumberFormat="1" applyFont="1" applyFill="1" applyBorder="1" applyAlignment="1">
      <alignment vertical="center"/>
    </xf>
    <xf numFmtId="49" fontId="12" fillId="3" borderId="0" xfId="0" applyNumberFormat="1" applyFont="1" applyFill="1" applyBorder="1" applyAlignment="1">
      <alignment horizontal="left" vertical="center" wrapText="1"/>
    </xf>
    <xf numFmtId="41" fontId="11" fillId="0" borderId="0" xfId="1" applyFont="1" applyFill="1" applyBorder="1" applyAlignment="1">
      <alignment horizontal="center" vertical="center"/>
    </xf>
    <xf numFmtId="41" fontId="10" fillId="3" borderId="0" xfId="0" applyNumberFormat="1" applyFont="1" applyFill="1" applyBorder="1" applyAlignment="1">
      <alignment horizontal="center" vertical="center"/>
    </xf>
    <xf numFmtId="2" fontId="11" fillId="3" borderId="0" xfId="0" applyNumberFormat="1" applyFont="1" applyFill="1" applyBorder="1" applyAlignment="1">
      <alignment horizontal="center" vertical="center" wrapText="1"/>
    </xf>
    <xf numFmtId="41" fontId="2" fillId="0" borderId="0" xfId="1" applyFont="1" applyBorder="1" applyAlignment="1">
      <alignment vertical="center"/>
    </xf>
    <xf numFmtId="41" fontId="11" fillId="3" borderId="0" xfId="1" applyFont="1" applyFill="1" applyBorder="1" applyAlignment="1">
      <alignment horizontal="center" vertical="center"/>
    </xf>
    <xf numFmtId="2" fontId="12" fillId="2" borderId="0" xfId="0" applyNumberFormat="1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horizontal="center" vertical="center" wrapText="1"/>
    </xf>
    <xf numFmtId="0" fontId="16" fillId="2" borderId="1" xfId="6" applyFont="1" applyFill="1" applyBorder="1" applyAlignment="1">
      <alignment horizontal="left" vertical="center"/>
    </xf>
    <xf numFmtId="49" fontId="16" fillId="3" borderId="1" xfId="0" applyNumberFormat="1" applyFont="1" applyFill="1" applyBorder="1" applyAlignment="1">
      <alignment vertical="center"/>
    </xf>
    <xf numFmtId="49" fontId="16" fillId="2" borderId="1" xfId="0" applyNumberFormat="1" applyFont="1" applyFill="1" applyBorder="1" applyAlignment="1">
      <alignment horizontal="left" vertical="center" wrapText="1"/>
    </xf>
    <xf numFmtId="41" fontId="8" fillId="0" borderId="1" xfId="1" applyFont="1" applyBorder="1" applyAlignment="1">
      <alignment vertical="center"/>
    </xf>
    <xf numFmtId="0" fontId="9" fillId="2" borderId="0" xfId="0" applyFont="1" applyFill="1" applyBorder="1"/>
    <xf numFmtId="0" fontId="21" fillId="2" borderId="0" xfId="0" applyFont="1" applyFill="1"/>
    <xf numFmtId="49" fontId="9" fillId="3" borderId="1" xfId="0" applyNumberFormat="1" applyFont="1" applyFill="1" applyBorder="1" applyAlignment="1">
      <alignment horizontal="left" vertical="center" wrapText="1"/>
    </xf>
    <xf numFmtId="0" fontId="7" fillId="2" borderId="1" xfId="2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8" fillId="2" borderId="1" xfId="2" applyFont="1" applyFill="1" applyBorder="1" applyAlignment="1">
      <alignment horizontal="center" vertical="center" wrapText="1"/>
    </xf>
    <xf numFmtId="49" fontId="10" fillId="2" borderId="2" xfId="0" applyNumberFormat="1" applyFont="1" applyFill="1" applyBorder="1" applyAlignment="1">
      <alignment horizontal="left" vertical="center" wrapText="1"/>
    </xf>
    <xf numFmtId="49" fontId="10" fillId="3" borderId="2" xfId="0" applyNumberFormat="1" applyFont="1" applyFill="1" applyBorder="1" applyAlignment="1">
      <alignment horizontal="center" vertical="center"/>
    </xf>
    <xf numFmtId="49" fontId="10" fillId="2" borderId="1" xfId="0" quotePrefix="1" applyNumberFormat="1" applyFont="1" applyFill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center" vertical="center" wrapText="1"/>
    </xf>
    <xf numFmtId="41" fontId="10" fillId="3" borderId="6" xfId="0" applyNumberFormat="1" applyFont="1" applyFill="1" applyBorder="1" applyAlignment="1">
      <alignment vertical="center"/>
    </xf>
    <xf numFmtId="0" fontId="10" fillId="3" borderId="1" xfId="0" applyNumberFormat="1" applyFont="1" applyFill="1" applyBorder="1" applyAlignment="1">
      <alignment vertical="center" wrapText="1"/>
    </xf>
    <xf numFmtId="41" fontId="12" fillId="2" borderId="1" xfId="0" applyNumberFormat="1" applyFont="1" applyFill="1" applyBorder="1" applyAlignment="1">
      <alignment vertical="center"/>
    </xf>
    <xf numFmtId="0" fontId="11" fillId="3" borderId="1" xfId="0" applyNumberFormat="1" applyFont="1" applyFill="1" applyBorder="1" applyAlignment="1">
      <alignment vertical="center" wrapText="1"/>
    </xf>
    <xf numFmtId="49" fontId="11" fillId="3" borderId="1" xfId="0" applyNumberFormat="1" applyFont="1" applyFill="1" applyBorder="1" applyAlignment="1">
      <alignment vertical="center" wrapText="1"/>
    </xf>
    <xf numFmtId="0" fontId="16" fillId="3" borderId="1" xfId="0" applyNumberFormat="1" applyFont="1" applyFill="1" applyBorder="1" applyAlignment="1">
      <alignment vertical="center"/>
    </xf>
    <xf numFmtId="49" fontId="12" fillId="3" borderId="1" xfId="0" applyNumberFormat="1" applyFont="1" applyFill="1" applyBorder="1" applyAlignment="1">
      <alignment horizontal="center" vertical="center" wrapText="1"/>
    </xf>
    <xf numFmtId="49" fontId="18" fillId="3" borderId="1" xfId="0" applyNumberFormat="1" applyFont="1" applyFill="1" applyBorder="1" applyAlignment="1">
      <alignment vertical="center" wrapText="1"/>
    </xf>
    <xf numFmtId="0" fontId="18" fillId="2" borderId="1" xfId="0" applyFont="1" applyFill="1" applyBorder="1" applyAlignment="1">
      <alignment vertical="center"/>
    </xf>
    <xf numFmtId="0" fontId="3" fillId="2" borderId="0" xfId="2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5" fillId="2" borderId="0" xfId="2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43" fontId="12" fillId="2" borderId="0" xfId="5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21" fillId="2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2" fillId="2" borderId="0" xfId="2" applyFont="1" applyFill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0" fillId="2" borderId="1" xfId="0" applyFont="1" applyFill="1" applyBorder="1" applyAlignment="1">
      <alignment vertical="center" wrapText="1"/>
    </xf>
    <xf numFmtId="41" fontId="10" fillId="3" borderId="1" xfId="0" applyNumberFormat="1" applyFont="1" applyFill="1" applyBorder="1" applyAlignment="1">
      <alignment vertical="center"/>
    </xf>
    <xf numFmtId="41" fontId="4" fillId="2" borderId="0" xfId="0" applyNumberFormat="1" applyFont="1" applyFill="1" applyAlignment="1">
      <alignment vertical="center"/>
    </xf>
    <xf numFmtId="41" fontId="12" fillId="2" borderId="0" xfId="0" applyNumberFormat="1" applyFont="1" applyFill="1" applyBorder="1" applyAlignment="1">
      <alignment vertical="center"/>
    </xf>
    <xf numFmtId="49" fontId="16" fillId="3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 vertical="center" wrapText="1"/>
    </xf>
    <xf numFmtId="1" fontId="11" fillId="3" borderId="1" xfId="0" applyNumberFormat="1" applyFont="1" applyFill="1" applyBorder="1" applyAlignment="1">
      <alignment horizontal="center" vertical="center" wrapText="1"/>
    </xf>
    <xf numFmtId="0" fontId="7" fillId="2" borderId="1" xfId="2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8" fillId="2" borderId="1" xfId="2" applyFont="1" applyFill="1" applyBorder="1" applyAlignment="1">
      <alignment horizontal="center" vertical="center" wrapText="1"/>
    </xf>
    <xf numFmtId="0" fontId="8" fillId="2" borderId="0" xfId="2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3" fillId="2" borderId="0" xfId="2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 wrapText="1"/>
    </xf>
    <xf numFmtId="0" fontId="9" fillId="2" borderId="1" xfId="3" applyFont="1" applyFill="1" applyBorder="1" applyAlignment="1">
      <alignment horizontal="center" vertical="center"/>
    </xf>
    <xf numFmtId="0" fontId="8" fillId="2" borderId="5" xfId="2" applyFont="1" applyFill="1" applyBorder="1" applyAlignment="1">
      <alignment horizontal="center" vertical="center" wrapText="1"/>
    </xf>
    <xf numFmtId="0" fontId="8" fillId="2" borderId="6" xfId="2" applyFont="1" applyFill="1" applyBorder="1" applyAlignment="1">
      <alignment horizontal="center" vertical="center" wrapText="1"/>
    </xf>
    <xf numFmtId="0" fontId="8" fillId="2" borderId="2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0" fontId="9" fillId="2" borderId="2" xfId="3" applyFont="1" applyFill="1" applyBorder="1" applyAlignment="1">
      <alignment horizontal="center" vertical="center"/>
    </xf>
    <xf numFmtId="0" fontId="9" fillId="2" borderId="4" xfId="3" applyFont="1" applyFill="1" applyBorder="1" applyAlignment="1">
      <alignment horizontal="center" vertical="center"/>
    </xf>
    <xf numFmtId="0" fontId="9" fillId="2" borderId="3" xfId="3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top"/>
    </xf>
    <xf numFmtId="0" fontId="8" fillId="2" borderId="0" xfId="2" applyFont="1" applyFill="1" applyAlignment="1">
      <alignment horizontal="center" vertical="top"/>
    </xf>
    <xf numFmtId="0" fontId="19" fillId="2" borderId="0" xfId="0" applyFont="1" applyFill="1" applyAlignment="1">
      <alignment horizontal="center" vertical="top"/>
    </xf>
    <xf numFmtId="0" fontId="3" fillId="2" borderId="0" xfId="2" applyFont="1" applyFill="1" applyAlignment="1">
      <alignment horizontal="center"/>
    </xf>
  </cellXfs>
  <cellStyles count="7">
    <cellStyle name="Comma" xfId="5" builtinId="3"/>
    <cellStyle name="Comma [0]" xfId="1" builtinId="6"/>
    <cellStyle name="Normal" xfId="0" builtinId="0"/>
    <cellStyle name="Normal 2" xfId="2"/>
    <cellStyle name="Normal 2 2" xfId="3"/>
    <cellStyle name="Normal 3" xfId="4"/>
    <cellStyle name="Normal 4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X98"/>
  <sheetViews>
    <sheetView topLeftCell="A82" zoomScaleNormal="100" workbookViewId="0">
      <selection activeCell="A17" sqref="A17:XFD17"/>
    </sheetView>
  </sheetViews>
  <sheetFormatPr defaultRowHeight="15" x14ac:dyDescent="0.25"/>
  <cols>
    <col min="1" max="8" width="2.7109375" style="168" customWidth="1"/>
    <col min="9" max="9" width="3.140625" style="168" customWidth="1"/>
    <col min="10" max="10" width="3.5703125" style="168" customWidth="1"/>
    <col min="11" max="11" width="42.7109375" style="168" customWidth="1"/>
    <col min="12" max="12" width="9.5703125" style="168" customWidth="1"/>
    <col min="13" max="13" width="14.140625" style="170" customWidth="1"/>
    <col min="14" max="14" width="12.28515625" style="168" bestFit="1" customWidth="1"/>
    <col min="15" max="15" width="7.5703125" style="168" customWidth="1"/>
    <col min="16" max="16" width="12.7109375" style="168" customWidth="1"/>
    <col min="17" max="17" width="8" style="168" customWidth="1"/>
    <col min="18" max="18" width="13" style="168" customWidth="1"/>
    <col min="19" max="19" width="9.42578125" style="168" customWidth="1"/>
    <col min="20" max="20" width="11.140625" style="168" customWidth="1"/>
    <col min="21" max="21" width="17.7109375" style="168" customWidth="1"/>
    <col min="22" max="22" width="22.7109375" style="168" customWidth="1"/>
    <col min="23" max="23" width="18.28515625" style="168" customWidth="1"/>
    <col min="24" max="24" width="15.5703125" style="168" bestFit="1" customWidth="1"/>
    <col min="25" max="25" width="12.85546875" style="168" bestFit="1" customWidth="1"/>
    <col min="26" max="16384" width="9.140625" style="168"/>
  </cols>
  <sheetData>
    <row r="1" spans="1:24" ht="16.5" x14ac:dyDescent="0.25">
      <c r="A1" s="194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67"/>
    </row>
    <row r="2" spans="1:24" ht="16.5" x14ac:dyDescent="0.25">
      <c r="A2" s="194" t="s">
        <v>72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67"/>
    </row>
    <row r="3" spans="1:24" ht="16.5" x14ac:dyDescent="0.25">
      <c r="A3" s="194" t="s">
        <v>73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67"/>
    </row>
    <row r="4" spans="1:24" ht="16.5" x14ac:dyDescent="0.25">
      <c r="A4" s="194" t="s">
        <v>87</v>
      </c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67"/>
    </row>
    <row r="5" spans="1:24" ht="18" x14ac:dyDescent="0.25">
      <c r="A5" s="169"/>
      <c r="B5" s="169"/>
      <c r="C5" s="169"/>
      <c r="D5" s="169"/>
      <c r="E5" s="169"/>
    </row>
    <row r="6" spans="1:24" x14ac:dyDescent="0.25">
      <c r="A6" s="195" t="s">
        <v>1</v>
      </c>
      <c r="B6" s="195"/>
      <c r="C6" s="195"/>
      <c r="D6" s="195"/>
      <c r="E6" s="195"/>
      <c r="F6" s="195"/>
      <c r="G6" s="195"/>
      <c r="H6" s="195"/>
      <c r="I6" s="195"/>
      <c r="J6" s="195"/>
      <c r="K6" s="195" t="s">
        <v>2</v>
      </c>
      <c r="L6" s="188" t="s">
        <v>3</v>
      </c>
      <c r="M6" s="196" t="s">
        <v>4</v>
      </c>
      <c r="N6" s="195" t="s">
        <v>5</v>
      </c>
      <c r="O6" s="195"/>
      <c r="P6" s="195"/>
      <c r="Q6" s="195"/>
      <c r="R6" s="195"/>
      <c r="S6" s="195"/>
      <c r="T6" s="195"/>
      <c r="U6" s="188" t="s">
        <v>6</v>
      </c>
      <c r="V6" s="188" t="s">
        <v>7</v>
      </c>
      <c r="W6" s="21"/>
    </row>
    <row r="7" spans="1:24" x14ac:dyDescent="0.25">
      <c r="A7" s="195"/>
      <c r="B7" s="195"/>
      <c r="C7" s="195"/>
      <c r="D7" s="195"/>
      <c r="E7" s="195"/>
      <c r="F7" s="195"/>
      <c r="G7" s="195"/>
      <c r="H7" s="195"/>
      <c r="I7" s="195"/>
      <c r="J7" s="195"/>
      <c r="K7" s="195"/>
      <c r="L7" s="188"/>
      <c r="M7" s="196"/>
      <c r="N7" s="191" t="s">
        <v>8</v>
      </c>
      <c r="O7" s="191"/>
      <c r="P7" s="191" t="s">
        <v>9</v>
      </c>
      <c r="Q7" s="191"/>
      <c r="R7" s="197" t="s">
        <v>10</v>
      </c>
      <c r="S7" s="197"/>
      <c r="T7" s="197"/>
      <c r="U7" s="188"/>
      <c r="V7" s="188"/>
      <c r="W7" s="21"/>
    </row>
    <row r="8" spans="1:24" x14ac:dyDescent="0.25">
      <c r="A8" s="195"/>
      <c r="B8" s="195"/>
      <c r="C8" s="195"/>
      <c r="D8" s="195"/>
      <c r="E8" s="195"/>
      <c r="F8" s="195"/>
      <c r="G8" s="195"/>
      <c r="H8" s="195"/>
      <c r="I8" s="195"/>
      <c r="J8" s="195"/>
      <c r="K8" s="195"/>
      <c r="L8" s="188"/>
      <c r="M8" s="196"/>
      <c r="N8" s="188" t="s">
        <v>11</v>
      </c>
      <c r="O8" s="188"/>
      <c r="P8" s="188" t="s">
        <v>11</v>
      </c>
      <c r="Q8" s="188"/>
      <c r="R8" s="188" t="s">
        <v>11</v>
      </c>
      <c r="S8" s="188"/>
      <c r="T8" s="151" t="s">
        <v>12</v>
      </c>
      <c r="U8" s="188"/>
      <c r="V8" s="188"/>
      <c r="W8" s="21"/>
    </row>
    <row r="9" spans="1:24" x14ac:dyDescent="0.25">
      <c r="A9" s="195"/>
      <c r="B9" s="195"/>
      <c r="C9" s="195"/>
      <c r="D9" s="195"/>
      <c r="E9" s="195"/>
      <c r="F9" s="195"/>
      <c r="G9" s="195"/>
      <c r="H9" s="195"/>
      <c r="I9" s="195"/>
      <c r="J9" s="195"/>
      <c r="K9" s="195"/>
      <c r="L9" s="188"/>
      <c r="M9" s="196"/>
      <c r="N9" s="151" t="s">
        <v>13</v>
      </c>
      <c r="O9" s="151" t="s">
        <v>14</v>
      </c>
      <c r="P9" s="151" t="s">
        <v>13</v>
      </c>
      <c r="Q9" s="151" t="s">
        <v>14</v>
      </c>
      <c r="R9" s="151" t="s">
        <v>13</v>
      </c>
      <c r="S9" s="151" t="s">
        <v>14</v>
      </c>
      <c r="T9" s="151" t="s">
        <v>14</v>
      </c>
      <c r="U9" s="188"/>
      <c r="V9" s="188"/>
      <c r="W9" s="21"/>
    </row>
    <row r="10" spans="1:24" s="171" customFormat="1" ht="25.5" x14ac:dyDescent="0.25">
      <c r="A10" s="190" t="s">
        <v>74</v>
      </c>
      <c r="B10" s="190"/>
      <c r="C10" s="190"/>
      <c r="D10" s="190"/>
      <c r="E10" s="190"/>
      <c r="F10" s="190"/>
      <c r="G10" s="190"/>
      <c r="H10" s="190"/>
      <c r="I10" s="190"/>
      <c r="J10" s="190"/>
      <c r="K10" s="76" t="s">
        <v>72</v>
      </c>
      <c r="L10" s="191" t="s">
        <v>15</v>
      </c>
      <c r="M10" s="32"/>
      <c r="N10" s="3"/>
      <c r="O10" s="153"/>
      <c r="P10" s="153"/>
      <c r="Q10" s="153"/>
      <c r="R10" s="153"/>
      <c r="S10" s="153"/>
      <c r="T10" s="153"/>
      <c r="U10" s="153"/>
      <c r="V10" s="153"/>
      <c r="W10" s="22"/>
    </row>
    <row r="11" spans="1:24" s="171" customFormat="1" ht="43.5" customHeight="1" x14ac:dyDescent="0.25">
      <c r="A11" s="190" t="s">
        <v>75</v>
      </c>
      <c r="B11" s="190"/>
      <c r="C11" s="190"/>
      <c r="D11" s="190"/>
      <c r="E11" s="190"/>
      <c r="F11" s="190"/>
      <c r="G11" s="190"/>
      <c r="H11" s="190"/>
      <c r="I11" s="190"/>
      <c r="J11" s="190"/>
      <c r="K11" s="76" t="s">
        <v>16</v>
      </c>
      <c r="L11" s="191"/>
      <c r="M11" s="33">
        <f>M12</f>
        <v>908784000</v>
      </c>
      <c r="N11" s="3"/>
      <c r="O11" s="153"/>
      <c r="P11" s="153"/>
      <c r="Q11" s="153"/>
      <c r="R11" s="5"/>
      <c r="S11" s="153"/>
      <c r="T11" s="153"/>
      <c r="U11" s="181"/>
      <c r="V11" s="153"/>
      <c r="W11" s="22"/>
    </row>
    <row r="12" spans="1:24" ht="18.75" customHeight="1" x14ac:dyDescent="0.25">
      <c r="A12" s="8">
        <v>1</v>
      </c>
      <c r="B12" s="9" t="s">
        <v>17</v>
      </c>
      <c r="C12" s="9" t="s">
        <v>18</v>
      </c>
      <c r="D12" s="8">
        <v>38</v>
      </c>
      <c r="E12" s="8">
        <v>14</v>
      </c>
      <c r="F12" s="41">
        <v>5</v>
      </c>
      <c r="G12" s="41">
        <v>2</v>
      </c>
      <c r="H12" s="41"/>
      <c r="I12" s="42"/>
      <c r="J12" s="48"/>
      <c r="K12" s="80" t="s">
        <v>19</v>
      </c>
      <c r="L12" s="159"/>
      <c r="M12" s="103">
        <f>M13+M14+M15</f>
        <v>908784000</v>
      </c>
      <c r="N12" s="104">
        <f>N13+N14+N15</f>
        <v>0</v>
      </c>
      <c r="O12" s="95">
        <f>N12/M12*100</f>
        <v>0</v>
      </c>
      <c r="P12" s="104">
        <f>P13+P14+P15</f>
        <v>43228200</v>
      </c>
      <c r="Q12" s="95">
        <f>P12/M12*100</f>
        <v>4.7567078645750804</v>
      </c>
      <c r="R12" s="104">
        <f>R13+R14+R15</f>
        <v>43228200</v>
      </c>
      <c r="S12" s="95">
        <f>R12/M12*100</f>
        <v>4.7567078645750804</v>
      </c>
      <c r="T12" s="96">
        <f>SUM(T13:T15)/3</f>
        <v>3.591409629149906</v>
      </c>
      <c r="U12" s="10"/>
      <c r="V12" s="10"/>
      <c r="W12" s="172">
        <v>873700</v>
      </c>
    </row>
    <row r="13" spans="1:24" ht="18.75" customHeight="1" x14ac:dyDescent="0.25">
      <c r="A13" s="8">
        <v>1</v>
      </c>
      <c r="B13" s="9" t="s">
        <v>17</v>
      </c>
      <c r="C13" s="9" t="s">
        <v>18</v>
      </c>
      <c r="D13" s="8">
        <v>38</v>
      </c>
      <c r="E13" s="8">
        <v>14</v>
      </c>
      <c r="F13" s="41">
        <v>5</v>
      </c>
      <c r="G13" s="41">
        <v>2</v>
      </c>
      <c r="H13" s="41">
        <v>1</v>
      </c>
      <c r="I13" s="42"/>
      <c r="J13" s="48"/>
      <c r="K13" s="73" t="s">
        <v>20</v>
      </c>
      <c r="L13" s="159"/>
      <c r="M13" s="97">
        <f>M17</f>
        <v>545270400</v>
      </c>
      <c r="N13" s="104">
        <v>0</v>
      </c>
      <c r="O13" s="99">
        <f t="shared" ref="O13:O72" si="0">N13/M13*100</f>
        <v>0</v>
      </c>
      <c r="P13" s="98">
        <f>P17</f>
        <v>39672000</v>
      </c>
      <c r="Q13" s="99">
        <f t="shared" ref="Q13:Q72" si="1">P13/M13*100</f>
        <v>7.2756562615539009</v>
      </c>
      <c r="R13" s="98">
        <f>N13+P13</f>
        <v>39672000</v>
      </c>
      <c r="S13" s="99">
        <f t="shared" ref="S13:S72" si="2">R13/M13*100</f>
        <v>7.2756562615539009</v>
      </c>
      <c r="T13" s="100">
        <f>T17</f>
        <v>8.3333333333333321</v>
      </c>
      <c r="U13" s="10"/>
      <c r="V13" s="10"/>
      <c r="W13" s="133"/>
      <c r="X13" s="182"/>
    </row>
    <row r="14" spans="1:24" ht="18.75" customHeight="1" x14ac:dyDescent="0.25">
      <c r="A14" s="8">
        <v>1</v>
      </c>
      <c r="B14" s="9" t="s">
        <v>17</v>
      </c>
      <c r="C14" s="9" t="s">
        <v>18</v>
      </c>
      <c r="D14" s="8">
        <v>38</v>
      </c>
      <c r="E14" s="8">
        <v>14</v>
      </c>
      <c r="F14" s="42" t="s">
        <v>21</v>
      </c>
      <c r="G14" s="42" t="s">
        <v>22</v>
      </c>
      <c r="H14" s="42" t="s">
        <v>22</v>
      </c>
      <c r="I14" s="44"/>
      <c r="J14" s="53"/>
      <c r="K14" s="78" t="s">
        <v>23</v>
      </c>
      <c r="L14" s="11"/>
      <c r="M14" s="97">
        <f>M21</f>
        <v>294813600</v>
      </c>
      <c r="N14" s="104">
        <v>0</v>
      </c>
      <c r="O14" s="99">
        <f t="shared" si="0"/>
        <v>0</v>
      </c>
      <c r="P14" s="98">
        <f>P21</f>
        <v>3556200</v>
      </c>
      <c r="Q14" s="99">
        <f t="shared" si="1"/>
        <v>1.2062537142112848</v>
      </c>
      <c r="R14" s="98">
        <f>N14+P14</f>
        <v>3556200</v>
      </c>
      <c r="S14" s="99">
        <f t="shared" si="2"/>
        <v>1.2062537142112848</v>
      </c>
      <c r="T14" s="100">
        <f>T21</f>
        <v>2.4408955541163859</v>
      </c>
      <c r="U14" s="10"/>
      <c r="V14" s="10"/>
      <c r="W14" s="133"/>
    </row>
    <row r="15" spans="1:24" ht="18.75" customHeight="1" x14ac:dyDescent="0.25">
      <c r="A15" s="8">
        <v>1</v>
      </c>
      <c r="B15" s="9" t="s">
        <v>17</v>
      </c>
      <c r="C15" s="9" t="s">
        <v>18</v>
      </c>
      <c r="D15" s="8">
        <v>38</v>
      </c>
      <c r="E15" s="8">
        <v>14</v>
      </c>
      <c r="F15" s="42" t="s">
        <v>21</v>
      </c>
      <c r="G15" s="42" t="s">
        <v>22</v>
      </c>
      <c r="H15" s="42" t="s">
        <v>24</v>
      </c>
      <c r="I15" s="44"/>
      <c r="J15" s="53"/>
      <c r="K15" s="78" t="s">
        <v>25</v>
      </c>
      <c r="L15" s="11"/>
      <c r="M15" s="97">
        <f>M75</f>
        <v>68700000</v>
      </c>
      <c r="N15" s="104">
        <v>0</v>
      </c>
      <c r="O15" s="99">
        <f t="shared" si="0"/>
        <v>0</v>
      </c>
      <c r="P15" s="98">
        <f>P75</f>
        <v>0</v>
      </c>
      <c r="Q15" s="99">
        <f t="shared" si="1"/>
        <v>0</v>
      </c>
      <c r="R15" s="98">
        <f>N15+P15</f>
        <v>0</v>
      </c>
      <c r="S15" s="99">
        <f t="shared" si="2"/>
        <v>0</v>
      </c>
      <c r="T15" s="100">
        <f>T75</f>
        <v>0</v>
      </c>
      <c r="U15" s="10"/>
      <c r="V15" s="10"/>
      <c r="W15" s="133"/>
    </row>
    <row r="16" spans="1:24" ht="9.9499999999999993" customHeight="1" x14ac:dyDescent="0.25">
      <c r="A16" s="8"/>
      <c r="B16" s="9"/>
      <c r="C16" s="9"/>
      <c r="D16" s="8"/>
      <c r="E16" s="8"/>
      <c r="F16" s="42"/>
      <c r="G16" s="42"/>
      <c r="H16" s="42"/>
      <c r="I16" s="44"/>
      <c r="J16" s="53"/>
      <c r="K16" s="78"/>
      <c r="L16" s="11"/>
      <c r="M16" s="97"/>
      <c r="N16" s="104"/>
      <c r="O16" s="99"/>
      <c r="P16" s="101"/>
      <c r="Q16" s="99"/>
      <c r="R16" s="101"/>
      <c r="S16" s="99"/>
      <c r="T16" s="102"/>
      <c r="U16" s="10"/>
      <c r="V16" s="10"/>
      <c r="W16" s="133"/>
    </row>
    <row r="17" spans="1:23" ht="20.100000000000001" customHeight="1" x14ac:dyDescent="0.25">
      <c r="A17" s="8">
        <v>1</v>
      </c>
      <c r="B17" s="9" t="s">
        <v>17</v>
      </c>
      <c r="C17" s="9" t="s">
        <v>18</v>
      </c>
      <c r="D17" s="8">
        <v>38</v>
      </c>
      <c r="E17" s="8">
        <v>14</v>
      </c>
      <c r="F17" s="42" t="s">
        <v>21</v>
      </c>
      <c r="G17" s="42" t="s">
        <v>22</v>
      </c>
      <c r="H17" s="42" t="s">
        <v>26</v>
      </c>
      <c r="I17" s="42"/>
      <c r="J17" s="42"/>
      <c r="K17" s="79" t="s">
        <v>20</v>
      </c>
      <c r="L17" s="11"/>
      <c r="M17" s="103">
        <f>M18</f>
        <v>545270400</v>
      </c>
      <c r="N17" s="104">
        <f>N18</f>
        <v>0</v>
      </c>
      <c r="O17" s="99">
        <f t="shared" si="0"/>
        <v>0</v>
      </c>
      <c r="P17" s="104">
        <f>P18</f>
        <v>39672000</v>
      </c>
      <c r="Q17" s="95">
        <f t="shared" si="1"/>
        <v>7.2756562615539009</v>
      </c>
      <c r="R17" s="104">
        <f>R18</f>
        <v>39672000</v>
      </c>
      <c r="S17" s="95">
        <f t="shared" si="2"/>
        <v>7.2756562615539009</v>
      </c>
      <c r="T17" s="96">
        <f>T18</f>
        <v>8.3333333333333321</v>
      </c>
      <c r="U17" s="10"/>
      <c r="V17" s="10"/>
      <c r="W17" s="133"/>
    </row>
    <row r="18" spans="1:23" ht="20.100000000000001" customHeight="1" x14ac:dyDescent="0.25">
      <c r="A18" s="8">
        <v>1</v>
      </c>
      <c r="B18" s="9" t="s">
        <v>17</v>
      </c>
      <c r="C18" s="9" t="s">
        <v>18</v>
      </c>
      <c r="D18" s="8">
        <v>38</v>
      </c>
      <c r="E18" s="8">
        <v>14</v>
      </c>
      <c r="F18" s="41">
        <v>5</v>
      </c>
      <c r="G18" s="41">
        <v>2</v>
      </c>
      <c r="H18" s="41">
        <v>1</v>
      </c>
      <c r="I18" s="42" t="s">
        <v>30</v>
      </c>
      <c r="J18" s="143"/>
      <c r="K18" s="80" t="s">
        <v>31</v>
      </c>
      <c r="L18" s="159"/>
      <c r="M18" s="105">
        <f>M19</f>
        <v>545270400</v>
      </c>
      <c r="N18" s="106">
        <f>N19</f>
        <v>0</v>
      </c>
      <c r="O18" s="99">
        <f t="shared" si="0"/>
        <v>0</v>
      </c>
      <c r="P18" s="106">
        <f>P19</f>
        <v>39672000</v>
      </c>
      <c r="Q18" s="95">
        <f t="shared" si="1"/>
        <v>7.2756562615539009</v>
      </c>
      <c r="R18" s="106">
        <f>R19</f>
        <v>39672000</v>
      </c>
      <c r="S18" s="95">
        <f t="shared" si="2"/>
        <v>7.2756562615539009</v>
      </c>
      <c r="T18" s="96">
        <f>T19</f>
        <v>8.3333333333333321</v>
      </c>
      <c r="U18" s="10"/>
      <c r="V18" s="10"/>
      <c r="W18" s="133"/>
    </row>
    <row r="19" spans="1:23" ht="15" customHeight="1" x14ac:dyDescent="0.25">
      <c r="A19" s="6"/>
      <c r="B19" s="7"/>
      <c r="C19" s="7"/>
      <c r="D19" s="6"/>
      <c r="E19" s="6"/>
      <c r="F19" s="41"/>
      <c r="G19" s="41"/>
      <c r="H19" s="41"/>
      <c r="I19" s="42"/>
      <c r="J19" s="48" t="s">
        <v>18</v>
      </c>
      <c r="K19" s="73" t="s">
        <v>32</v>
      </c>
      <c r="L19" s="161"/>
      <c r="M19" s="107">
        <v>545270400</v>
      </c>
      <c r="N19" s="104">
        <v>0</v>
      </c>
      <c r="O19" s="99">
        <f t="shared" si="0"/>
        <v>0</v>
      </c>
      <c r="P19" s="26">
        <v>39672000</v>
      </c>
      <c r="Q19" s="99">
        <f t="shared" si="1"/>
        <v>7.2756562615539009</v>
      </c>
      <c r="R19" s="108">
        <f>N19+P19</f>
        <v>39672000</v>
      </c>
      <c r="S19" s="99">
        <f>R19/M19*100</f>
        <v>7.2756562615539009</v>
      </c>
      <c r="T19" s="100">
        <f>1/12*100</f>
        <v>8.3333333333333321</v>
      </c>
      <c r="U19" s="10"/>
      <c r="V19" s="10"/>
      <c r="W19" s="133"/>
    </row>
    <row r="20" spans="1:23" ht="9.9499999999999993" customHeight="1" x14ac:dyDescent="0.25">
      <c r="A20" s="63"/>
      <c r="B20" s="63"/>
      <c r="C20" s="63"/>
      <c r="D20" s="63"/>
      <c r="E20" s="63"/>
      <c r="F20" s="64"/>
      <c r="G20" s="64"/>
      <c r="H20" s="64"/>
      <c r="I20" s="65"/>
      <c r="J20" s="64"/>
      <c r="K20" s="73"/>
      <c r="L20" s="78"/>
      <c r="M20" s="107"/>
      <c r="N20" s="104"/>
      <c r="O20" s="99"/>
      <c r="P20" s="101"/>
      <c r="Q20" s="99"/>
      <c r="R20" s="101"/>
      <c r="S20" s="99"/>
      <c r="T20" s="109"/>
      <c r="U20" s="10"/>
      <c r="V20" s="10"/>
      <c r="W20" s="133"/>
    </row>
    <row r="21" spans="1:23" ht="20.100000000000001" customHeight="1" x14ac:dyDescent="0.25">
      <c r="A21" s="8">
        <v>1</v>
      </c>
      <c r="B21" s="9" t="s">
        <v>17</v>
      </c>
      <c r="C21" s="9" t="s">
        <v>18</v>
      </c>
      <c r="D21" s="8">
        <v>38</v>
      </c>
      <c r="E21" s="8">
        <v>14</v>
      </c>
      <c r="F21" s="42" t="s">
        <v>21</v>
      </c>
      <c r="G21" s="42" t="s">
        <v>22</v>
      </c>
      <c r="H21" s="42" t="s">
        <v>22</v>
      </c>
      <c r="I21" s="48"/>
      <c r="J21" s="57"/>
      <c r="K21" s="79" t="s">
        <v>23</v>
      </c>
      <c r="L21" s="11"/>
      <c r="M21" s="105">
        <f>M22+M31+M34+M42+M46+M52+M55+M58+M68+M72+M64+M39+M49</f>
        <v>294813600</v>
      </c>
      <c r="N21" s="106">
        <f>N22+N31+N34+N42+N46+N52+N55+N58+N68+N72+N39+N49</f>
        <v>0</v>
      </c>
      <c r="O21" s="95">
        <f t="shared" si="0"/>
        <v>0</v>
      </c>
      <c r="P21" s="106">
        <f>P22+P31+P34+P42+P46+P52+P55+P58+P68+P72+P39+P49+P64</f>
        <v>3556200</v>
      </c>
      <c r="Q21" s="95">
        <f t="shared" si="1"/>
        <v>1.2062537142112848</v>
      </c>
      <c r="R21" s="106">
        <f>R22+R31+R34+R42+R46+R52+R55+R58+R68+R72+R39+R49</f>
        <v>3556200</v>
      </c>
      <c r="S21" s="95">
        <f>R21/M21*100</f>
        <v>1.2062537142112848</v>
      </c>
      <c r="T21" s="110">
        <f>(T22+T31+T34+T42+T46+T52+T55+T58+T68+T72+T39+T49)/13</f>
        <v>2.4408955541163859</v>
      </c>
      <c r="U21" s="10"/>
      <c r="V21" s="10"/>
      <c r="W21" s="133"/>
    </row>
    <row r="22" spans="1:23" ht="20.100000000000001" customHeight="1" x14ac:dyDescent="0.25">
      <c r="A22" s="6">
        <v>1</v>
      </c>
      <c r="B22" s="9" t="s">
        <v>17</v>
      </c>
      <c r="C22" s="9" t="s">
        <v>18</v>
      </c>
      <c r="D22" s="8">
        <v>38</v>
      </c>
      <c r="E22" s="8">
        <v>14</v>
      </c>
      <c r="F22" s="42" t="s">
        <v>21</v>
      </c>
      <c r="G22" s="42" t="s">
        <v>22</v>
      </c>
      <c r="H22" s="42" t="s">
        <v>22</v>
      </c>
      <c r="I22" s="42" t="s">
        <v>18</v>
      </c>
      <c r="J22" s="48"/>
      <c r="K22" s="79" t="s">
        <v>33</v>
      </c>
      <c r="L22" s="17"/>
      <c r="M22" s="105">
        <f>SUM(M23:M29)</f>
        <v>119064100</v>
      </c>
      <c r="N22" s="106">
        <f>SUM(N23:N29)</f>
        <v>0</v>
      </c>
      <c r="O22" s="95">
        <f t="shared" si="0"/>
        <v>0</v>
      </c>
      <c r="P22" s="111">
        <f>SUM(P23:P29)</f>
        <v>535000</v>
      </c>
      <c r="Q22" s="95">
        <f t="shared" si="1"/>
        <v>0.44933779367584353</v>
      </c>
      <c r="R22" s="111">
        <f>SUM(R23:R29)</f>
        <v>535000</v>
      </c>
      <c r="S22" s="95">
        <f t="shared" si="2"/>
        <v>0.44933779367584353</v>
      </c>
      <c r="T22" s="96">
        <f>SUM(T23:T29)/7</f>
        <v>7.7380952380952381</v>
      </c>
      <c r="U22" s="10"/>
      <c r="V22" s="10"/>
      <c r="W22" s="133"/>
    </row>
    <row r="23" spans="1:23" ht="15" customHeight="1" x14ac:dyDescent="0.25">
      <c r="A23" s="63"/>
      <c r="B23" s="63"/>
      <c r="C23" s="63"/>
      <c r="D23" s="63"/>
      <c r="E23" s="63"/>
      <c r="F23" s="48"/>
      <c r="G23" s="48"/>
      <c r="H23" s="48"/>
      <c r="I23" s="48"/>
      <c r="J23" s="55" t="s">
        <v>18</v>
      </c>
      <c r="K23" s="78" t="s">
        <v>99</v>
      </c>
      <c r="L23" s="73"/>
      <c r="M23" s="97">
        <v>14306500</v>
      </c>
      <c r="N23" s="98">
        <v>0</v>
      </c>
      <c r="O23" s="99">
        <f t="shared" si="0"/>
        <v>0</v>
      </c>
      <c r="P23" s="26"/>
      <c r="Q23" s="99">
        <f t="shared" si="1"/>
        <v>0</v>
      </c>
      <c r="R23" s="108">
        <f>N23+P23</f>
        <v>0</v>
      </c>
      <c r="S23" s="99">
        <f t="shared" si="2"/>
        <v>0</v>
      </c>
      <c r="T23" s="100">
        <f>0/23*100</f>
        <v>0</v>
      </c>
      <c r="U23" s="10"/>
      <c r="V23" s="10"/>
      <c r="W23" s="133"/>
    </row>
    <row r="24" spans="1:23" ht="30" customHeight="1" x14ac:dyDescent="0.25">
      <c r="A24" s="6"/>
      <c r="B24" s="7"/>
      <c r="C24" s="7"/>
      <c r="D24" s="6"/>
      <c r="E24" s="6"/>
      <c r="F24" s="48"/>
      <c r="G24" s="48"/>
      <c r="H24" s="48"/>
      <c r="I24" s="48"/>
      <c r="J24" s="55" t="s">
        <v>35</v>
      </c>
      <c r="K24" s="73" t="s">
        <v>100</v>
      </c>
      <c r="L24" s="12"/>
      <c r="M24" s="97">
        <v>780000</v>
      </c>
      <c r="N24" s="98">
        <v>0</v>
      </c>
      <c r="O24" s="99">
        <f t="shared" si="0"/>
        <v>0</v>
      </c>
      <c r="P24" s="101">
        <v>390000</v>
      </c>
      <c r="Q24" s="99">
        <f t="shared" si="1"/>
        <v>50</v>
      </c>
      <c r="R24" s="108">
        <f>N24+P24</f>
        <v>390000</v>
      </c>
      <c r="S24" s="99">
        <f t="shared" si="2"/>
        <v>50</v>
      </c>
      <c r="T24" s="100">
        <f>1/2*100</f>
        <v>50</v>
      </c>
      <c r="U24" s="10"/>
      <c r="V24" s="10"/>
      <c r="W24" s="133"/>
    </row>
    <row r="25" spans="1:23" ht="15" customHeight="1" x14ac:dyDescent="0.25">
      <c r="A25" s="6"/>
      <c r="B25" s="7"/>
      <c r="C25" s="7"/>
      <c r="D25" s="6"/>
      <c r="E25" s="6"/>
      <c r="F25" s="48"/>
      <c r="G25" s="48"/>
      <c r="H25" s="48"/>
      <c r="I25" s="48"/>
      <c r="J25" s="48" t="s">
        <v>28</v>
      </c>
      <c r="K25" s="78" t="s">
        <v>101</v>
      </c>
      <c r="L25" s="12"/>
      <c r="M25" s="97">
        <v>2000000</v>
      </c>
      <c r="N25" s="98">
        <v>0</v>
      </c>
      <c r="O25" s="99">
        <f t="shared" si="0"/>
        <v>0</v>
      </c>
      <c r="P25" s="101"/>
      <c r="Q25" s="99">
        <f t="shared" si="1"/>
        <v>0</v>
      </c>
      <c r="R25" s="108">
        <f t="shared" ref="R25:R29" si="3">N25+P25</f>
        <v>0</v>
      </c>
      <c r="S25" s="99">
        <f t="shared" si="2"/>
        <v>0</v>
      </c>
      <c r="T25" s="100">
        <f>0/10*100</f>
        <v>0</v>
      </c>
      <c r="U25" s="10"/>
      <c r="V25" s="10"/>
      <c r="W25" s="133"/>
    </row>
    <row r="26" spans="1:23" ht="15" customHeight="1" x14ac:dyDescent="0.25">
      <c r="A26" s="6"/>
      <c r="B26" s="7"/>
      <c r="C26" s="7"/>
      <c r="D26" s="6"/>
      <c r="E26" s="6"/>
      <c r="F26" s="64"/>
      <c r="G26" s="65"/>
      <c r="H26" s="65"/>
      <c r="I26" s="66"/>
      <c r="J26" s="66" t="s">
        <v>50</v>
      </c>
      <c r="K26" s="82" t="s">
        <v>102</v>
      </c>
      <c r="L26" s="12"/>
      <c r="M26" s="97">
        <v>800000</v>
      </c>
      <c r="N26" s="98">
        <v>0</v>
      </c>
      <c r="O26" s="99">
        <f t="shared" si="0"/>
        <v>0</v>
      </c>
      <c r="P26" s="101"/>
      <c r="Q26" s="99">
        <f t="shared" si="1"/>
        <v>0</v>
      </c>
      <c r="R26" s="108">
        <f t="shared" si="3"/>
        <v>0</v>
      </c>
      <c r="S26" s="99">
        <f t="shared" si="2"/>
        <v>0</v>
      </c>
      <c r="T26" s="100">
        <f>0/2*100</f>
        <v>0</v>
      </c>
      <c r="U26" s="10"/>
      <c r="V26" s="10"/>
      <c r="W26" s="133"/>
    </row>
    <row r="27" spans="1:23" ht="15" customHeight="1" x14ac:dyDescent="0.25">
      <c r="A27" s="6"/>
      <c r="B27" s="7"/>
      <c r="C27" s="7"/>
      <c r="D27" s="6"/>
      <c r="E27" s="6"/>
      <c r="F27" s="48"/>
      <c r="G27" s="48"/>
      <c r="H27" s="48"/>
      <c r="I27" s="53"/>
      <c r="J27" s="48" t="s">
        <v>30</v>
      </c>
      <c r="K27" s="73" t="s">
        <v>103</v>
      </c>
      <c r="L27" s="162"/>
      <c r="M27" s="97">
        <v>2610000</v>
      </c>
      <c r="N27" s="98">
        <v>0</v>
      </c>
      <c r="O27" s="99">
        <f t="shared" si="0"/>
        <v>0</v>
      </c>
      <c r="P27" s="26">
        <v>145000</v>
      </c>
      <c r="Q27" s="99">
        <f t="shared" si="1"/>
        <v>5.5555555555555554</v>
      </c>
      <c r="R27" s="108">
        <f t="shared" si="3"/>
        <v>145000</v>
      </c>
      <c r="S27" s="99">
        <f t="shared" si="2"/>
        <v>5.5555555555555554</v>
      </c>
      <c r="T27" s="100">
        <f>1/24*100</f>
        <v>4.1666666666666661</v>
      </c>
      <c r="U27" s="10"/>
      <c r="V27" s="10"/>
      <c r="W27" s="133"/>
    </row>
    <row r="28" spans="1:23" ht="15" customHeight="1" x14ac:dyDescent="0.25">
      <c r="A28" s="6"/>
      <c r="B28" s="7"/>
      <c r="C28" s="7"/>
      <c r="D28" s="6"/>
      <c r="E28" s="6"/>
      <c r="F28" s="48"/>
      <c r="G28" s="48"/>
      <c r="H28" s="48"/>
      <c r="I28" s="48"/>
      <c r="J28" s="48" t="s">
        <v>37</v>
      </c>
      <c r="K28" s="73" t="s">
        <v>38</v>
      </c>
      <c r="L28" s="161"/>
      <c r="M28" s="97">
        <v>98117600</v>
      </c>
      <c r="N28" s="98">
        <v>0</v>
      </c>
      <c r="O28" s="99">
        <f t="shared" si="0"/>
        <v>0</v>
      </c>
      <c r="P28" s="101"/>
      <c r="Q28" s="99">
        <f t="shared" si="1"/>
        <v>0</v>
      </c>
      <c r="R28" s="108">
        <f t="shared" si="3"/>
        <v>0</v>
      </c>
      <c r="S28" s="99">
        <f t="shared" si="2"/>
        <v>0</v>
      </c>
      <c r="T28" s="100">
        <f>0/2*100</f>
        <v>0</v>
      </c>
      <c r="U28" s="10"/>
      <c r="V28" s="10"/>
      <c r="W28" s="133"/>
    </row>
    <row r="29" spans="1:23" ht="15" customHeight="1" x14ac:dyDescent="0.25">
      <c r="A29" s="6"/>
      <c r="B29" s="7"/>
      <c r="C29" s="7"/>
      <c r="D29" s="6"/>
      <c r="E29" s="6"/>
      <c r="F29" s="48"/>
      <c r="G29" s="48"/>
      <c r="H29" s="48"/>
      <c r="I29" s="48"/>
      <c r="J29" s="48" t="s">
        <v>44</v>
      </c>
      <c r="K29" s="73" t="s">
        <v>104</v>
      </c>
      <c r="L29" s="162"/>
      <c r="M29" s="114">
        <v>450000</v>
      </c>
      <c r="N29" s="98">
        <v>0</v>
      </c>
      <c r="O29" s="99">
        <f t="shared" si="0"/>
        <v>0</v>
      </c>
      <c r="P29" s="26"/>
      <c r="Q29" s="99">
        <f t="shared" si="1"/>
        <v>0</v>
      </c>
      <c r="R29" s="108">
        <f t="shared" si="3"/>
        <v>0</v>
      </c>
      <c r="S29" s="99">
        <f t="shared" si="2"/>
        <v>0</v>
      </c>
      <c r="T29" s="100">
        <f>0/3*100</f>
        <v>0</v>
      </c>
      <c r="U29" s="10"/>
      <c r="V29" s="10"/>
      <c r="W29" s="133"/>
    </row>
    <row r="30" spans="1:23" ht="9.9499999999999993" customHeight="1" x14ac:dyDescent="0.25">
      <c r="A30" s="6"/>
      <c r="B30" s="7"/>
      <c r="C30" s="7"/>
      <c r="D30" s="6"/>
      <c r="E30" s="6"/>
      <c r="F30" s="54"/>
      <c r="G30" s="54"/>
      <c r="H30" s="54"/>
      <c r="I30" s="55"/>
      <c r="J30" s="44"/>
      <c r="K30" s="144"/>
      <c r="L30" s="163"/>
      <c r="M30" s="115"/>
      <c r="N30" s="104"/>
      <c r="O30" s="99"/>
      <c r="P30" s="101"/>
      <c r="Q30" s="99"/>
      <c r="R30" s="101"/>
      <c r="S30" s="99"/>
      <c r="T30" s="101"/>
      <c r="U30" s="10"/>
      <c r="V30" s="10"/>
      <c r="W30" s="133"/>
    </row>
    <row r="31" spans="1:23" s="174" customFormat="1" ht="20.100000000000001" customHeight="1" x14ac:dyDescent="0.25">
      <c r="A31" s="8">
        <v>1</v>
      </c>
      <c r="B31" s="9" t="s">
        <v>17</v>
      </c>
      <c r="C31" s="9" t="s">
        <v>18</v>
      </c>
      <c r="D31" s="8">
        <v>38</v>
      </c>
      <c r="E31" s="8">
        <v>14</v>
      </c>
      <c r="F31" s="41">
        <v>5</v>
      </c>
      <c r="G31" s="41">
        <v>2</v>
      </c>
      <c r="H31" s="41">
        <v>2</v>
      </c>
      <c r="I31" s="42" t="s">
        <v>17</v>
      </c>
      <c r="J31" s="42"/>
      <c r="K31" s="80" t="s">
        <v>39</v>
      </c>
      <c r="L31" s="14"/>
      <c r="M31" s="105">
        <f>M32</f>
        <v>2400000</v>
      </c>
      <c r="N31" s="104">
        <f>N32</f>
        <v>0</v>
      </c>
      <c r="O31" s="95">
        <f t="shared" si="0"/>
        <v>0</v>
      </c>
      <c r="P31" s="104">
        <f>P32</f>
        <v>200000</v>
      </c>
      <c r="Q31" s="95">
        <f t="shared" si="1"/>
        <v>8.3333333333333321</v>
      </c>
      <c r="R31" s="116">
        <f>R32</f>
        <v>200000</v>
      </c>
      <c r="S31" s="95">
        <f t="shared" si="2"/>
        <v>8.3333333333333321</v>
      </c>
      <c r="T31" s="95">
        <f>(T32)/1</f>
        <v>8.3333333333333321</v>
      </c>
      <c r="U31" s="127"/>
      <c r="V31" s="127"/>
      <c r="W31" s="173"/>
    </row>
    <row r="32" spans="1:23" ht="15" customHeight="1" x14ac:dyDescent="0.25">
      <c r="A32" s="6"/>
      <c r="B32" s="7"/>
      <c r="C32" s="7"/>
      <c r="D32" s="6"/>
      <c r="E32" s="6"/>
      <c r="F32" s="48"/>
      <c r="G32" s="48"/>
      <c r="H32" s="48"/>
      <c r="I32" s="53"/>
      <c r="J32" s="48" t="s">
        <v>28</v>
      </c>
      <c r="K32" s="73" t="s">
        <v>40</v>
      </c>
      <c r="L32" s="12"/>
      <c r="M32" s="97">
        <v>2400000</v>
      </c>
      <c r="N32" s="98">
        <v>0</v>
      </c>
      <c r="O32" s="99">
        <f t="shared" si="0"/>
        <v>0</v>
      </c>
      <c r="P32" s="26">
        <v>200000</v>
      </c>
      <c r="Q32" s="99">
        <f t="shared" si="1"/>
        <v>8.3333333333333321</v>
      </c>
      <c r="R32" s="101">
        <f t="shared" ref="R32" si="4">N32+P32</f>
        <v>200000</v>
      </c>
      <c r="S32" s="99">
        <f t="shared" si="2"/>
        <v>8.3333333333333321</v>
      </c>
      <c r="T32" s="100">
        <f>10/120*100</f>
        <v>8.3333333333333321</v>
      </c>
      <c r="U32" s="10"/>
      <c r="V32" s="10"/>
      <c r="W32" s="133"/>
    </row>
    <row r="33" spans="1:23" ht="9.9499999999999993" customHeight="1" x14ac:dyDescent="0.25">
      <c r="A33" s="63"/>
      <c r="B33" s="63"/>
      <c r="C33" s="63"/>
      <c r="D33" s="63"/>
      <c r="E33" s="63"/>
      <c r="F33" s="54"/>
      <c r="G33" s="54"/>
      <c r="H33" s="54"/>
      <c r="I33" s="48"/>
      <c r="J33" s="48"/>
      <c r="K33" s="73"/>
      <c r="L33" s="13"/>
      <c r="M33" s="107"/>
      <c r="N33" s="104"/>
      <c r="O33" s="99"/>
      <c r="P33" s="101"/>
      <c r="Q33" s="99"/>
      <c r="R33" s="101"/>
      <c r="S33" s="99"/>
      <c r="T33" s="101"/>
      <c r="U33" s="10"/>
      <c r="V33" s="10"/>
      <c r="W33" s="133"/>
    </row>
    <row r="34" spans="1:23" s="174" customFormat="1" ht="20.100000000000001" customHeight="1" x14ac:dyDescent="0.25">
      <c r="A34" s="8">
        <v>1</v>
      </c>
      <c r="B34" s="9" t="s">
        <v>17</v>
      </c>
      <c r="C34" s="9" t="s">
        <v>18</v>
      </c>
      <c r="D34" s="8">
        <v>38</v>
      </c>
      <c r="E34" s="8">
        <v>14</v>
      </c>
      <c r="F34" s="41">
        <v>5</v>
      </c>
      <c r="G34" s="41">
        <v>2</v>
      </c>
      <c r="H34" s="41">
        <v>2</v>
      </c>
      <c r="I34" s="42" t="s">
        <v>34</v>
      </c>
      <c r="J34" s="42"/>
      <c r="K34" s="80" t="s">
        <v>52</v>
      </c>
      <c r="L34" s="14"/>
      <c r="M34" s="103">
        <f>M35+M37+M36</f>
        <v>19800000</v>
      </c>
      <c r="N34" s="104">
        <f>SUM(N35:N37)</f>
        <v>0</v>
      </c>
      <c r="O34" s="95">
        <f t="shared" si="0"/>
        <v>0</v>
      </c>
      <c r="P34" s="116">
        <f>P35+P36+P37</f>
        <v>871200</v>
      </c>
      <c r="Q34" s="95">
        <f t="shared" si="1"/>
        <v>4.3999999999999995</v>
      </c>
      <c r="R34" s="116">
        <f>R35+R36</f>
        <v>871200</v>
      </c>
      <c r="S34" s="95">
        <f>R34/M34*100</f>
        <v>4.3999999999999995</v>
      </c>
      <c r="T34" s="95">
        <f>SUM(T35:T37)/3</f>
        <v>5.5555555555555545</v>
      </c>
      <c r="U34" s="127"/>
      <c r="V34" s="127"/>
      <c r="W34" s="173"/>
    </row>
    <row r="35" spans="1:23" ht="15" customHeight="1" x14ac:dyDescent="0.25">
      <c r="A35" s="63"/>
      <c r="B35" s="63"/>
      <c r="C35" s="63"/>
      <c r="D35" s="63"/>
      <c r="E35" s="63"/>
      <c r="F35" s="54"/>
      <c r="G35" s="54"/>
      <c r="H35" s="54"/>
      <c r="I35" s="48"/>
      <c r="J35" s="48" t="s">
        <v>28</v>
      </c>
      <c r="K35" s="73" t="s">
        <v>41</v>
      </c>
      <c r="L35" s="164"/>
      <c r="M35" s="97">
        <v>12000000</v>
      </c>
      <c r="N35" s="98">
        <v>0</v>
      </c>
      <c r="O35" s="99">
        <f t="shared" si="0"/>
        <v>0</v>
      </c>
      <c r="P35" s="26">
        <v>867700</v>
      </c>
      <c r="Q35" s="99">
        <f t="shared" ref="Q35:Q36" si="5">P35/M35*100</f>
        <v>7.2308333333333339</v>
      </c>
      <c r="R35" s="101">
        <f>N35+P35</f>
        <v>867700</v>
      </c>
      <c r="S35" s="99">
        <f>R35/M35*100</f>
        <v>7.2308333333333339</v>
      </c>
      <c r="T35" s="99">
        <f>1/12*100</f>
        <v>8.3333333333333321</v>
      </c>
      <c r="U35" s="10"/>
      <c r="V35" s="10"/>
      <c r="W35" s="133"/>
    </row>
    <row r="36" spans="1:23" ht="15" customHeight="1" x14ac:dyDescent="0.25">
      <c r="A36" s="6"/>
      <c r="B36" s="7"/>
      <c r="C36" s="7"/>
      <c r="D36" s="6"/>
      <c r="E36" s="6"/>
      <c r="F36" s="54"/>
      <c r="G36" s="54"/>
      <c r="H36" s="54"/>
      <c r="I36" s="48"/>
      <c r="J36" s="48" t="s">
        <v>29</v>
      </c>
      <c r="K36" s="73" t="s">
        <v>42</v>
      </c>
      <c r="L36" s="54"/>
      <c r="M36" s="107">
        <v>600000</v>
      </c>
      <c r="N36" s="98">
        <v>0</v>
      </c>
      <c r="O36" s="99">
        <f t="shared" si="0"/>
        <v>0</v>
      </c>
      <c r="P36" s="26">
        <v>3500</v>
      </c>
      <c r="Q36" s="99">
        <f t="shared" si="5"/>
        <v>0.58333333333333337</v>
      </c>
      <c r="R36" s="101">
        <f>N36+P36</f>
        <v>3500</v>
      </c>
      <c r="S36" s="99">
        <f>R36/M36*100</f>
        <v>0.58333333333333337</v>
      </c>
      <c r="T36" s="100">
        <f>1/12*100</f>
        <v>8.3333333333333321</v>
      </c>
      <c r="U36" s="10"/>
      <c r="V36" s="10"/>
      <c r="W36" s="133"/>
    </row>
    <row r="37" spans="1:23" ht="30" customHeight="1" x14ac:dyDescent="0.25">
      <c r="A37" s="63"/>
      <c r="B37" s="63"/>
      <c r="C37" s="63"/>
      <c r="D37" s="63"/>
      <c r="E37" s="63"/>
      <c r="F37" s="57"/>
      <c r="G37" s="57"/>
      <c r="H37" s="57"/>
      <c r="I37" s="67"/>
      <c r="J37" s="65" t="s">
        <v>47</v>
      </c>
      <c r="K37" s="89" t="s">
        <v>64</v>
      </c>
      <c r="L37" s="164"/>
      <c r="M37" s="97">
        <v>7200000</v>
      </c>
      <c r="N37" s="98">
        <v>0</v>
      </c>
      <c r="O37" s="99">
        <f t="shared" si="0"/>
        <v>0</v>
      </c>
      <c r="P37" s="101"/>
      <c r="Q37" s="99">
        <f t="shared" si="1"/>
        <v>0</v>
      </c>
      <c r="R37" s="101">
        <f>N37+P37</f>
        <v>0</v>
      </c>
      <c r="S37" s="99">
        <f t="shared" si="2"/>
        <v>0</v>
      </c>
      <c r="T37" s="100">
        <f>0/3*100</f>
        <v>0</v>
      </c>
      <c r="U37" s="10"/>
      <c r="V37" s="10"/>
      <c r="W37" s="133"/>
    </row>
    <row r="38" spans="1:23" ht="9.9499999999999993" customHeight="1" x14ac:dyDescent="0.25">
      <c r="A38" s="63"/>
      <c r="B38" s="63"/>
      <c r="C38" s="63"/>
      <c r="D38" s="63"/>
      <c r="E38" s="63"/>
      <c r="F38" s="57"/>
      <c r="G38" s="57"/>
      <c r="H38" s="57"/>
      <c r="I38" s="67"/>
      <c r="J38" s="184"/>
      <c r="K38" s="146"/>
      <c r="L38" s="165"/>
      <c r="M38" s="115"/>
      <c r="N38" s="104"/>
      <c r="O38" s="99"/>
      <c r="P38" s="101"/>
      <c r="Q38" s="99"/>
      <c r="R38" s="101"/>
      <c r="S38" s="99"/>
      <c r="T38" s="101"/>
      <c r="U38" s="10"/>
      <c r="V38" s="10"/>
      <c r="W38" s="133"/>
    </row>
    <row r="39" spans="1:23" s="174" customFormat="1" ht="20.100000000000001" customHeight="1" x14ac:dyDescent="0.25">
      <c r="A39" s="8">
        <v>1</v>
      </c>
      <c r="B39" s="9" t="s">
        <v>17</v>
      </c>
      <c r="C39" s="9" t="s">
        <v>18</v>
      </c>
      <c r="D39" s="8">
        <v>38</v>
      </c>
      <c r="E39" s="8">
        <v>14</v>
      </c>
      <c r="F39" s="41">
        <v>5</v>
      </c>
      <c r="G39" s="41">
        <v>2</v>
      </c>
      <c r="H39" s="41">
        <v>2</v>
      </c>
      <c r="I39" s="42" t="s">
        <v>27</v>
      </c>
      <c r="J39" s="71"/>
      <c r="K39" s="88" t="s">
        <v>105</v>
      </c>
      <c r="L39" s="14"/>
      <c r="M39" s="103">
        <f>M40</f>
        <v>900000</v>
      </c>
      <c r="N39" s="104">
        <f>N40</f>
        <v>0</v>
      </c>
      <c r="O39" s="95">
        <f t="shared" si="0"/>
        <v>0</v>
      </c>
      <c r="P39" s="116">
        <f>P40</f>
        <v>0</v>
      </c>
      <c r="Q39" s="95">
        <f t="shared" si="1"/>
        <v>0</v>
      </c>
      <c r="R39" s="116">
        <f>R40</f>
        <v>0</v>
      </c>
      <c r="S39" s="95">
        <f t="shared" si="2"/>
        <v>0</v>
      </c>
      <c r="T39" s="96">
        <f>T40</f>
        <v>0</v>
      </c>
      <c r="U39" s="127"/>
      <c r="V39" s="127"/>
      <c r="W39" s="173"/>
    </row>
    <row r="40" spans="1:23" ht="15" customHeight="1" x14ac:dyDescent="0.25">
      <c r="A40" s="63"/>
      <c r="B40" s="63"/>
      <c r="C40" s="63"/>
      <c r="D40" s="63"/>
      <c r="E40" s="63"/>
      <c r="F40" s="57"/>
      <c r="G40" s="57"/>
      <c r="H40" s="57"/>
      <c r="I40" s="67"/>
      <c r="J40" s="48" t="s">
        <v>17</v>
      </c>
      <c r="K40" s="89" t="s">
        <v>106</v>
      </c>
      <c r="L40" s="13"/>
      <c r="M40" s="97">
        <v>900000</v>
      </c>
      <c r="N40" s="98"/>
      <c r="O40" s="99">
        <f t="shared" si="0"/>
        <v>0</v>
      </c>
      <c r="P40" s="101"/>
      <c r="Q40" s="99">
        <f t="shared" si="1"/>
        <v>0</v>
      </c>
      <c r="R40" s="101">
        <f>N40+P40</f>
        <v>0</v>
      </c>
      <c r="S40" s="99">
        <f t="shared" si="2"/>
        <v>0</v>
      </c>
      <c r="T40" s="100">
        <f>0/1*100</f>
        <v>0</v>
      </c>
      <c r="U40" s="10"/>
      <c r="V40" s="10"/>
      <c r="W40" s="133"/>
    </row>
    <row r="41" spans="1:23" ht="9.9499999999999993" customHeight="1" x14ac:dyDescent="0.25">
      <c r="A41" s="63"/>
      <c r="B41" s="63"/>
      <c r="C41" s="63"/>
      <c r="D41" s="63"/>
      <c r="E41" s="63"/>
      <c r="F41" s="57"/>
      <c r="G41" s="57"/>
      <c r="H41" s="57"/>
      <c r="I41" s="67"/>
      <c r="J41" s="184"/>
      <c r="K41" s="146"/>
      <c r="L41" s="165"/>
      <c r="M41" s="115"/>
      <c r="N41" s="104"/>
      <c r="O41" s="99"/>
      <c r="P41" s="101"/>
      <c r="Q41" s="99"/>
      <c r="R41" s="101"/>
      <c r="S41" s="99"/>
      <c r="T41" s="101"/>
      <c r="U41" s="10"/>
      <c r="V41" s="10"/>
      <c r="W41" s="133"/>
    </row>
    <row r="42" spans="1:23" s="174" customFormat="1" ht="20.100000000000001" customHeight="1" x14ac:dyDescent="0.25">
      <c r="A42" s="8">
        <v>1</v>
      </c>
      <c r="B42" s="9" t="s">
        <v>17</v>
      </c>
      <c r="C42" s="9" t="s">
        <v>18</v>
      </c>
      <c r="D42" s="8">
        <v>38</v>
      </c>
      <c r="E42" s="8">
        <v>14</v>
      </c>
      <c r="F42" s="42" t="s">
        <v>21</v>
      </c>
      <c r="G42" s="42" t="s">
        <v>22</v>
      </c>
      <c r="H42" s="42" t="s">
        <v>22</v>
      </c>
      <c r="I42" s="60" t="s">
        <v>28</v>
      </c>
      <c r="J42" s="44"/>
      <c r="K42" s="79" t="s">
        <v>53</v>
      </c>
      <c r="L42" s="14"/>
      <c r="M42" s="103">
        <f>SUM(M43:M44)</f>
        <v>29487500</v>
      </c>
      <c r="N42" s="104">
        <f>SUM(N43:N44)</f>
        <v>0</v>
      </c>
      <c r="O42" s="95">
        <f t="shared" si="0"/>
        <v>0</v>
      </c>
      <c r="P42" s="104">
        <f>P44+P43</f>
        <v>150000</v>
      </c>
      <c r="Q42" s="95">
        <f t="shared" si="1"/>
        <v>0.5086901229334464</v>
      </c>
      <c r="R42" s="104">
        <f>SUM(R43:R44)</f>
        <v>150000</v>
      </c>
      <c r="S42" s="95">
        <f t="shared" si="2"/>
        <v>0.5086901229334464</v>
      </c>
      <c r="T42" s="95">
        <f>SUM(T43:T44)/2</f>
        <v>1.0718113612004287</v>
      </c>
      <c r="U42" s="127"/>
      <c r="V42" s="127"/>
      <c r="W42" s="173"/>
    </row>
    <row r="43" spans="1:23" ht="15" customHeight="1" x14ac:dyDescent="0.25">
      <c r="A43" s="6"/>
      <c r="B43" s="7"/>
      <c r="C43" s="7"/>
      <c r="D43" s="6"/>
      <c r="E43" s="6"/>
      <c r="F43" s="48"/>
      <c r="G43" s="48"/>
      <c r="H43" s="48"/>
      <c r="I43" s="51"/>
      <c r="J43" s="55" t="s">
        <v>18</v>
      </c>
      <c r="K43" s="78" t="s">
        <v>65</v>
      </c>
      <c r="L43" s="13"/>
      <c r="M43" s="97">
        <v>22490000</v>
      </c>
      <c r="N43" s="98">
        <v>0</v>
      </c>
      <c r="O43" s="99">
        <f t="shared" si="0"/>
        <v>0</v>
      </c>
      <c r="P43" s="26"/>
      <c r="Q43" s="99">
        <f t="shared" si="1"/>
        <v>0</v>
      </c>
      <c r="R43" s="98">
        <f>N43+P43</f>
        <v>0</v>
      </c>
      <c r="S43" s="99">
        <f>R43/M43*100</f>
        <v>0</v>
      </c>
      <c r="T43" s="100">
        <v>0</v>
      </c>
      <c r="U43" s="10"/>
      <c r="V43" s="10"/>
      <c r="W43" s="133"/>
    </row>
    <row r="44" spans="1:23" ht="15" customHeight="1" x14ac:dyDescent="0.25">
      <c r="A44" s="6"/>
      <c r="B44" s="7"/>
      <c r="C44" s="7"/>
      <c r="D44" s="6"/>
      <c r="E44" s="6"/>
      <c r="F44" s="48"/>
      <c r="G44" s="48"/>
      <c r="H44" s="48"/>
      <c r="I44" s="51"/>
      <c r="J44" s="55" t="s">
        <v>17</v>
      </c>
      <c r="K44" s="82" t="s">
        <v>54</v>
      </c>
      <c r="L44" s="162"/>
      <c r="M44" s="97">
        <v>6997500</v>
      </c>
      <c r="N44" s="98">
        <v>0</v>
      </c>
      <c r="O44" s="99">
        <f t="shared" si="0"/>
        <v>0</v>
      </c>
      <c r="P44" s="26">
        <v>150000</v>
      </c>
      <c r="Q44" s="99">
        <f t="shared" si="1"/>
        <v>2.1436227224008575</v>
      </c>
      <c r="R44" s="98">
        <f>N44+P44</f>
        <v>150000</v>
      </c>
      <c r="S44" s="99">
        <f>R44/M44*100</f>
        <v>2.1436227224008575</v>
      </c>
      <c r="T44" s="100">
        <f>600/27990*100</f>
        <v>2.1436227224008575</v>
      </c>
      <c r="U44" s="10"/>
      <c r="V44" s="10"/>
      <c r="W44" s="133"/>
    </row>
    <row r="45" spans="1:23" ht="9.9499999999999993" customHeight="1" x14ac:dyDescent="0.25">
      <c r="A45" s="63"/>
      <c r="B45" s="63"/>
      <c r="C45" s="63"/>
      <c r="D45" s="63"/>
      <c r="E45" s="63"/>
      <c r="F45" s="48"/>
      <c r="G45" s="48"/>
      <c r="H45" s="48"/>
      <c r="I45" s="53"/>
      <c r="J45" s="44"/>
      <c r="K45" s="87"/>
      <c r="L45" s="165"/>
      <c r="M45" s="115"/>
      <c r="N45" s="104"/>
      <c r="O45" s="99"/>
      <c r="P45" s="117"/>
      <c r="Q45" s="99"/>
      <c r="R45" s="117"/>
      <c r="S45" s="99"/>
      <c r="T45" s="101"/>
      <c r="U45" s="10"/>
      <c r="V45" s="10"/>
      <c r="W45" s="133"/>
    </row>
    <row r="46" spans="1:23" s="174" customFormat="1" ht="20.100000000000001" customHeight="1" x14ac:dyDescent="0.25">
      <c r="A46" s="8">
        <v>1</v>
      </c>
      <c r="B46" s="9" t="s">
        <v>17</v>
      </c>
      <c r="C46" s="9" t="s">
        <v>18</v>
      </c>
      <c r="D46" s="8">
        <v>38</v>
      </c>
      <c r="E46" s="8">
        <v>14</v>
      </c>
      <c r="F46" s="41">
        <v>5</v>
      </c>
      <c r="G46" s="41">
        <v>2</v>
      </c>
      <c r="H46" s="41">
        <v>2</v>
      </c>
      <c r="I46" s="60" t="s">
        <v>37</v>
      </c>
      <c r="J46" s="42"/>
      <c r="K46" s="79" t="s">
        <v>55</v>
      </c>
      <c r="L46" s="14"/>
      <c r="M46" s="105">
        <f>M47</f>
        <v>30300000</v>
      </c>
      <c r="N46" s="104">
        <f>N47</f>
        <v>0</v>
      </c>
      <c r="O46" s="95">
        <f t="shared" si="0"/>
        <v>0</v>
      </c>
      <c r="P46" s="106">
        <f>P47</f>
        <v>1200000</v>
      </c>
      <c r="Q46" s="95">
        <f t="shared" si="1"/>
        <v>3.9603960396039604</v>
      </c>
      <c r="R46" s="106">
        <f>R47</f>
        <v>1200000</v>
      </c>
      <c r="S46" s="95">
        <f t="shared" si="2"/>
        <v>3.9603960396039604</v>
      </c>
      <c r="T46" s="95">
        <f>T47</f>
        <v>4.8661800486618008</v>
      </c>
      <c r="U46" s="127"/>
      <c r="V46" s="127"/>
      <c r="W46" s="173"/>
    </row>
    <row r="47" spans="1:23" ht="15" customHeight="1" x14ac:dyDescent="0.25">
      <c r="A47" s="63"/>
      <c r="B47" s="63"/>
      <c r="C47" s="63"/>
      <c r="D47" s="63"/>
      <c r="E47" s="63"/>
      <c r="F47" s="48"/>
      <c r="G47" s="48"/>
      <c r="H47" s="48"/>
      <c r="I47" s="48"/>
      <c r="J47" s="55" t="s">
        <v>17</v>
      </c>
      <c r="K47" s="78" t="s">
        <v>56</v>
      </c>
      <c r="L47" s="10"/>
      <c r="M47" s="107">
        <v>30300000</v>
      </c>
      <c r="N47" s="98">
        <v>0</v>
      </c>
      <c r="O47" s="99">
        <f t="shared" si="0"/>
        <v>0</v>
      </c>
      <c r="P47" s="26">
        <v>1200000</v>
      </c>
      <c r="Q47" s="99">
        <f t="shared" si="1"/>
        <v>3.9603960396039604</v>
      </c>
      <c r="R47" s="108">
        <f>N47+P47</f>
        <v>1200000</v>
      </c>
      <c r="S47" s="99">
        <f>R47/M47*100</f>
        <v>3.9603960396039604</v>
      </c>
      <c r="T47" s="100">
        <f>80/1644*100</f>
        <v>4.8661800486618008</v>
      </c>
      <c r="U47" s="10"/>
      <c r="V47" s="10"/>
      <c r="W47" s="133"/>
    </row>
    <row r="48" spans="1:23" ht="9.9499999999999993" customHeight="1" x14ac:dyDescent="0.25">
      <c r="A48" s="152"/>
      <c r="B48" s="152"/>
      <c r="C48" s="152"/>
      <c r="D48" s="152"/>
      <c r="E48" s="152"/>
      <c r="F48" s="42"/>
      <c r="G48" s="42"/>
      <c r="H48" s="42"/>
      <c r="I48" s="42"/>
      <c r="J48" s="59"/>
      <c r="K48" s="87"/>
      <c r="L48" s="166"/>
      <c r="M48" s="118"/>
      <c r="N48" s="104"/>
      <c r="O48" s="99"/>
      <c r="P48" s="119"/>
      <c r="Q48" s="95"/>
      <c r="R48" s="119"/>
      <c r="S48" s="95"/>
      <c r="T48" s="63"/>
      <c r="U48" s="10"/>
      <c r="V48" s="10"/>
      <c r="W48" s="133"/>
    </row>
    <row r="49" spans="1:23" s="174" customFormat="1" ht="20.100000000000001" customHeight="1" x14ac:dyDescent="0.25">
      <c r="A49" s="8">
        <v>1</v>
      </c>
      <c r="B49" s="9" t="s">
        <v>17</v>
      </c>
      <c r="C49" s="9" t="s">
        <v>18</v>
      </c>
      <c r="D49" s="8">
        <v>38</v>
      </c>
      <c r="E49" s="8">
        <v>14</v>
      </c>
      <c r="F49" s="41">
        <v>5</v>
      </c>
      <c r="G49" s="41">
        <v>2</v>
      </c>
      <c r="H49" s="41">
        <v>2</v>
      </c>
      <c r="I49" s="60" t="s">
        <v>82</v>
      </c>
      <c r="J49" s="42"/>
      <c r="K49" s="79" t="s">
        <v>83</v>
      </c>
      <c r="L49" s="127"/>
      <c r="M49" s="105">
        <f>M50</f>
        <v>3300000</v>
      </c>
      <c r="N49" s="104">
        <f>N50</f>
        <v>0</v>
      </c>
      <c r="O49" s="95">
        <f t="shared" si="0"/>
        <v>0</v>
      </c>
      <c r="P49" s="106">
        <f>P50</f>
        <v>0</v>
      </c>
      <c r="Q49" s="95">
        <f t="shared" si="1"/>
        <v>0</v>
      </c>
      <c r="R49" s="106">
        <f>R50</f>
        <v>0</v>
      </c>
      <c r="S49" s="95">
        <f t="shared" si="2"/>
        <v>0</v>
      </c>
      <c r="T49" s="95">
        <f>T50</f>
        <v>0</v>
      </c>
      <c r="U49" s="127"/>
      <c r="V49" s="127"/>
      <c r="W49" s="173"/>
    </row>
    <row r="50" spans="1:23" ht="15" customHeight="1" x14ac:dyDescent="0.25">
      <c r="A50" s="63"/>
      <c r="B50" s="63"/>
      <c r="C50" s="63"/>
      <c r="D50" s="63"/>
      <c r="E50" s="63"/>
      <c r="F50" s="48"/>
      <c r="G50" s="48"/>
      <c r="H50" s="48"/>
      <c r="I50" s="48"/>
      <c r="J50" s="55" t="s">
        <v>35</v>
      </c>
      <c r="K50" s="78" t="s">
        <v>84</v>
      </c>
      <c r="L50" s="10"/>
      <c r="M50" s="107">
        <v>3300000</v>
      </c>
      <c r="N50" s="98"/>
      <c r="O50" s="99">
        <f t="shared" si="0"/>
        <v>0</v>
      </c>
      <c r="P50" s="108"/>
      <c r="Q50" s="99">
        <f t="shared" si="1"/>
        <v>0</v>
      </c>
      <c r="R50" s="108">
        <f>N50+P50</f>
        <v>0</v>
      </c>
      <c r="S50" s="99">
        <f t="shared" si="2"/>
        <v>0</v>
      </c>
      <c r="T50" s="100">
        <f>0/1*100</f>
        <v>0</v>
      </c>
      <c r="U50" s="10"/>
      <c r="V50" s="10"/>
      <c r="W50" s="133"/>
    </row>
    <row r="51" spans="1:23" ht="9.9499999999999993" customHeight="1" x14ac:dyDescent="0.25">
      <c r="A51" s="152"/>
      <c r="B51" s="152"/>
      <c r="C51" s="152"/>
      <c r="D51" s="152"/>
      <c r="E51" s="152"/>
      <c r="F51" s="42"/>
      <c r="G51" s="42"/>
      <c r="H51" s="42"/>
      <c r="I51" s="42"/>
      <c r="J51" s="59"/>
      <c r="K51" s="87"/>
      <c r="L51" s="166"/>
      <c r="M51" s="118"/>
      <c r="N51" s="104"/>
      <c r="O51" s="99"/>
      <c r="P51" s="119"/>
      <c r="Q51" s="99"/>
      <c r="R51" s="119"/>
      <c r="S51" s="99"/>
      <c r="T51" s="63"/>
      <c r="U51" s="10"/>
      <c r="V51" s="10"/>
      <c r="W51" s="133"/>
    </row>
    <row r="52" spans="1:23" s="174" customFormat="1" ht="20.100000000000001" customHeight="1" x14ac:dyDescent="0.25">
      <c r="A52" s="8">
        <v>1</v>
      </c>
      <c r="B52" s="9" t="s">
        <v>17</v>
      </c>
      <c r="C52" s="9" t="s">
        <v>18</v>
      </c>
      <c r="D52" s="8">
        <v>38</v>
      </c>
      <c r="E52" s="8">
        <v>14</v>
      </c>
      <c r="F52" s="61" t="s">
        <v>21</v>
      </c>
      <c r="G52" s="61" t="s">
        <v>22</v>
      </c>
      <c r="H52" s="61" t="s">
        <v>22</v>
      </c>
      <c r="I52" s="69">
        <v>15</v>
      </c>
      <c r="J52" s="61"/>
      <c r="K52" s="88" t="s">
        <v>79</v>
      </c>
      <c r="L52" s="127"/>
      <c r="M52" s="105">
        <f>M53</f>
        <v>15612000</v>
      </c>
      <c r="N52" s="104">
        <f>SUM(N53:N53)</f>
        <v>0</v>
      </c>
      <c r="O52" s="95">
        <f t="shared" si="0"/>
        <v>0</v>
      </c>
      <c r="P52" s="106">
        <f>P53</f>
        <v>0</v>
      </c>
      <c r="Q52" s="95">
        <f t="shared" si="1"/>
        <v>0</v>
      </c>
      <c r="R52" s="106">
        <f>R53</f>
        <v>0</v>
      </c>
      <c r="S52" s="95">
        <f t="shared" si="2"/>
        <v>0</v>
      </c>
      <c r="T52" s="96">
        <f>SUM(T53:T53)/2</f>
        <v>0</v>
      </c>
      <c r="U52" s="127"/>
      <c r="V52" s="127"/>
      <c r="W52" s="173"/>
    </row>
    <row r="53" spans="1:23" ht="15" customHeight="1" x14ac:dyDescent="0.25">
      <c r="A53" s="63"/>
      <c r="B53" s="63"/>
      <c r="C53" s="63"/>
      <c r="D53" s="63"/>
      <c r="E53" s="63"/>
      <c r="F53" s="57"/>
      <c r="G53" s="57"/>
      <c r="H53" s="57"/>
      <c r="I53" s="70"/>
      <c r="J53" s="57" t="s">
        <v>17</v>
      </c>
      <c r="K53" s="89" t="s">
        <v>69</v>
      </c>
      <c r="L53" s="10"/>
      <c r="M53" s="107">
        <v>15612000</v>
      </c>
      <c r="N53" s="98">
        <v>0</v>
      </c>
      <c r="O53" s="99">
        <f t="shared" si="0"/>
        <v>0</v>
      </c>
      <c r="P53" s="120"/>
      <c r="Q53" s="99">
        <f t="shared" si="1"/>
        <v>0</v>
      </c>
      <c r="R53" s="108">
        <f>N53+P53</f>
        <v>0</v>
      </c>
      <c r="S53" s="99">
        <f t="shared" si="2"/>
        <v>0</v>
      </c>
      <c r="T53" s="100">
        <f>0/5*100</f>
        <v>0</v>
      </c>
      <c r="U53" s="10"/>
      <c r="V53" s="10"/>
      <c r="W53" s="133"/>
    </row>
    <row r="54" spans="1:23" ht="9.9499999999999993" customHeight="1" x14ac:dyDescent="0.25">
      <c r="A54" s="63"/>
      <c r="B54" s="63"/>
      <c r="C54" s="63"/>
      <c r="D54" s="63"/>
      <c r="E54" s="63"/>
      <c r="F54" s="48"/>
      <c r="G54" s="48"/>
      <c r="H54" s="48"/>
      <c r="I54" s="53"/>
      <c r="J54" s="53"/>
      <c r="K54" s="78"/>
      <c r="L54" s="10"/>
      <c r="M54" s="107"/>
      <c r="N54" s="104"/>
      <c r="O54" s="99"/>
      <c r="P54" s="108"/>
      <c r="Q54" s="99"/>
      <c r="R54" s="108"/>
      <c r="S54" s="99"/>
      <c r="T54" s="63"/>
      <c r="U54" s="10"/>
      <c r="V54" s="10"/>
      <c r="W54" s="133"/>
    </row>
    <row r="55" spans="1:23" s="174" customFormat="1" ht="30" customHeight="1" x14ac:dyDescent="0.25">
      <c r="A55" s="8">
        <v>1</v>
      </c>
      <c r="B55" s="9" t="s">
        <v>17</v>
      </c>
      <c r="C55" s="9" t="s">
        <v>18</v>
      </c>
      <c r="D55" s="8">
        <v>38</v>
      </c>
      <c r="E55" s="8">
        <v>14</v>
      </c>
      <c r="F55" s="61" t="s">
        <v>21</v>
      </c>
      <c r="G55" s="61" t="s">
        <v>22</v>
      </c>
      <c r="H55" s="61" t="s">
        <v>22</v>
      </c>
      <c r="I55" s="69" t="s">
        <v>48</v>
      </c>
      <c r="J55" s="42"/>
      <c r="K55" s="79" t="s">
        <v>57</v>
      </c>
      <c r="L55" s="127"/>
      <c r="M55" s="105">
        <f>M56</f>
        <v>20000000</v>
      </c>
      <c r="N55" s="104">
        <f>N56</f>
        <v>0</v>
      </c>
      <c r="O55" s="95">
        <f t="shared" si="0"/>
        <v>0</v>
      </c>
      <c r="P55" s="106">
        <f>P56</f>
        <v>0</v>
      </c>
      <c r="Q55" s="95">
        <f t="shared" si="1"/>
        <v>0</v>
      </c>
      <c r="R55" s="106">
        <f>R56</f>
        <v>0</v>
      </c>
      <c r="S55" s="95">
        <f t="shared" si="2"/>
        <v>0</v>
      </c>
      <c r="T55" s="96">
        <f>T56</f>
        <v>0</v>
      </c>
      <c r="U55" s="127"/>
      <c r="V55" s="127"/>
      <c r="W55" s="173"/>
    </row>
    <row r="56" spans="1:23" ht="15" customHeight="1" x14ac:dyDescent="0.25">
      <c r="A56" s="63"/>
      <c r="B56" s="63"/>
      <c r="C56" s="63"/>
      <c r="D56" s="63"/>
      <c r="E56" s="63"/>
      <c r="F56" s="48"/>
      <c r="G56" s="48"/>
      <c r="H56" s="48"/>
      <c r="I56" s="48"/>
      <c r="J56" s="48" t="s">
        <v>18</v>
      </c>
      <c r="K56" s="78" t="s">
        <v>58</v>
      </c>
      <c r="L56" s="10"/>
      <c r="M56" s="107">
        <v>20000000</v>
      </c>
      <c r="N56" s="98">
        <v>0</v>
      </c>
      <c r="O56" s="99">
        <f t="shared" si="0"/>
        <v>0</v>
      </c>
      <c r="P56" s="26"/>
      <c r="Q56" s="99">
        <f t="shared" si="1"/>
        <v>0</v>
      </c>
      <c r="R56" s="108">
        <f>N56+P56</f>
        <v>0</v>
      </c>
      <c r="S56" s="99">
        <f t="shared" si="2"/>
        <v>0</v>
      </c>
      <c r="T56" s="100">
        <f>0/4*100</f>
        <v>0</v>
      </c>
      <c r="U56" s="10"/>
      <c r="V56" s="10"/>
      <c r="W56" s="133"/>
    </row>
    <row r="57" spans="1:23" ht="9.9499999999999993" customHeight="1" x14ac:dyDescent="0.25">
      <c r="A57" s="63"/>
      <c r="B57" s="63"/>
      <c r="C57" s="63"/>
      <c r="D57" s="63"/>
      <c r="E57" s="63"/>
      <c r="F57" s="48"/>
      <c r="G57" s="48"/>
      <c r="H57" s="48"/>
      <c r="I57" s="53"/>
      <c r="J57" s="53"/>
      <c r="K57" s="90"/>
      <c r="L57" s="10"/>
      <c r="M57" s="97"/>
      <c r="N57" s="104"/>
      <c r="O57" s="99"/>
      <c r="P57" s="98"/>
      <c r="Q57" s="99"/>
      <c r="R57" s="98"/>
      <c r="S57" s="99"/>
      <c r="T57" s="63"/>
      <c r="U57" s="10"/>
      <c r="V57" s="10"/>
      <c r="W57" s="133"/>
    </row>
    <row r="58" spans="1:23" s="174" customFormat="1" ht="20.100000000000001" customHeight="1" x14ac:dyDescent="0.25">
      <c r="A58" s="8">
        <v>1</v>
      </c>
      <c r="B58" s="9" t="s">
        <v>17</v>
      </c>
      <c r="C58" s="9" t="s">
        <v>18</v>
      </c>
      <c r="D58" s="8">
        <v>38</v>
      </c>
      <c r="E58" s="8">
        <v>14</v>
      </c>
      <c r="F58" s="61" t="s">
        <v>21</v>
      </c>
      <c r="G58" s="61" t="s">
        <v>22</v>
      </c>
      <c r="H58" s="61" t="s">
        <v>22</v>
      </c>
      <c r="I58" s="69" t="s">
        <v>51</v>
      </c>
      <c r="J58" s="71"/>
      <c r="K58" s="88" t="s">
        <v>59</v>
      </c>
      <c r="L58" s="127"/>
      <c r="M58" s="103">
        <f>SUM(M59:M62)</f>
        <v>24000000</v>
      </c>
      <c r="N58" s="104">
        <f>SUM(N59:N62)</f>
        <v>0</v>
      </c>
      <c r="O58" s="95">
        <f t="shared" si="0"/>
        <v>0</v>
      </c>
      <c r="P58" s="104">
        <f>SUM(P59:P62)</f>
        <v>0</v>
      </c>
      <c r="Q58" s="95">
        <f t="shared" si="1"/>
        <v>0</v>
      </c>
      <c r="R58" s="104">
        <f>SUM(R59:R62)</f>
        <v>0</v>
      </c>
      <c r="S58" s="95">
        <f t="shared" si="2"/>
        <v>0</v>
      </c>
      <c r="T58" s="96">
        <f>SUM(T59:T61)/3</f>
        <v>0</v>
      </c>
      <c r="U58" s="127"/>
      <c r="V58" s="127"/>
      <c r="W58" s="173"/>
    </row>
    <row r="59" spans="1:23" ht="15" customHeight="1" x14ac:dyDescent="0.25">
      <c r="A59" s="63"/>
      <c r="B59" s="63"/>
      <c r="C59" s="63"/>
      <c r="D59" s="63"/>
      <c r="E59" s="63"/>
      <c r="F59" s="57"/>
      <c r="G59" s="57"/>
      <c r="H59" s="57"/>
      <c r="I59" s="70"/>
      <c r="J59" s="62" t="s">
        <v>34</v>
      </c>
      <c r="K59" s="89" t="s">
        <v>60</v>
      </c>
      <c r="L59" s="10"/>
      <c r="M59" s="97">
        <v>1000000</v>
      </c>
      <c r="N59" s="98">
        <v>0</v>
      </c>
      <c r="O59" s="99">
        <f t="shared" si="0"/>
        <v>0</v>
      </c>
      <c r="P59" s="98"/>
      <c r="Q59" s="99">
        <f t="shared" si="1"/>
        <v>0</v>
      </c>
      <c r="R59" s="98">
        <f>N59+P59</f>
        <v>0</v>
      </c>
      <c r="S59" s="99">
        <f t="shared" si="2"/>
        <v>0</v>
      </c>
      <c r="T59" s="100">
        <f>0/1*100</f>
        <v>0</v>
      </c>
      <c r="U59" s="10"/>
      <c r="V59" s="10"/>
      <c r="W59" s="133"/>
    </row>
    <row r="60" spans="1:23" ht="15" customHeight="1" x14ac:dyDescent="0.25">
      <c r="A60" s="63"/>
      <c r="B60" s="63"/>
      <c r="C60" s="63"/>
      <c r="D60" s="63"/>
      <c r="E60" s="63"/>
      <c r="F60" s="54"/>
      <c r="G60" s="54"/>
      <c r="H60" s="54"/>
      <c r="I60" s="48"/>
      <c r="J60" s="55" t="s">
        <v>35</v>
      </c>
      <c r="K60" s="73" t="s">
        <v>61</v>
      </c>
      <c r="L60" s="10"/>
      <c r="M60" s="97">
        <v>13000000</v>
      </c>
      <c r="N60" s="98">
        <v>0</v>
      </c>
      <c r="O60" s="99">
        <f t="shared" si="0"/>
        <v>0</v>
      </c>
      <c r="P60" s="98"/>
      <c r="Q60" s="99">
        <f t="shared" si="1"/>
        <v>0</v>
      </c>
      <c r="R60" s="98">
        <f t="shared" ref="R60:R62" si="6">N60+P60</f>
        <v>0</v>
      </c>
      <c r="S60" s="99">
        <f t="shared" si="2"/>
        <v>0</v>
      </c>
      <c r="T60" s="100">
        <f>0/1*100</f>
        <v>0</v>
      </c>
      <c r="U60" s="10"/>
      <c r="V60" s="10"/>
      <c r="W60" s="133"/>
    </row>
    <row r="61" spans="1:23" ht="15" customHeight="1" x14ac:dyDescent="0.25">
      <c r="A61" s="63"/>
      <c r="B61" s="63"/>
      <c r="C61" s="63"/>
      <c r="D61" s="63"/>
      <c r="E61" s="63"/>
      <c r="F61" s="57"/>
      <c r="G61" s="57"/>
      <c r="H61" s="57"/>
      <c r="I61" s="70"/>
      <c r="J61" s="62" t="s">
        <v>50</v>
      </c>
      <c r="K61" s="89" t="s">
        <v>125</v>
      </c>
      <c r="L61" s="10"/>
      <c r="M61" s="97">
        <v>5000000</v>
      </c>
      <c r="N61" s="98">
        <v>0</v>
      </c>
      <c r="O61" s="99">
        <f t="shared" si="0"/>
        <v>0</v>
      </c>
      <c r="P61" s="98"/>
      <c r="Q61" s="99">
        <f t="shared" si="1"/>
        <v>0</v>
      </c>
      <c r="R61" s="98">
        <f t="shared" si="6"/>
        <v>0</v>
      </c>
      <c r="S61" s="99">
        <f t="shared" si="2"/>
        <v>0</v>
      </c>
      <c r="T61" s="100">
        <f>0/2*100</f>
        <v>0</v>
      </c>
      <c r="U61" s="10"/>
      <c r="V61" s="10"/>
      <c r="W61" s="133"/>
    </row>
    <row r="62" spans="1:23" ht="15" customHeight="1" x14ac:dyDescent="0.25">
      <c r="A62" s="63"/>
      <c r="B62" s="63"/>
      <c r="C62" s="63"/>
      <c r="D62" s="63"/>
      <c r="E62" s="63"/>
      <c r="F62" s="57"/>
      <c r="G62" s="57"/>
      <c r="H62" s="57"/>
      <c r="I62" s="70"/>
      <c r="J62" s="62" t="s">
        <v>36</v>
      </c>
      <c r="K62" s="89" t="s">
        <v>80</v>
      </c>
      <c r="L62" s="10"/>
      <c r="M62" s="97">
        <v>5000000</v>
      </c>
      <c r="N62" s="98">
        <v>0</v>
      </c>
      <c r="O62" s="99">
        <v>0</v>
      </c>
      <c r="P62" s="98"/>
      <c r="Q62" s="99">
        <v>0</v>
      </c>
      <c r="R62" s="98">
        <f t="shared" si="6"/>
        <v>0</v>
      </c>
      <c r="S62" s="99">
        <f t="shared" si="2"/>
        <v>0</v>
      </c>
      <c r="T62" s="100">
        <f>0/1*100</f>
        <v>0</v>
      </c>
      <c r="U62" s="10"/>
      <c r="V62" s="10"/>
      <c r="W62" s="133"/>
    </row>
    <row r="63" spans="1:23" ht="9.9499999999999993" customHeight="1" x14ac:dyDescent="0.25">
      <c r="A63" s="63"/>
      <c r="B63" s="63"/>
      <c r="C63" s="63"/>
      <c r="D63" s="63"/>
      <c r="E63" s="63"/>
      <c r="F63" s="57"/>
      <c r="G63" s="57"/>
      <c r="H63" s="57"/>
      <c r="I63" s="70"/>
      <c r="J63" s="62"/>
      <c r="K63" s="89"/>
      <c r="L63" s="10"/>
      <c r="M63" s="97"/>
      <c r="N63" s="104"/>
      <c r="O63" s="99"/>
      <c r="P63" s="98"/>
      <c r="Q63" s="99"/>
      <c r="R63" s="98"/>
      <c r="S63" s="99"/>
      <c r="T63" s="100"/>
      <c r="U63" s="10"/>
      <c r="V63" s="10"/>
      <c r="W63" s="133"/>
    </row>
    <row r="64" spans="1:23" s="174" customFormat="1" ht="20.100000000000001" customHeight="1" x14ac:dyDescent="0.25">
      <c r="A64" s="8">
        <v>1</v>
      </c>
      <c r="B64" s="9" t="s">
        <v>17</v>
      </c>
      <c r="C64" s="9" t="s">
        <v>18</v>
      </c>
      <c r="D64" s="8">
        <v>38</v>
      </c>
      <c r="E64" s="8">
        <v>14</v>
      </c>
      <c r="F64" s="61" t="s">
        <v>21</v>
      </c>
      <c r="G64" s="61" t="s">
        <v>22</v>
      </c>
      <c r="H64" s="61" t="s">
        <v>22</v>
      </c>
      <c r="I64" s="69" t="s">
        <v>78</v>
      </c>
      <c r="J64" s="156"/>
      <c r="K64" s="88" t="s">
        <v>76</v>
      </c>
      <c r="L64" s="127"/>
      <c r="M64" s="103">
        <f>SUM(M65:M66)</f>
        <v>10000000</v>
      </c>
      <c r="N64" s="104">
        <f>SUM(N65:N66)</f>
        <v>0</v>
      </c>
      <c r="O64" s="95">
        <f t="shared" ref="O64:O66" si="7">N64/M64*100</f>
        <v>0</v>
      </c>
      <c r="P64" s="104">
        <f>SUM(P65:P66)</f>
        <v>0</v>
      </c>
      <c r="Q64" s="95">
        <f t="shared" ref="Q64:Q66" si="8">P64/M64*100</f>
        <v>0</v>
      </c>
      <c r="R64" s="104">
        <f>SUM(R65:R66)</f>
        <v>0</v>
      </c>
      <c r="S64" s="95">
        <f t="shared" ref="S64:S66" si="9">R64/M64*100</f>
        <v>0</v>
      </c>
      <c r="T64" s="96">
        <f>SUM(T65:T66)/2</f>
        <v>0</v>
      </c>
      <c r="U64" s="127"/>
      <c r="V64" s="127"/>
      <c r="W64" s="173"/>
    </row>
    <row r="65" spans="1:24" ht="15" customHeight="1" x14ac:dyDescent="0.25">
      <c r="A65" s="6"/>
      <c r="B65" s="7"/>
      <c r="C65" s="7"/>
      <c r="D65" s="6"/>
      <c r="E65" s="6"/>
      <c r="F65" s="57"/>
      <c r="G65" s="57"/>
      <c r="H65" s="57"/>
      <c r="I65" s="70"/>
      <c r="J65" s="62" t="s">
        <v>34</v>
      </c>
      <c r="K65" s="89" t="s">
        <v>107</v>
      </c>
      <c r="L65" s="10"/>
      <c r="M65" s="97">
        <v>7000000</v>
      </c>
      <c r="N65" s="98"/>
      <c r="O65" s="99">
        <f t="shared" si="7"/>
        <v>0</v>
      </c>
      <c r="P65" s="98"/>
      <c r="Q65" s="99">
        <f t="shared" si="8"/>
        <v>0</v>
      </c>
      <c r="R65" s="98">
        <f>N65+P65</f>
        <v>0</v>
      </c>
      <c r="S65" s="99">
        <f t="shared" si="9"/>
        <v>0</v>
      </c>
      <c r="T65" s="100">
        <f>0/1*100</f>
        <v>0</v>
      </c>
      <c r="U65" s="10"/>
      <c r="V65" s="10"/>
      <c r="W65" s="133"/>
    </row>
    <row r="66" spans="1:24" ht="15" customHeight="1" x14ac:dyDescent="0.25">
      <c r="A66" s="63"/>
      <c r="B66" s="63"/>
      <c r="C66" s="63"/>
      <c r="D66" s="63"/>
      <c r="E66" s="63"/>
      <c r="F66" s="57"/>
      <c r="G66" s="57"/>
      <c r="H66" s="57"/>
      <c r="I66" s="70"/>
      <c r="J66" s="62" t="s">
        <v>30</v>
      </c>
      <c r="K66" s="89" t="s">
        <v>77</v>
      </c>
      <c r="L66" s="10"/>
      <c r="M66" s="97">
        <v>3000000</v>
      </c>
      <c r="N66" s="98">
        <v>0</v>
      </c>
      <c r="O66" s="99">
        <f t="shared" si="7"/>
        <v>0</v>
      </c>
      <c r="P66" s="98"/>
      <c r="Q66" s="99">
        <f t="shared" si="8"/>
        <v>0</v>
      </c>
      <c r="R66" s="98">
        <f>N66+P66</f>
        <v>0</v>
      </c>
      <c r="S66" s="99">
        <f t="shared" si="9"/>
        <v>0</v>
      </c>
      <c r="T66" s="100">
        <f>0/1*100</f>
        <v>0</v>
      </c>
      <c r="U66" s="10"/>
      <c r="V66" s="10"/>
      <c r="W66" s="133"/>
    </row>
    <row r="67" spans="1:24" ht="9.9499999999999993" customHeight="1" x14ac:dyDescent="0.25">
      <c r="A67" s="63"/>
      <c r="B67" s="63"/>
      <c r="C67" s="63"/>
      <c r="D67" s="63"/>
      <c r="E67" s="63"/>
      <c r="F67" s="48"/>
      <c r="G67" s="48"/>
      <c r="H67" s="48"/>
      <c r="I67" s="53"/>
      <c r="J67" s="53"/>
      <c r="K67" s="78"/>
      <c r="L67" s="10"/>
      <c r="M67" s="97"/>
      <c r="N67" s="104"/>
      <c r="O67" s="99"/>
      <c r="P67" s="98"/>
      <c r="Q67" s="99"/>
      <c r="R67" s="98"/>
      <c r="S67" s="99"/>
      <c r="T67" s="63"/>
      <c r="U67" s="10"/>
      <c r="V67" s="10"/>
      <c r="W67" s="133"/>
    </row>
    <row r="68" spans="1:24" s="174" customFormat="1" ht="30" customHeight="1" x14ac:dyDescent="0.25">
      <c r="A68" s="8">
        <v>1</v>
      </c>
      <c r="B68" s="9" t="s">
        <v>17</v>
      </c>
      <c r="C68" s="9" t="s">
        <v>18</v>
      </c>
      <c r="D68" s="8">
        <v>38</v>
      </c>
      <c r="E68" s="8">
        <v>14</v>
      </c>
      <c r="F68" s="61" t="s">
        <v>21</v>
      </c>
      <c r="G68" s="61" t="s">
        <v>22</v>
      </c>
      <c r="H68" s="61" t="s">
        <v>22</v>
      </c>
      <c r="I68" s="72" t="s">
        <v>49</v>
      </c>
      <c r="J68" s="61"/>
      <c r="K68" s="88" t="s">
        <v>63</v>
      </c>
      <c r="L68" s="127"/>
      <c r="M68" s="105">
        <f>SUM(M69:M70)</f>
        <v>19450000</v>
      </c>
      <c r="N68" s="104">
        <f>SUM(N69:N70)</f>
        <v>0</v>
      </c>
      <c r="O68" s="95">
        <f t="shared" si="0"/>
        <v>0</v>
      </c>
      <c r="P68" s="106">
        <f>SUM(P69:P70)</f>
        <v>600000</v>
      </c>
      <c r="Q68" s="95">
        <f t="shared" si="1"/>
        <v>3.0848329048843186</v>
      </c>
      <c r="R68" s="106">
        <f>SUM(R69:R70)</f>
        <v>600000</v>
      </c>
      <c r="S68" s="95">
        <f t="shared" si="2"/>
        <v>3.0848329048843186</v>
      </c>
      <c r="T68" s="96">
        <f>SUM(T69:T70)/2</f>
        <v>4.1666666666666661</v>
      </c>
      <c r="U68" s="127"/>
      <c r="V68" s="127"/>
      <c r="W68" s="173"/>
    </row>
    <row r="69" spans="1:24" ht="15" customHeight="1" x14ac:dyDescent="0.25">
      <c r="A69" s="63"/>
      <c r="B69" s="63"/>
      <c r="C69" s="63"/>
      <c r="D69" s="63"/>
      <c r="E69" s="63"/>
      <c r="F69" s="57"/>
      <c r="G69" s="57"/>
      <c r="H69" s="57"/>
      <c r="I69" s="70"/>
      <c r="J69" s="62" t="s">
        <v>17</v>
      </c>
      <c r="K69" s="89" t="s">
        <v>66</v>
      </c>
      <c r="L69" s="10"/>
      <c r="M69" s="107">
        <v>7200000</v>
      </c>
      <c r="N69" s="98">
        <v>0</v>
      </c>
      <c r="O69" s="99">
        <f t="shared" si="0"/>
        <v>0</v>
      </c>
      <c r="P69" s="26">
        <v>600000</v>
      </c>
      <c r="Q69" s="99">
        <f t="shared" si="1"/>
        <v>8.3333333333333321</v>
      </c>
      <c r="R69" s="108">
        <f>N69+P69</f>
        <v>600000</v>
      </c>
      <c r="S69" s="99">
        <f t="shared" si="2"/>
        <v>8.3333333333333321</v>
      </c>
      <c r="T69" s="100">
        <f>2/24*100</f>
        <v>8.3333333333333321</v>
      </c>
      <c r="U69" s="10"/>
      <c r="V69" s="10"/>
      <c r="W69" s="133"/>
    </row>
    <row r="70" spans="1:24" ht="15" customHeight="1" x14ac:dyDescent="0.25">
      <c r="A70" s="63"/>
      <c r="B70" s="63"/>
      <c r="C70" s="63"/>
      <c r="D70" s="63"/>
      <c r="E70" s="63"/>
      <c r="F70" s="57"/>
      <c r="G70" s="57"/>
      <c r="H70" s="57"/>
      <c r="I70" s="70"/>
      <c r="J70" s="62" t="s">
        <v>34</v>
      </c>
      <c r="K70" s="89" t="s">
        <v>81</v>
      </c>
      <c r="L70" s="10"/>
      <c r="M70" s="107">
        <v>12250000</v>
      </c>
      <c r="N70" s="98">
        <v>0</v>
      </c>
      <c r="O70" s="99">
        <f t="shared" si="0"/>
        <v>0</v>
      </c>
      <c r="P70" s="26"/>
      <c r="Q70" s="99">
        <f t="shared" si="1"/>
        <v>0</v>
      </c>
      <c r="R70" s="108">
        <f>N70+P70</f>
        <v>0</v>
      </c>
      <c r="S70" s="99">
        <f t="shared" si="2"/>
        <v>0</v>
      </c>
      <c r="T70" s="100">
        <f>0/9*100</f>
        <v>0</v>
      </c>
      <c r="U70" s="10"/>
      <c r="V70" s="10"/>
      <c r="W70" s="133"/>
    </row>
    <row r="71" spans="1:24" ht="9.9499999999999993" customHeight="1" x14ac:dyDescent="0.25">
      <c r="A71" s="63"/>
      <c r="B71" s="63"/>
      <c r="C71" s="63"/>
      <c r="D71" s="63"/>
      <c r="E71" s="63"/>
      <c r="F71" s="48"/>
      <c r="G71" s="48"/>
      <c r="H71" s="48"/>
      <c r="I71" s="53"/>
      <c r="J71" s="53"/>
      <c r="K71" s="78"/>
      <c r="L71" s="10"/>
      <c r="M71" s="97"/>
      <c r="N71" s="104"/>
      <c r="O71" s="99"/>
      <c r="P71" s="98"/>
      <c r="Q71" s="99"/>
      <c r="R71" s="98"/>
      <c r="S71" s="99"/>
      <c r="T71" s="63"/>
      <c r="U71" s="10"/>
      <c r="V71" s="10"/>
      <c r="W71" s="133"/>
    </row>
    <row r="72" spans="1:24" s="174" customFormat="1" ht="25.5" x14ac:dyDescent="0.25">
      <c r="A72" s="8">
        <v>1</v>
      </c>
      <c r="B72" s="9" t="s">
        <v>17</v>
      </c>
      <c r="C72" s="9" t="s">
        <v>18</v>
      </c>
      <c r="D72" s="8">
        <v>38</v>
      </c>
      <c r="E72" s="8">
        <v>14</v>
      </c>
      <c r="F72" s="42" t="s">
        <v>21</v>
      </c>
      <c r="G72" s="42" t="s">
        <v>22</v>
      </c>
      <c r="H72" s="42" t="s">
        <v>22</v>
      </c>
      <c r="I72" s="42" t="s">
        <v>108</v>
      </c>
      <c r="J72" s="44"/>
      <c r="K72" s="79" t="s">
        <v>109</v>
      </c>
      <c r="L72" s="127"/>
      <c r="M72" s="103">
        <f>M73</f>
        <v>500000</v>
      </c>
      <c r="N72" s="104">
        <f>N73</f>
        <v>0</v>
      </c>
      <c r="O72" s="95">
        <f t="shared" si="0"/>
        <v>0</v>
      </c>
      <c r="P72" s="104">
        <f>P73</f>
        <v>0</v>
      </c>
      <c r="Q72" s="95">
        <f t="shared" si="1"/>
        <v>0</v>
      </c>
      <c r="R72" s="104">
        <f>R73</f>
        <v>0</v>
      </c>
      <c r="S72" s="95">
        <f t="shared" si="2"/>
        <v>0</v>
      </c>
      <c r="T72" s="96">
        <v>0</v>
      </c>
      <c r="U72" s="127"/>
      <c r="V72" s="127"/>
      <c r="W72" s="173"/>
    </row>
    <row r="73" spans="1:24" ht="25.5" x14ac:dyDescent="0.25">
      <c r="A73" s="63"/>
      <c r="B73" s="63"/>
      <c r="C73" s="63"/>
      <c r="D73" s="63"/>
      <c r="E73" s="63"/>
      <c r="F73" s="48"/>
      <c r="G73" s="48"/>
      <c r="H73" s="48"/>
      <c r="I73" s="53"/>
      <c r="J73" s="55" t="s">
        <v>17</v>
      </c>
      <c r="K73" s="73" t="s">
        <v>110</v>
      </c>
      <c r="L73" s="10"/>
      <c r="M73" s="97">
        <v>500000</v>
      </c>
      <c r="N73" s="98">
        <v>0</v>
      </c>
      <c r="O73" s="99">
        <f t="shared" ref="O73:O90" si="10">N73/M73*100</f>
        <v>0</v>
      </c>
      <c r="P73" s="26"/>
      <c r="Q73" s="99">
        <f t="shared" ref="Q73:Q90" si="11">P73/M73*100</f>
        <v>0</v>
      </c>
      <c r="R73" s="98">
        <f>N73+P73</f>
        <v>0</v>
      </c>
      <c r="S73" s="99">
        <f t="shared" ref="S73:S90" si="12">R73/M73*100</f>
        <v>0</v>
      </c>
      <c r="T73" s="100">
        <f>0/1*100</f>
        <v>0</v>
      </c>
      <c r="U73" s="10"/>
      <c r="V73" s="160"/>
      <c r="W73" s="133"/>
      <c r="X73" s="182"/>
    </row>
    <row r="74" spans="1:24" ht="9.9499999999999993" customHeight="1" x14ac:dyDescent="0.25">
      <c r="A74" s="63"/>
      <c r="B74" s="63"/>
      <c r="C74" s="63"/>
      <c r="D74" s="63"/>
      <c r="E74" s="63"/>
      <c r="F74" s="48"/>
      <c r="G74" s="48"/>
      <c r="H74" s="48"/>
      <c r="I74" s="53"/>
      <c r="J74" s="59"/>
      <c r="K74" s="91"/>
      <c r="L74" s="166"/>
      <c r="M74" s="115"/>
      <c r="N74" s="104"/>
      <c r="O74" s="99"/>
      <c r="P74" s="117"/>
      <c r="Q74" s="99"/>
      <c r="R74" s="117"/>
      <c r="S74" s="99"/>
      <c r="T74" s="63"/>
      <c r="U74" s="10"/>
      <c r="V74" s="10"/>
      <c r="W74" s="133"/>
    </row>
    <row r="75" spans="1:24" s="174" customFormat="1" ht="20.100000000000001" customHeight="1" x14ac:dyDescent="0.25">
      <c r="A75" s="8">
        <v>1</v>
      </c>
      <c r="B75" s="9" t="s">
        <v>17</v>
      </c>
      <c r="C75" s="9" t="s">
        <v>18</v>
      </c>
      <c r="D75" s="8">
        <v>38</v>
      </c>
      <c r="E75" s="8">
        <v>14</v>
      </c>
      <c r="F75" s="42" t="s">
        <v>21</v>
      </c>
      <c r="G75" s="42" t="s">
        <v>22</v>
      </c>
      <c r="H75" s="42" t="s">
        <v>24</v>
      </c>
      <c r="I75" s="42"/>
      <c r="J75" s="44"/>
      <c r="K75" s="79" t="s">
        <v>25</v>
      </c>
      <c r="L75" s="127"/>
      <c r="M75" s="105">
        <f>M79+M76+M83+M86+M89</f>
        <v>68700000</v>
      </c>
      <c r="N75" s="104">
        <f>N79+N76+N83+N86+N89</f>
        <v>0</v>
      </c>
      <c r="O75" s="95">
        <f t="shared" si="10"/>
        <v>0</v>
      </c>
      <c r="P75" s="106">
        <f>P79+P76+P83+P86+P89</f>
        <v>0</v>
      </c>
      <c r="Q75" s="95">
        <f t="shared" si="11"/>
        <v>0</v>
      </c>
      <c r="R75" s="106">
        <f>R79+R76+R83+R86+R89</f>
        <v>0</v>
      </c>
      <c r="S75" s="95">
        <f t="shared" si="12"/>
        <v>0</v>
      </c>
      <c r="T75" s="96">
        <f>(T79+T76+T83+T86+T89)/5</f>
        <v>0</v>
      </c>
      <c r="U75" s="127"/>
      <c r="V75" s="127"/>
      <c r="W75" s="173"/>
    </row>
    <row r="76" spans="1:24" ht="30" customHeight="1" x14ac:dyDescent="0.25">
      <c r="A76" s="8">
        <v>1</v>
      </c>
      <c r="B76" s="9" t="s">
        <v>17</v>
      </c>
      <c r="C76" s="9" t="s">
        <v>18</v>
      </c>
      <c r="D76" s="8">
        <v>38</v>
      </c>
      <c r="E76" s="8">
        <v>14</v>
      </c>
      <c r="F76" s="42" t="s">
        <v>21</v>
      </c>
      <c r="G76" s="42" t="s">
        <v>22</v>
      </c>
      <c r="H76" s="42" t="s">
        <v>24</v>
      </c>
      <c r="I76" s="42" t="s">
        <v>44</v>
      </c>
      <c r="J76" s="44"/>
      <c r="K76" s="80" t="s">
        <v>111</v>
      </c>
      <c r="L76" s="10"/>
      <c r="M76" s="103">
        <f>M77</f>
        <v>7500000</v>
      </c>
      <c r="N76" s="104">
        <f>SUM(N77:N77)</f>
        <v>0</v>
      </c>
      <c r="O76" s="99">
        <f t="shared" si="10"/>
        <v>0</v>
      </c>
      <c r="P76" s="104">
        <f>P77</f>
        <v>0</v>
      </c>
      <c r="Q76" s="95">
        <f t="shared" si="11"/>
        <v>0</v>
      </c>
      <c r="R76" s="104">
        <f>R77</f>
        <v>0</v>
      </c>
      <c r="S76" s="95">
        <f t="shared" si="12"/>
        <v>0</v>
      </c>
      <c r="T76" s="96">
        <f>T77</f>
        <v>0</v>
      </c>
      <c r="U76" s="10"/>
      <c r="V76" s="10"/>
      <c r="W76" s="133"/>
    </row>
    <row r="77" spans="1:24" ht="15" customHeight="1" x14ac:dyDescent="0.25">
      <c r="A77" s="6"/>
      <c r="B77" s="7"/>
      <c r="C77" s="7"/>
      <c r="D77" s="6"/>
      <c r="E77" s="6"/>
      <c r="F77" s="48"/>
      <c r="G77" s="48"/>
      <c r="H77" s="48"/>
      <c r="I77" s="48"/>
      <c r="J77" s="55" t="s">
        <v>35</v>
      </c>
      <c r="K77" s="73" t="s">
        <v>112</v>
      </c>
      <c r="L77" s="10"/>
      <c r="M77" s="97">
        <v>7500000</v>
      </c>
      <c r="N77" s="98">
        <v>0</v>
      </c>
      <c r="O77" s="99">
        <f t="shared" si="10"/>
        <v>0</v>
      </c>
      <c r="P77" s="98"/>
      <c r="Q77" s="99">
        <f t="shared" si="11"/>
        <v>0</v>
      </c>
      <c r="R77" s="98">
        <f>N77+P77</f>
        <v>0</v>
      </c>
      <c r="S77" s="99">
        <f t="shared" si="12"/>
        <v>0</v>
      </c>
      <c r="T77" s="100">
        <f>0/3*100</f>
        <v>0</v>
      </c>
      <c r="U77" s="10"/>
      <c r="V77" s="10"/>
      <c r="W77" s="133"/>
    </row>
    <row r="78" spans="1:24" ht="9.9499999999999993" customHeight="1" x14ac:dyDescent="0.25">
      <c r="A78" s="8"/>
      <c r="B78" s="9"/>
      <c r="C78" s="9"/>
      <c r="D78" s="8"/>
      <c r="E78" s="8"/>
      <c r="F78" s="42"/>
      <c r="G78" s="42"/>
      <c r="H78" s="42"/>
      <c r="I78" s="55"/>
      <c r="J78" s="55"/>
      <c r="K78" s="78"/>
      <c r="L78" s="10"/>
      <c r="M78" s="97"/>
      <c r="N78" s="104"/>
      <c r="O78" s="99"/>
      <c r="P78" s="26"/>
      <c r="Q78" s="95"/>
      <c r="R78" s="98"/>
      <c r="S78" s="95"/>
      <c r="T78" s="100"/>
      <c r="U78" s="10"/>
      <c r="V78" s="10"/>
      <c r="W78" s="133"/>
    </row>
    <row r="79" spans="1:24" s="174" customFormat="1" ht="30" customHeight="1" x14ac:dyDescent="0.25">
      <c r="A79" s="8">
        <v>1</v>
      </c>
      <c r="B79" s="9" t="s">
        <v>17</v>
      </c>
      <c r="C79" s="9" t="s">
        <v>18</v>
      </c>
      <c r="D79" s="8">
        <v>38</v>
      </c>
      <c r="E79" s="8">
        <v>14</v>
      </c>
      <c r="F79" s="42" t="s">
        <v>21</v>
      </c>
      <c r="G79" s="42" t="s">
        <v>22</v>
      </c>
      <c r="H79" s="42" t="s">
        <v>24</v>
      </c>
      <c r="I79" s="60" t="s">
        <v>113</v>
      </c>
      <c r="J79" s="60"/>
      <c r="K79" s="79" t="s">
        <v>45</v>
      </c>
      <c r="L79" s="127"/>
      <c r="M79" s="103">
        <f>SUM(M80:M81)</f>
        <v>12200000</v>
      </c>
      <c r="N79" s="104">
        <f>SUM(N80:N81)</f>
        <v>0</v>
      </c>
      <c r="O79" s="95">
        <f t="shared" si="10"/>
        <v>0</v>
      </c>
      <c r="P79" s="147">
        <f>SUM(P80:P81)</f>
        <v>0</v>
      </c>
      <c r="Q79" s="95">
        <f t="shared" si="11"/>
        <v>0</v>
      </c>
      <c r="R79" s="104">
        <f>SUM(R80:R81)</f>
        <v>0</v>
      </c>
      <c r="S79" s="95">
        <f t="shared" si="12"/>
        <v>0</v>
      </c>
      <c r="T79" s="96">
        <f>SUM(T80:T81)/2</f>
        <v>0</v>
      </c>
      <c r="U79" s="127"/>
      <c r="V79" s="127"/>
      <c r="W79" s="173"/>
    </row>
    <row r="80" spans="1:24" ht="15" customHeight="1" x14ac:dyDescent="0.25">
      <c r="A80" s="6"/>
      <c r="B80" s="7"/>
      <c r="C80" s="7"/>
      <c r="D80" s="6"/>
      <c r="E80" s="6"/>
      <c r="F80" s="48"/>
      <c r="G80" s="48"/>
      <c r="H80" s="48"/>
      <c r="I80" s="55"/>
      <c r="J80" s="55" t="s">
        <v>18</v>
      </c>
      <c r="K80" s="78" t="s">
        <v>114</v>
      </c>
      <c r="L80" s="10"/>
      <c r="M80" s="97">
        <v>11200000</v>
      </c>
      <c r="N80" s="98">
        <v>0</v>
      </c>
      <c r="O80" s="99">
        <f t="shared" si="10"/>
        <v>0</v>
      </c>
      <c r="P80" s="26"/>
      <c r="Q80" s="99">
        <f t="shared" si="11"/>
        <v>0</v>
      </c>
      <c r="R80" s="98">
        <f>N80+P80</f>
        <v>0</v>
      </c>
      <c r="S80" s="99">
        <f t="shared" si="12"/>
        <v>0</v>
      </c>
      <c r="T80" s="100">
        <f>0/4*100</f>
        <v>0</v>
      </c>
      <c r="U80" s="10"/>
      <c r="V80" s="10"/>
      <c r="W80" s="133"/>
    </row>
    <row r="81" spans="1:23" ht="15" customHeight="1" x14ac:dyDescent="0.25">
      <c r="A81" s="6"/>
      <c r="B81" s="7"/>
      <c r="C81" s="7"/>
      <c r="D81" s="6"/>
      <c r="E81" s="6"/>
      <c r="F81" s="48"/>
      <c r="G81" s="48"/>
      <c r="H81" s="48"/>
      <c r="I81" s="55"/>
      <c r="J81" s="55" t="s">
        <v>17</v>
      </c>
      <c r="K81" s="78" t="s">
        <v>115</v>
      </c>
      <c r="L81" s="10"/>
      <c r="M81" s="97">
        <v>1000000</v>
      </c>
      <c r="N81" s="98">
        <v>0</v>
      </c>
      <c r="O81" s="99">
        <f t="shared" si="10"/>
        <v>0</v>
      </c>
      <c r="P81" s="26"/>
      <c r="Q81" s="99">
        <f t="shared" si="11"/>
        <v>0</v>
      </c>
      <c r="R81" s="98">
        <f>N81+P81</f>
        <v>0</v>
      </c>
      <c r="S81" s="99">
        <f t="shared" si="12"/>
        <v>0</v>
      </c>
      <c r="T81" s="100">
        <f>0/1*100</f>
        <v>0</v>
      </c>
      <c r="U81" s="10"/>
      <c r="V81" s="10"/>
      <c r="W81" s="133"/>
    </row>
    <row r="82" spans="1:23" ht="9.9499999999999993" customHeight="1" x14ac:dyDescent="0.25">
      <c r="A82" s="8"/>
      <c r="B82" s="9"/>
      <c r="C82" s="9"/>
      <c r="D82" s="8"/>
      <c r="E82" s="8"/>
      <c r="F82" s="42"/>
      <c r="G82" s="42"/>
      <c r="H82" s="42"/>
      <c r="I82" s="55"/>
      <c r="J82" s="55"/>
      <c r="K82" s="78"/>
      <c r="L82" s="10"/>
      <c r="M82" s="97"/>
      <c r="N82" s="104"/>
      <c r="O82" s="99"/>
      <c r="P82" s="26"/>
      <c r="Q82" s="95"/>
      <c r="R82" s="98"/>
      <c r="S82" s="95"/>
      <c r="T82" s="100"/>
      <c r="U82" s="10"/>
      <c r="V82" s="10"/>
      <c r="W82" s="133"/>
    </row>
    <row r="83" spans="1:23" s="174" customFormat="1" ht="30" customHeight="1" x14ac:dyDescent="0.25">
      <c r="A83" s="8">
        <v>1</v>
      </c>
      <c r="B83" s="9" t="s">
        <v>17</v>
      </c>
      <c r="C83" s="9" t="s">
        <v>18</v>
      </c>
      <c r="D83" s="8">
        <v>38</v>
      </c>
      <c r="E83" s="8">
        <v>14</v>
      </c>
      <c r="F83" s="42" t="s">
        <v>21</v>
      </c>
      <c r="G83" s="42" t="s">
        <v>22</v>
      </c>
      <c r="H83" s="42" t="s">
        <v>24</v>
      </c>
      <c r="I83" s="60" t="s">
        <v>78</v>
      </c>
      <c r="J83" s="60"/>
      <c r="K83" s="79" t="s">
        <v>116</v>
      </c>
      <c r="L83" s="127"/>
      <c r="M83" s="103">
        <f>M84</f>
        <v>26000000</v>
      </c>
      <c r="N83" s="104">
        <f>N84</f>
        <v>0</v>
      </c>
      <c r="O83" s="95">
        <f t="shared" si="10"/>
        <v>0</v>
      </c>
      <c r="P83" s="147">
        <f>P84</f>
        <v>0</v>
      </c>
      <c r="Q83" s="95">
        <f t="shared" si="11"/>
        <v>0</v>
      </c>
      <c r="R83" s="104">
        <f>R84</f>
        <v>0</v>
      </c>
      <c r="S83" s="95">
        <f t="shared" si="12"/>
        <v>0</v>
      </c>
      <c r="T83" s="96">
        <f>T84</f>
        <v>0</v>
      </c>
      <c r="U83" s="127"/>
      <c r="V83" s="127"/>
      <c r="W83" s="173"/>
    </row>
    <row r="84" spans="1:23" ht="15" customHeight="1" x14ac:dyDescent="0.25">
      <c r="A84" s="6"/>
      <c r="B84" s="7"/>
      <c r="C84" s="7"/>
      <c r="D84" s="6"/>
      <c r="E84" s="6"/>
      <c r="F84" s="48"/>
      <c r="G84" s="48"/>
      <c r="H84" s="48"/>
      <c r="I84" s="55"/>
      <c r="J84" s="55" t="s">
        <v>117</v>
      </c>
      <c r="K84" s="78" t="s">
        <v>118</v>
      </c>
      <c r="L84" s="10"/>
      <c r="M84" s="97">
        <v>26000000</v>
      </c>
      <c r="N84" s="98">
        <v>0</v>
      </c>
      <c r="O84" s="99">
        <f t="shared" si="10"/>
        <v>0</v>
      </c>
      <c r="P84" s="26"/>
      <c r="Q84" s="99">
        <f t="shared" si="11"/>
        <v>0</v>
      </c>
      <c r="R84" s="98">
        <f>N84+P84</f>
        <v>0</v>
      </c>
      <c r="S84" s="99">
        <f t="shared" si="12"/>
        <v>0</v>
      </c>
      <c r="T84" s="100">
        <f>0/2*100</f>
        <v>0</v>
      </c>
      <c r="U84" s="10"/>
      <c r="V84" s="10"/>
      <c r="W84" s="133"/>
    </row>
    <row r="85" spans="1:23" ht="9.9499999999999993" customHeight="1" x14ac:dyDescent="0.25">
      <c r="A85" s="8"/>
      <c r="B85" s="9"/>
      <c r="C85" s="9"/>
      <c r="D85" s="8"/>
      <c r="E85" s="8"/>
      <c r="F85" s="42"/>
      <c r="G85" s="42"/>
      <c r="H85" s="42"/>
      <c r="I85" s="55"/>
      <c r="J85" s="55"/>
      <c r="K85" s="78"/>
      <c r="L85" s="10"/>
      <c r="M85" s="97"/>
      <c r="N85" s="104"/>
      <c r="O85" s="99"/>
      <c r="P85" s="26"/>
      <c r="Q85" s="95"/>
      <c r="R85" s="98"/>
      <c r="S85" s="95"/>
      <c r="T85" s="100"/>
      <c r="U85" s="10"/>
      <c r="V85" s="10"/>
      <c r="W85" s="133"/>
    </row>
    <row r="86" spans="1:23" s="174" customFormat="1" ht="30" customHeight="1" x14ac:dyDescent="0.25">
      <c r="A86" s="8">
        <v>1</v>
      </c>
      <c r="B86" s="9" t="s">
        <v>17</v>
      </c>
      <c r="C86" s="9" t="s">
        <v>18</v>
      </c>
      <c r="D86" s="8">
        <v>38</v>
      </c>
      <c r="E86" s="8">
        <v>14</v>
      </c>
      <c r="F86" s="42" t="s">
        <v>21</v>
      </c>
      <c r="G86" s="42" t="s">
        <v>22</v>
      </c>
      <c r="H86" s="42" t="s">
        <v>24</v>
      </c>
      <c r="I86" s="60" t="s">
        <v>119</v>
      </c>
      <c r="J86" s="60"/>
      <c r="K86" s="79" t="s">
        <v>120</v>
      </c>
      <c r="L86" s="127"/>
      <c r="M86" s="103">
        <f>M87</f>
        <v>14000000</v>
      </c>
      <c r="N86" s="104">
        <f>N87</f>
        <v>0</v>
      </c>
      <c r="O86" s="95">
        <f t="shared" si="10"/>
        <v>0</v>
      </c>
      <c r="P86" s="147">
        <f>P87</f>
        <v>0</v>
      </c>
      <c r="Q86" s="95">
        <f t="shared" si="11"/>
        <v>0</v>
      </c>
      <c r="R86" s="104">
        <f>R87</f>
        <v>0</v>
      </c>
      <c r="S86" s="95">
        <f t="shared" si="12"/>
        <v>0</v>
      </c>
      <c r="T86" s="96">
        <f>T87</f>
        <v>0</v>
      </c>
      <c r="U86" s="127"/>
      <c r="V86" s="127"/>
      <c r="W86" s="173"/>
    </row>
    <row r="87" spans="1:23" ht="15" customHeight="1" x14ac:dyDescent="0.25">
      <c r="A87" s="6"/>
      <c r="B87" s="7"/>
      <c r="C87" s="7"/>
      <c r="D87" s="6"/>
      <c r="E87" s="6"/>
      <c r="F87" s="157"/>
      <c r="G87" s="157"/>
      <c r="H87" s="157"/>
      <c r="I87" s="48"/>
      <c r="J87" s="48" t="s">
        <v>17</v>
      </c>
      <c r="K87" s="78" t="s">
        <v>121</v>
      </c>
      <c r="L87" s="10"/>
      <c r="M87" s="107">
        <v>14000000</v>
      </c>
      <c r="N87" s="98">
        <v>0</v>
      </c>
      <c r="O87" s="99">
        <f t="shared" si="10"/>
        <v>0</v>
      </c>
      <c r="P87" s="108"/>
      <c r="Q87" s="99">
        <f t="shared" si="11"/>
        <v>0</v>
      </c>
      <c r="R87" s="108">
        <f>N87+P87</f>
        <v>0</v>
      </c>
      <c r="S87" s="99">
        <f t="shared" si="12"/>
        <v>0</v>
      </c>
      <c r="T87" s="100">
        <f>0/2*100</f>
        <v>0</v>
      </c>
      <c r="U87" s="10"/>
      <c r="V87" s="10"/>
      <c r="W87" s="133"/>
    </row>
    <row r="88" spans="1:23" ht="9.9499999999999993" customHeight="1" x14ac:dyDescent="0.25">
      <c r="A88" s="63"/>
      <c r="B88" s="63"/>
      <c r="C88" s="63"/>
      <c r="D88" s="63"/>
      <c r="E88" s="63"/>
      <c r="F88" s="42"/>
      <c r="G88" s="42"/>
      <c r="H88" s="42"/>
      <c r="I88" s="42"/>
      <c r="J88" s="65"/>
      <c r="K88" s="92"/>
      <c r="L88" s="10"/>
      <c r="M88" s="107"/>
      <c r="N88" s="104"/>
      <c r="O88" s="99"/>
      <c r="P88" s="26"/>
      <c r="Q88" s="95"/>
      <c r="R88" s="108"/>
      <c r="S88" s="95"/>
      <c r="T88" s="100"/>
      <c r="U88" s="10"/>
      <c r="V88" s="10"/>
      <c r="W88" s="133"/>
    </row>
    <row r="89" spans="1:23" s="174" customFormat="1" ht="30" customHeight="1" x14ac:dyDescent="0.25">
      <c r="A89" s="8">
        <v>1</v>
      </c>
      <c r="B89" s="9" t="s">
        <v>17</v>
      </c>
      <c r="C89" s="9" t="s">
        <v>18</v>
      </c>
      <c r="D89" s="8">
        <v>38</v>
      </c>
      <c r="E89" s="8">
        <v>14</v>
      </c>
      <c r="F89" s="42" t="s">
        <v>21</v>
      </c>
      <c r="G89" s="42" t="s">
        <v>22</v>
      </c>
      <c r="H89" s="42" t="s">
        <v>24</v>
      </c>
      <c r="I89" s="42" t="s">
        <v>122</v>
      </c>
      <c r="J89" s="71"/>
      <c r="K89" s="150" t="s">
        <v>123</v>
      </c>
      <c r="L89" s="127"/>
      <c r="M89" s="105">
        <f>M90</f>
        <v>9000000</v>
      </c>
      <c r="N89" s="104">
        <f>N90</f>
        <v>0</v>
      </c>
      <c r="O89" s="95">
        <f t="shared" si="10"/>
        <v>0</v>
      </c>
      <c r="P89" s="147">
        <f>P90</f>
        <v>0</v>
      </c>
      <c r="Q89" s="95">
        <f t="shared" si="11"/>
        <v>0</v>
      </c>
      <c r="R89" s="106">
        <f>R90</f>
        <v>0</v>
      </c>
      <c r="S89" s="95">
        <f t="shared" si="12"/>
        <v>0</v>
      </c>
      <c r="T89" s="96">
        <f>T90</f>
        <v>0</v>
      </c>
      <c r="U89" s="127"/>
      <c r="V89" s="127"/>
      <c r="W89" s="173"/>
    </row>
    <row r="90" spans="1:23" ht="15" customHeight="1" x14ac:dyDescent="0.25">
      <c r="A90" s="63"/>
      <c r="B90" s="63"/>
      <c r="C90" s="63"/>
      <c r="D90" s="63"/>
      <c r="E90" s="63"/>
      <c r="F90" s="48"/>
      <c r="G90" s="48"/>
      <c r="H90" s="48"/>
      <c r="I90" s="48"/>
      <c r="J90" s="65" t="s">
        <v>34</v>
      </c>
      <c r="K90" s="92" t="s">
        <v>124</v>
      </c>
      <c r="L90" s="10"/>
      <c r="M90" s="107">
        <v>9000000</v>
      </c>
      <c r="N90" s="98">
        <v>0</v>
      </c>
      <c r="O90" s="99">
        <f t="shared" si="10"/>
        <v>0</v>
      </c>
      <c r="P90" s="26"/>
      <c r="Q90" s="99">
        <f t="shared" si="11"/>
        <v>0</v>
      </c>
      <c r="R90" s="108">
        <f>N90+P90</f>
        <v>0</v>
      </c>
      <c r="S90" s="99">
        <f t="shared" si="12"/>
        <v>0</v>
      </c>
      <c r="T90" s="100">
        <f>0/3*100</f>
        <v>0</v>
      </c>
      <c r="U90" s="10"/>
      <c r="V90" s="10"/>
      <c r="W90" s="133"/>
    </row>
    <row r="91" spans="1:23" ht="9.9499999999999993" customHeight="1" x14ac:dyDescent="0.25">
      <c r="A91" s="63"/>
      <c r="B91" s="63"/>
      <c r="C91" s="63"/>
      <c r="D91" s="63"/>
      <c r="E91" s="63"/>
      <c r="F91" s="42"/>
      <c r="G91" s="42"/>
      <c r="H91" s="42"/>
      <c r="I91" s="42"/>
      <c r="J91" s="65"/>
      <c r="K91" s="92"/>
      <c r="L91" s="10"/>
      <c r="M91" s="107"/>
      <c r="N91" s="104"/>
      <c r="O91" s="99"/>
      <c r="P91" s="26"/>
      <c r="Q91" s="99"/>
      <c r="R91" s="108"/>
      <c r="S91" s="99"/>
      <c r="T91" s="100"/>
      <c r="U91" s="10"/>
      <c r="V91" s="10"/>
      <c r="W91" s="133"/>
    </row>
    <row r="92" spans="1:23" x14ac:dyDescent="0.25">
      <c r="A92" s="171"/>
      <c r="B92" s="171"/>
      <c r="C92" s="171"/>
      <c r="D92" s="171"/>
      <c r="E92" s="171"/>
      <c r="F92" s="171"/>
      <c r="G92" s="171"/>
      <c r="H92" s="171"/>
      <c r="I92" s="171"/>
      <c r="J92" s="171"/>
      <c r="K92" s="171"/>
      <c r="L92" s="171"/>
      <c r="M92" s="175"/>
      <c r="N92" s="171"/>
      <c r="O92" s="171"/>
      <c r="P92" s="171"/>
      <c r="Q92" s="171"/>
      <c r="R92" s="171"/>
      <c r="S92" s="171"/>
      <c r="T92" s="171"/>
      <c r="U92" s="171"/>
      <c r="V92" s="171"/>
      <c r="W92" s="171"/>
    </row>
    <row r="93" spans="1:23" x14ac:dyDescent="0.25">
      <c r="A93" s="171"/>
      <c r="B93" s="171"/>
      <c r="C93" s="171"/>
      <c r="D93" s="171"/>
      <c r="E93" s="171"/>
      <c r="F93" s="171"/>
      <c r="G93" s="171"/>
      <c r="H93" s="171"/>
      <c r="I93" s="171"/>
      <c r="J93" s="171"/>
      <c r="K93" s="171"/>
      <c r="L93" s="171"/>
      <c r="M93" s="175"/>
      <c r="N93" s="171"/>
      <c r="O93" s="171"/>
      <c r="P93" s="192" t="s">
        <v>126</v>
      </c>
      <c r="Q93" s="192"/>
      <c r="R93" s="192"/>
      <c r="S93" s="192"/>
      <c r="T93" s="192"/>
      <c r="U93" s="192"/>
      <c r="V93" s="192"/>
      <c r="W93" s="176"/>
    </row>
    <row r="94" spans="1:23" x14ac:dyDescent="0.25">
      <c r="A94" s="171"/>
      <c r="B94" s="171"/>
      <c r="C94" s="171"/>
      <c r="D94" s="171"/>
      <c r="E94" s="171"/>
      <c r="F94" s="171"/>
      <c r="G94" s="171"/>
      <c r="H94" s="171"/>
      <c r="I94" s="171"/>
      <c r="J94" s="171"/>
      <c r="K94" s="171"/>
      <c r="L94" s="171"/>
      <c r="M94" s="175"/>
      <c r="N94" s="171"/>
      <c r="O94" s="171"/>
      <c r="P94" s="192" t="s">
        <v>46</v>
      </c>
      <c r="Q94" s="192"/>
      <c r="R94" s="192"/>
      <c r="S94" s="192"/>
      <c r="T94" s="192"/>
      <c r="U94" s="192"/>
      <c r="V94" s="192"/>
      <c r="W94" s="176"/>
    </row>
    <row r="95" spans="1:23" x14ac:dyDescent="0.25">
      <c r="A95" s="171"/>
      <c r="B95" s="171"/>
      <c r="C95" s="171"/>
      <c r="D95" s="171"/>
      <c r="E95" s="171"/>
      <c r="F95" s="171"/>
      <c r="G95" s="171"/>
      <c r="H95" s="171"/>
      <c r="I95" s="171"/>
      <c r="J95" s="171"/>
      <c r="K95" s="171"/>
      <c r="L95" s="171"/>
      <c r="M95" s="175"/>
      <c r="N95" s="171"/>
      <c r="O95" s="171"/>
      <c r="P95" s="177"/>
      <c r="Q95" s="177"/>
      <c r="R95" s="177"/>
      <c r="S95" s="177"/>
      <c r="T95" s="177"/>
      <c r="U95" s="177"/>
      <c r="V95" s="177"/>
      <c r="W95" s="171"/>
    </row>
    <row r="96" spans="1:23" x14ac:dyDescent="0.25">
      <c r="A96" s="171"/>
      <c r="B96" s="171"/>
      <c r="C96" s="171"/>
      <c r="D96" s="171"/>
      <c r="E96" s="171"/>
      <c r="F96" s="171"/>
      <c r="G96" s="171"/>
      <c r="H96" s="171"/>
      <c r="I96" s="171"/>
      <c r="J96" s="171"/>
      <c r="K96" s="171"/>
      <c r="L96" s="171"/>
      <c r="M96" s="175"/>
      <c r="N96" s="171"/>
      <c r="O96" s="171"/>
      <c r="P96" s="177"/>
      <c r="Q96" s="177"/>
      <c r="R96" s="177"/>
      <c r="S96" s="177"/>
      <c r="T96" s="177"/>
      <c r="U96" s="177"/>
      <c r="V96" s="177"/>
      <c r="W96" s="171"/>
    </row>
    <row r="97" spans="1:23" x14ac:dyDescent="0.25">
      <c r="A97" s="171"/>
      <c r="B97" s="171"/>
      <c r="C97" s="171"/>
      <c r="D97" s="171"/>
      <c r="E97" s="171"/>
      <c r="F97" s="171"/>
      <c r="G97" s="171"/>
      <c r="H97" s="171"/>
      <c r="I97" s="171"/>
      <c r="J97" s="171"/>
      <c r="K97" s="171"/>
      <c r="L97" s="171"/>
      <c r="M97" s="175"/>
      <c r="N97" s="171"/>
      <c r="O97" s="171"/>
      <c r="P97" s="193" t="s">
        <v>70</v>
      </c>
      <c r="Q97" s="193"/>
      <c r="R97" s="193"/>
      <c r="S97" s="193"/>
      <c r="T97" s="193"/>
      <c r="U97" s="193"/>
      <c r="V97" s="193"/>
      <c r="W97" s="178"/>
    </row>
    <row r="98" spans="1:23" x14ac:dyDescent="0.25">
      <c r="A98" s="171"/>
      <c r="B98" s="171"/>
      <c r="C98" s="171"/>
      <c r="D98" s="171"/>
      <c r="E98" s="171"/>
      <c r="F98" s="171"/>
      <c r="G98" s="171"/>
      <c r="H98" s="171"/>
      <c r="I98" s="171"/>
      <c r="J98" s="171"/>
      <c r="K98" s="171"/>
      <c r="L98" s="171"/>
      <c r="M98" s="175"/>
      <c r="N98" s="171"/>
      <c r="O98" s="171"/>
      <c r="P98" s="189" t="s">
        <v>71</v>
      </c>
      <c r="Q98" s="189"/>
      <c r="R98" s="189"/>
      <c r="S98" s="189"/>
      <c r="T98" s="189"/>
      <c r="U98" s="189"/>
      <c r="V98" s="189"/>
      <c r="W98" s="179"/>
    </row>
  </sheetData>
  <mergeCells count="24"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T7"/>
    <mergeCell ref="N8:O8"/>
    <mergeCell ref="P8:Q8"/>
    <mergeCell ref="R8:S8"/>
    <mergeCell ref="P98:V98"/>
    <mergeCell ref="A10:J10"/>
    <mergeCell ref="L10:L11"/>
    <mergeCell ref="A11:J11"/>
    <mergeCell ref="P93:V93"/>
    <mergeCell ref="P94:V94"/>
    <mergeCell ref="P97:V97"/>
  </mergeCells>
  <pageMargins left="0.59055118110236227" right="0.59055118110236227" top="0.19685039370078741" bottom="0.19685039370078741" header="0.31496062992125984" footer="0.31496062992125984"/>
  <pageSetup paperSize="10000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W99"/>
  <sheetViews>
    <sheetView tabSelected="1" workbookViewId="0">
      <selection activeCell="U37" sqref="U37"/>
    </sheetView>
  </sheetViews>
  <sheetFormatPr defaultRowHeight="15" x14ac:dyDescent="0.25"/>
  <cols>
    <col min="1" max="8" width="2.7109375" style="168" customWidth="1"/>
    <col min="9" max="9" width="3.140625" style="168" customWidth="1"/>
    <col min="10" max="10" width="3.5703125" style="168" customWidth="1"/>
    <col min="11" max="11" width="44.5703125" style="168" customWidth="1"/>
    <col min="12" max="12" width="11" style="168" customWidth="1"/>
    <col min="13" max="13" width="14.5703125" style="170" customWidth="1"/>
    <col min="14" max="14" width="13" style="168" customWidth="1"/>
    <col min="15" max="15" width="7.5703125" style="168" customWidth="1"/>
    <col min="16" max="16" width="13.28515625" style="168" customWidth="1"/>
    <col min="17" max="17" width="8" style="168" customWidth="1"/>
    <col min="18" max="18" width="13" style="168" customWidth="1"/>
    <col min="19" max="19" width="9.42578125" style="168" customWidth="1"/>
    <col min="20" max="20" width="11.140625" style="168" customWidth="1"/>
    <col min="21" max="21" width="15.5703125" style="168" customWidth="1"/>
    <col min="22" max="22" width="22.42578125" style="168" customWidth="1"/>
    <col min="23" max="23" width="18.28515625" style="168" customWidth="1"/>
    <col min="24" max="24" width="15.5703125" style="168" bestFit="1" customWidth="1"/>
    <col min="25" max="25" width="12.85546875" style="168" bestFit="1" customWidth="1"/>
    <col min="26" max="16384" width="9.140625" style="168"/>
  </cols>
  <sheetData>
    <row r="1" spans="1:23" ht="16.5" x14ac:dyDescent="0.25">
      <c r="A1" s="194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67"/>
    </row>
    <row r="2" spans="1:23" ht="16.5" x14ac:dyDescent="0.25">
      <c r="A2" s="194" t="s">
        <v>72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67"/>
    </row>
    <row r="3" spans="1:23" ht="16.5" x14ac:dyDescent="0.25">
      <c r="A3" s="194" t="s">
        <v>73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67"/>
    </row>
    <row r="4" spans="1:23" ht="16.5" x14ac:dyDescent="0.25">
      <c r="A4" s="194" t="s">
        <v>96</v>
      </c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67"/>
    </row>
    <row r="5" spans="1:23" ht="18" x14ac:dyDescent="0.25">
      <c r="A5" s="169"/>
      <c r="B5" s="169"/>
      <c r="C5" s="169"/>
      <c r="D5" s="169"/>
      <c r="E5" s="169"/>
    </row>
    <row r="6" spans="1:23" x14ac:dyDescent="0.25">
      <c r="A6" s="195" t="s">
        <v>1</v>
      </c>
      <c r="B6" s="195"/>
      <c r="C6" s="195"/>
      <c r="D6" s="195"/>
      <c r="E6" s="195"/>
      <c r="F6" s="195"/>
      <c r="G6" s="195"/>
      <c r="H6" s="195"/>
      <c r="I6" s="195"/>
      <c r="J6" s="195"/>
      <c r="K6" s="195" t="s">
        <v>2</v>
      </c>
      <c r="L6" s="188" t="s">
        <v>3</v>
      </c>
      <c r="M6" s="196" t="s">
        <v>4</v>
      </c>
      <c r="N6" s="195" t="s">
        <v>5</v>
      </c>
      <c r="O6" s="195"/>
      <c r="P6" s="195"/>
      <c r="Q6" s="195"/>
      <c r="R6" s="195"/>
      <c r="S6" s="195"/>
      <c r="T6" s="195"/>
      <c r="U6" s="188" t="s">
        <v>6</v>
      </c>
      <c r="V6" s="188" t="s">
        <v>7</v>
      </c>
      <c r="W6" s="21"/>
    </row>
    <row r="7" spans="1:23" x14ac:dyDescent="0.25">
      <c r="A7" s="195"/>
      <c r="B7" s="195"/>
      <c r="C7" s="195"/>
      <c r="D7" s="195"/>
      <c r="E7" s="195"/>
      <c r="F7" s="195"/>
      <c r="G7" s="195"/>
      <c r="H7" s="195"/>
      <c r="I7" s="195"/>
      <c r="J7" s="195"/>
      <c r="K7" s="195"/>
      <c r="L7" s="188"/>
      <c r="M7" s="196"/>
      <c r="N7" s="200" t="s">
        <v>8</v>
      </c>
      <c r="O7" s="201"/>
      <c r="P7" s="200" t="s">
        <v>9</v>
      </c>
      <c r="Q7" s="201"/>
      <c r="R7" s="202" t="s">
        <v>10</v>
      </c>
      <c r="S7" s="203"/>
      <c r="T7" s="204"/>
      <c r="U7" s="188"/>
      <c r="V7" s="188"/>
      <c r="W7" s="21"/>
    </row>
    <row r="8" spans="1:23" x14ac:dyDescent="0.25">
      <c r="A8" s="195"/>
      <c r="B8" s="195"/>
      <c r="C8" s="195"/>
      <c r="D8" s="195"/>
      <c r="E8" s="195"/>
      <c r="F8" s="195"/>
      <c r="G8" s="195"/>
      <c r="H8" s="195"/>
      <c r="I8" s="195"/>
      <c r="J8" s="195"/>
      <c r="K8" s="195"/>
      <c r="L8" s="188"/>
      <c r="M8" s="196"/>
      <c r="N8" s="188" t="s">
        <v>11</v>
      </c>
      <c r="O8" s="188"/>
      <c r="P8" s="188" t="s">
        <v>11</v>
      </c>
      <c r="Q8" s="188"/>
      <c r="R8" s="188" t="s">
        <v>11</v>
      </c>
      <c r="S8" s="188"/>
      <c r="T8" s="151" t="s">
        <v>12</v>
      </c>
      <c r="U8" s="188"/>
      <c r="V8" s="188"/>
      <c r="W8" s="21"/>
    </row>
    <row r="9" spans="1:23" x14ac:dyDescent="0.25">
      <c r="A9" s="195"/>
      <c r="B9" s="195"/>
      <c r="C9" s="195"/>
      <c r="D9" s="195"/>
      <c r="E9" s="195"/>
      <c r="F9" s="195"/>
      <c r="G9" s="195"/>
      <c r="H9" s="195"/>
      <c r="I9" s="195"/>
      <c r="J9" s="195"/>
      <c r="K9" s="195"/>
      <c r="L9" s="188"/>
      <c r="M9" s="196"/>
      <c r="N9" s="151" t="s">
        <v>13</v>
      </c>
      <c r="O9" s="151" t="s">
        <v>14</v>
      </c>
      <c r="P9" s="151" t="s">
        <v>13</v>
      </c>
      <c r="Q9" s="151" t="s">
        <v>14</v>
      </c>
      <c r="R9" s="151" t="s">
        <v>13</v>
      </c>
      <c r="S9" s="151" t="s">
        <v>14</v>
      </c>
      <c r="T9" s="151" t="s">
        <v>14</v>
      </c>
      <c r="U9" s="188"/>
      <c r="V9" s="188"/>
      <c r="W9" s="21"/>
    </row>
    <row r="10" spans="1:23" s="171" customFormat="1" ht="25.5" x14ac:dyDescent="0.25">
      <c r="A10" s="190" t="s">
        <v>74</v>
      </c>
      <c r="B10" s="190"/>
      <c r="C10" s="190"/>
      <c r="D10" s="190"/>
      <c r="E10" s="190"/>
      <c r="F10" s="190"/>
      <c r="G10" s="190"/>
      <c r="H10" s="190"/>
      <c r="I10" s="190"/>
      <c r="J10" s="190"/>
      <c r="K10" s="180" t="s">
        <v>72</v>
      </c>
      <c r="L10" s="198" t="s">
        <v>15</v>
      </c>
      <c r="M10" s="32"/>
      <c r="N10" s="3"/>
      <c r="O10" s="153"/>
      <c r="P10" s="153"/>
      <c r="Q10" s="153"/>
      <c r="R10" s="153"/>
      <c r="S10" s="153"/>
      <c r="T10" s="153"/>
      <c r="U10" s="153"/>
      <c r="V10" s="153"/>
      <c r="W10" s="22"/>
    </row>
    <row r="11" spans="1:23" s="171" customFormat="1" ht="39.950000000000003" customHeight="1" x14ac:dyDescent="0.25">
      <c r="A11" s="190" t="s">
        <v>75</v>
      </c>
      <c r="B11" s="190"/>
      <c r="C11" s="190"/>
      <c r="D11" s="190"/>
      <c r="E11" s="190"/>
      <c r="F11" s="190"/>
      <c r="G11" s="190"/>
      <c r="H11" s="190"/>
      <c r="I11" s="190"/>
      <c r="J11" s="190"/>
      <c r="K11" s="180" t="s">
        <v>16</v>
      </c>
      <c r="L11" s="199"/>
      <c r="M11" s="33">
        <f>M12</f>
        <v>908784000</v>
      </c>
      <c r="N11" s="3"/>
      <c r="O11" s="153"/>
      <c r="P11" s="153"/>
      <c r="Q11" s="153"/>
      <c r="R11" s="5"/>
      <c r="S11" s="153"/>
      <c r="T11" s="153"/>
      <c r="U11" s="158"/>
      <c r="V11" s="153"/>
      <c r="W11" s="22"/>
    </row>
    <row r="12" spans="1:23" ht="15" customHeight="1" x14ac:dyDescent="0.25">
      <c r="A12" s="8">
        <v>1</v>
      </c>
      <c r="B12" s="9" t="s">
        <v>17</v>
      </c>
      <c r="C12" s="9" t="s">
        <v>18</v>
      </c>
      <c r="D12" s="8">
        <v>38</v>
      </c>
      <c r="E12" s="8">
        <v>14</v>
      </c>
      <c r="F12" s="38">
        <v>5</v>
      </c>
      <c r="G12" s="38">
        <v>2</v>
      </c>
      <c r="H12" s="38"/>
      <c r="I12" s="39"/>
      <c r="J12" s="40"/>
      <c r="K12" s="77" t="s">
        <v>19</v>
      </c>
      <c r="L12" s="159"/>
      <c r="M12" s="93">
        <f>M13+M14+M15</f>
        <v>908784000</v>
      </c>
      <c r="N12" s="94">
        <f>September!R12</f>
        <v>510361120</v>
      </c>
      <c r="O12" s="95">
        <f>N12/M12*100</f>
        <v>56.15868237116851</v>
      </c>
      <c r="P12" s="94">
        <f>P13+P14+P15</f>
        <v>2565600</v>
      </c>
      <c r="Q12" s="95">
        <f>P12/M12*100</f>
        <v>0.28231130829768131</v>
      </c>
      <c r="R12" s="94">
        <f>R13+R14+R15</f>
        <v>512926720</v>
      </c>
      <c r="S12" s="95">
        <f>R12/M12*100</f>
        <v>56.440993679466189</v>
      </c>
      <c r="T12" s="96">
        <f>SUM(T13:T15)/3</f>
        <v>62.752817563412066</v>
      </c>
      <c r="U12" s="10"/>
      <c r="V12" s="160"/>
      <c r="W12" s="172"/>
    </row>
    <row r="13" spans="1:23" ht="15" customHeight="1" x14ac:dyDescent="0.25">
      <c r="A13" s="8">
        <v>1</v>
      </c>
      <c r="B13" s="9" t="s">
        <v>17</v>
      </c>
      <c r="C13" s="9" t="s">
        <v>18</v>
      </c>
      <c r="D13" s="8">
        <v>38</v>
      </c>
      <c r="E13" s="8">
        <v>14</v>
      </c>
      <c r="F13" s="41">
        <v>5</v>
      </c>
      <c r="G13" s="41">
        <v>2</v>
      </c>
      <c r="H13" s="41">
        <v>1</v>
      </c>
      <c r="I13" s="42"/>
      <c r="J13" s="43"/>
      <c r="K13" s="73" t="s">
        <v>20</v>
      </c>
      <c r="L13" s="159"/>
      <c r="M13" s="97">
        <f>M17</f>
        <v>545270400</v>
      </c>
      <c r="N13" s="94">
        <f>September!R13</f>
        <v>326963520</v>
      </c>
      <c r="O13" s="99">
        <f t="shared" ref="O13:O76" si="0">N13/M13*100</f>
        <v>59.963555696403105</v>
      </c>
      <c r="P13" s="98">
        <f>P17</f>
        <v>0</v>
      </c>
      <c r="Q13" s="99">
        <f t="shared" ref="Q13:Q76" si="1">P13/M13*100</f>
        <v>0</v>
      </c>
      <c r="R13" s="98">
        <f>N13+P13</f>
        <v>326963520</v>
      </c>
      <c r="S13" s="99">
        <f t="shared" ref="S13:S76" si="2">R13/M13*100</f>
        <v>59.963555696403105</v>
      </c>
      <c r="T13" s="100">
        <f>T17</f>
        <v>75</v>
      </c>
      <c r="U13" s="10"/>
      <c r="V13" s="10"/>
      <c r="W13" s="133"/>
    </row>
    <row r="14" spans="1:23" ht="15" customHeight="1" x14ac:dyDescent="0.25">
      <c r="A14" s="8">
        <v>1</v>
      </c>
      <c r="B14" s="9" t="s">
        <v>17</v>
      </c>
      <c r="C14" s="9" t="s">
        <v>18</v>
      </c>
      <c r="D14" s="8">
        <v>38</v>
      </c>
      <c r="E14" s="8">
        <v>14</v>
      </c>
      <c r="F14" s="42" t="s">
        <v>21</v>
      </c>
      <c r="G14" s="42" t="s">
        <v>22</v>
      </c>
      <c r="H14" s="42" t="s">
        <v>22</v>
      </c>
      <c r="I14" s="44"/>
      <c r="J14" s="45"/>
      <c r="K14" s="78" t="s">
        <v>23</v>
      </c>
      <c r="L14" s="11"/>
      <c r="M14" s="97">
        <f>M21</f>
        <v>294813600</v>
      </c>
      <c r="N14" s="94">
        <f>September!R14</f>
        <v>147287600</v>
      </c>
      <c r="O14" s="99">
        <f t="shared" si="0"/>
        <v>49.95956767259041</v>
      </c>
      <c r="P14" s="98">
        <f>P21</f>
        <v>2565600</v>
      </c>
      <c r="Q14" s="99">
        <f t="shared" si="1"/>
        <v>0.87024479196346427</v>
      </c>
      <c r="R14" s="98">
        <f>N14+P14</f>
        <v>149853200</v>
      </c>
      <c r="S14" s="99">
        <f t="shared" si="2"/>
        <v>50.829812464553868</v>
      </c>
      <c r="T14" s="100">
        <f>T21</f>
        <v>43.258452690236204</v>
      </c>
      <c r="U14" s="10"/>
      <c r="V14" s="10"/>
      <c r="W14" s="133"/>
    </row>
    <row r="15" spans="1:23" ht="15" customHeight="1" x14ac:dyDescent="0.25">
      <c r="A15" s="8">
        <v>1</v>
      </c>
      <c r="B15" s="9" t="s">
        <v>17</v>
      </c>
      <c r="C15" s="9" t="s">
        <v>18</v>
      </c>
      <c r="D15" s="8">
        <v>38</v>
      </c>
      <c r="E15" s="8">
        <v>14</v>
      </c>
      <c r="F15" s="42" t="s">
        <v>21</v>
      </c>
      <c r="G15" s="42" t="s">
        <v>22</v>
      </c>
      <c r="H15" s="42" t="s">
        <v>24</v>
      </c>
      <c r="I15" s="44"/>
      <c r="J15" s="45"/>
      <c r="K15" s="78" t="s">
        <v>25</v>
      </c>
      <c r="L15" s="11"/>
      <c r="M15" s="97">
        <f>M75</f>
        <v>68700000</v>
      </c>
      <c r="N15" s="94">
        <f>September!R15</f>
        <v>36110000</v>
      </c>
      <c r="O15" s="99">
        <f t="shared" si="0"/>
        <v>52.561863173216885</v>
      </c>
      <c r="P15" s="98">
        <f>P75</f>
        <v>0</v>
      </c>
      <c r="Q15" s="99">
        <f t="shared" si="1"/>
        <v>0</v>
      </c>
      <c r="R15" s="98">
        <f>N15+P15</f>
        <v>36110000</v>
      </c>
      <c r="S15" s="99">
        <f t="shared" si="2"/>
        <v>52.561863173216885</v>
      </c>
      <c r="T15" s="100">
        <f>T75</f>
        <v>70</v>
      </c>
      <c r="U15" s="10"/>
      <c r="V15" s="10"/>
      <c r="W15" s="133"/>
    </row>
    <row r="16" spans="1:23" ht="9.9499999999999993" customHeight="1" x14ac:dyDescent="0.25">
      <c r="A16" s="8"/>
      <c r="B16" s="9"/>
      <c r="C16" s="9"/>
      <c r="D16" s="8"/>
      <c r="E16" s="8"/>
      <c r="F16" s="42"/>
      <c r="G16" s="42"/>
      <c r="H16" s="42"/>
      <c r="I16" s="44"/>
      <c r="J16" s="45"/>
      <c r="K16" s="78"/>
      <c r="L16" s="11"/>
      <c r="M16" s="97"/>
      <c r="N16" s="94">
        <f>September!R16</f>
        <v>0</v>
      </c>
      <c r="O16" s="99"/>
      <c r="P16" s="101"/>
      <c r="Q16" s="99"/>
      <c r="R16" s="101"/>
      <c r="S16" s="99"/>
      <c r="T16" s="102"/>
      <c r="U16" s="10"/>
      <c r="V16" s="10"/>
      <c r="W16" s="133"/>
    </row>
    <row r="17" spans="1:23" ht="15" customHeight="1" x14ac:dyDescent="0.25">
      <c r="A17" s="8">
        <v>1</v>
      </c>
      <c r="B17" s="9" t="s">
        <v>17</v>
      </c>
      <c r="C17" s="9" t="s">
        <v>18</v>
      </c>
      <c r="D17" s="8">
        <v>38</v>
      </c>
      <c r="E17" s="8">
        <v>14</v>
      </c>
      <c r="F17" s="42" t="s">
        <v>21</v>
      </c>
      <c r="G17" s="42" t="s">
        <v>22</v>
      </c>
      <c r="H17" s="42" t="s">
        <v>26</v>
      </c>
      <c r="I17" s="42"/>
      <c r="J17" s="46"/>
      <c r="K17" s="79" t="s">
        <v>20</v>
      </c>
      <c r="L17" s="11"/>
      <c r="M17" s="103">
        <f>M18</f>
        <v>545270400</v>
      </c>
      <c r="N17" s="94">
        <f>September!R17</f>
        <v>326963520</v>
      </c>
      <c r="O17" s="99">
        <f t="shared" si="0"/>
        <v>59.963555696403105</v>
      </c>
      <c r="P17" s="104">
        <f>P18</f>
        <v>0</v>
      </c>
      <c r="Q17" s="95">
        <f t="shared" si="1"/>
        <v>0</v>
      </c>
      <c r="R17" s="104">
        <f>R18</f>
        <v>326963520</v>
      </c>
      <c r="S17" s="95">
        <f t="shared" si="2"/>
        <v>59.963555696403105</v>
      </c>
      <c r="T17" s="96">
        <f>T18</f>
        <v>75</v>
      </c>
      <c r="U17" s="10"/>
      <c r="V17" s="10"/>
      <c r="W17" s="133"/>
    </row>
    <row r="18" spans="1:23" ht="15" customHeight="1" x14ac:dyDescent="0.25">
      <c r="A18" s="8">
        <v>1</v>
      </c>
      <c r="B18" s="9" t="s">
        <v>17</v>
      </c>
      <c r="C18" s="9" t="s">
        <v>18</v>
      </c>
      <c r="D18" s="8">
        <v>38</v>
      </c>
      <c r="E18" s="8">
        <v>14</v>
      </c>
      <c r="F18" s="41">
        <v>5</v>
      </c>
      <c r="G18" s="41">
        <v>2</v>
      </c>
      <c r="H18" s="41">
        <v>1</v>
      </c>
      <c r="I18" s="42" t="s">
        <v>30</v>
      </c>
      <c r="J18" s="47"/>
      <c r="K18" s="80" t="s">
        <v>31</v>
      </c>
      <c r="L18" s="159"/>
      <c r="M18" s="105">
        <f>M19</f>
        <v>545270400</v>
      </c>
      <c r="N18" s="94">
        <f>September!R18</f>
        <v>326963520</v>
      </c>
      <c r="O18" s="99">
        <f t="shared" si="0"/>
        <v>59.963555696403105</v>
      </c>
      <c r="P18" s="106">
        <f>P19</f>
        <v>0</v>
      </c>
      <c r="Q18" s="95">
        <f t="shared" si="1"/>
        <v>0</v>
      </c>
      <c r="R18" s="106">
        <f>R19</f>
        <v>326963520</v>
      </c>
      <c r="S18" s="95">
        <f t="shared" si="2"/>
        <v>59.963555696403105</v>
      </c>
      <c r="T18" s="96">
        <f>T19</f>
        <v>75</v>
      </c>
      <c r="U18" s="10"/>
      <c r="V18" s="10"/>
      <c r="W18" s="133"/>
    </row>
    <row r="19" spans="1:23" ht="15" customHeight="1" x14ac:dyDescent="0.25">
      <c r="A19" s="6"/>
      <c r="B19" s="7"/>
      <c r="C19" s="7"/>
      <c r="D19" s="6"/>
      <c r="E19" s="6"/>
      <c r="F19" s="41"/>
      <c r="G19" s="41"/>
      <c r="H19" s="41"/>
      <c r="I19" s="42"/>
      <c r="J19" s="43" t="s">
        <v>18</v>
      </c>
      <c r="K19" s="73" t="s">
        <v>32</v>
      </c>
      <c r="L19" s="161"/>
      <c r="M19" s="107">
        <v>545270400</v>
      </c>
      <c r="N19" s="94">
        <f>September!R19</f>
        <v>326963520</v>
      </c>
      <c r="O19" s="99">
        <f t="shared" si="0"/>
        <v>59.963555696403105</v>
      </c>
      <c r="P19" s="26"/>
      <c r="Q19" s="99">
        <f t="shared" si="1"/>
        <v>0</v>
      </c>
      <c r="R19" s="108">
        <f>N19+P19</f>
        <v>326963520</v>
      </c>
      <c r="S19" s="99">
        <f>R19/M19*100</f>
        <v>59.963555696403105</v>
      </c>
      <c r="T19" s="100">
        <f>9/12*100</f>
        <v>75</v>
      </c>
      <c r="U19" s="10"/>
      <c r="V19" s="10"/>
      <c r="W19" s="133"/>
    </row>
    <row r="20" spans="1:23" ht="9.9499999999999993" customHeight="1" x14ac:dyDescent="0.25">
      <c r="A20" s="10"/>
      <c r="B20" s="10"/>
      <c r="C20" s="10"/>
      <c r="D20" s="10"/>
      <c r="E20" s="10"/>
      <c r="F20" s="121"/>
      <c r="G20" s="121"/>
      <c r="H20" s="121"/>
      <c r="I20" s="122"/>
      <c r="J20" s="123"/>
      <c r="K20" s="73"/>
      <c r="L20" s="78"/>
      <c r="M20" s="107"/>
      <c r="N20" s="94">
        <f>September!R20</f>
        <v>0</v>
      </c>
      <c r="O20" s="99"/>
      <c r="P20" s="101"/>
      <c r="Q20" s="99"/>
      <c r="R20" s="101"/>
      <c r="S20" s="99"/>
      <c r="T20" s="109"/>
      <c r="U20" s="10"/>
      <c r="V20" s="10"/>
      <c r="W20" s="133"/>
    </row>
    <row r="21" spans="1:23" ht="15" customHeight="1" x14ac:dyDescent="0.25">
      <c r="A21" s="8">
        <v>1</v>
      </c>
      <c r="B21" s="9" t="s">
        <v>17</v>
      </c>
      <c r="C21" s="9" t="s">
        <v>18</v>
      </c>
      <c r="D21" s="8">
        <v>38</v>
      </c>
      <c r="E21" s="8">
        <v>14</v>
      </c>
      <c r="F21" s="42" t="s">
        <v>21</v>
      </c>
      <c r="G21" s="42" t="s">
        <v>22</v>
      </c>
      <c r="H21" s="42" t="s">
        <v>22</v>
      </c>
      <c r="I21" s="48"/>
      <c r="J21" s="49"/>
      <c r="K21" s="79" t="s">
        <v>23</v>
      </c>
      <c r="L21" s="11"/>
      <c r="M21" s="105">
        <f>M22+M31+M34+M42+M46+M52+M55+M58+M68+M72+M64+M39+M49</f>
        <v>294813600</v>
      </c>
      <c r="N21" s="94">
        <f>September!R21</f>
        <v>144167600</v>
      </c>
      <c r="O21" s="95">
        <f t="shared" si="0"/>
        <v>48.901271854487035</v>
      </c>
      <c r="P21" s="106">
        <f>P22+P31+P34+P42+P46+P52+P55+P58+P68+P72+P39+P49</f>
        <v>2565600</v>
      </c>
      <c r="Q21" s="95">
        <f t="shared" si="1"/>
        <v>0.87024479196346427</v>
      </c>
      <c r="R21" s="106">
        <f>R22+R31+R34+R42+R46+R52+R55+R58+R68+R72+R39+R49</f>
        <v>145533200</v>
      </c>
      <c r="S21" s="95">
        <f>R21/M21*100</f>
        <v>49.364479793333821</v>
      </c>
      <c r="T21" s="110">
        <f>(T22+T31+T34+T42+T46+T52+T55+T58+T68+T72+T39+T49)/13</f>
        <v>43.258452690236204</v>
      </c>
      <c r="U21" s="160"/>
      <c r="V21" s="10"/>
      <c r="W21" s="133"/>
    </row>
    <row r="22" spans="1:23" ht="15" customHeight="1" x14ac:dyDescent="0.25">
      <c r="A22" s="6">
        <v>1</v>
      </c>
      <c r="B22" s="9" t="s">
        <v>17</v>
      </c>
      <c r="C22" s="9" t="s">
        <v>18</v>
      </c>
      <c r="D22" s="8">
        <v>38</v>
      </c>
      <c r="E22" s="8">
        <v>14</v>
      </c>
      <c r="F22" s="42" t="s">
        <v>21</v>
      </c>
      <c r="G22" s="42" t="s">
        <v>22</v>
      </c>
      <c r="H22" s="42" t="s">
        <v>22</v>
      </c>
      <c r="I22" s="42" t="s">
        <v>18</v>
      </c>
      <c r="J22" s="43"/>
      <c r="K22" s="79" t="s">
        <v>33</v>
      </c>
      <c r="L22" s="17"/>
      <c r="M22" s="105">
        <f>SUM(M23:M29)</f>
        <v>119064100</v>
      </c>
      <c r="N22" s="94">
        <f>September!R22</f>
        <v>53096300</v>
      </c>
      <c r="O22" s="95">
        <f t="shared" si="0"/>
        <v>44.594718307197553</v>
      </c>
      <c r="P22" s="111">
        <f>SUM(P23:P29)</f>
        <v>145000</v>
      </c>
      <c r="Q22" s="95">
        <f t="shared" si="1"/>
        <v>0.12178314034205105</v>
      </c>
      <c r="R22" s="111">
        <f>SUM(R23:R29)</f>
        <v>53241300</v>
      </c>
      <c r="S22" s="95">
        <f t="shared" si="2"/>
        <v>44.716501447539599</v>
      </c>
      <c r="T22" s="96">
        <f>SUM(T23:T29)/7</f>
        <v>44.523809523809526</v>
      </c>
      <c r="U22" s="10"/>
      <c r="V22" s="160"/>
      <c r="W22" s="133"/>
    </row>
    <row r="23" spans="1:23" ht="15" customHeight="1" x14ac:dyDescent="0.25">
      <c r="A23" s="10"/>
      <c r="B23" s="10"/>
      <c r="C23" s="10"/>
      <c r="D23" s="10"/>
      <c r="E23" s="10"/>
      <c r="F23" s="48"/>
      <c r="G23" s="48"/>
      <c r="H23" s="48"/>
      <c r="I23" s="48"/>
      <c r="J23" s="50" t="s">
        <v>18</v>
      </c>
      <c r="K23" s="81" t="s">
        <v>99</v>
      </c>
      <c r="L23" s="73"/>
      <c r="M23" s="97">
        <v>14306500</v>
      </c>
      <c r="N23" s="94">
        <f>September!R23</f>
        <v>10860900</v>
      </c>
      <c r="O23" s="99">
        <f t="shared" si="0"/>
        <v>75.915842449236365</v>
      </c>
      <c r="P23" s="26"/>
      <c r="Q23" s="99">
        <f t="shared" si="1"/>
        <v>0</v>
      </c>
      <c r="R23" s="112">
        <f>N23+P23</f>
        <v>10860900</v>
      </c>
      <c r="S23" s="99">
        <f t="shared" si="2"/>
        <v>75.915842449236365</v>
      </c>
      <c r="T23" s="100">
        <f>2/2*100</f>
        <v>100</v>
      </c>
      <c r="U23" s="10"/>
      <c r="V23" s="10"/>
      <c r="W23" s="133"/>
    </row>
    <row r="24" spans="1:23" ht="15" customHeight="1" x14ac:dyDescent="0.25">
      <c r="A24" s="6"/>
      <c r="B24" s="7"/>
      <c r="C24" s="7"/>
      <c r="D24" s="6"/>
      <c r="E24" s="6"/>
      <c r="F24" s="48"/>
      <c r="G24" s="48"/>
      <c r="H24" s="48"/>
      <c r="I24" s="48"/>
      <c r="J24" s="50" t="s">
        <v>35</v>
      </c>
      <c r="K24" s="74" t="s">
        <v>100</v>
      </c>
      <c r="L24" s="12"/>
      <c r="M24" s="97">
        <v>780000</v>
      </c>
      <c r="N24" s="94">
        <f>September!R24</f>
        <v>780000</v>
      </c>
      <c r="O24" s="99">
        <f t="shared" si="0"/>
        <v>100</v>
      </c>
      <c r="P24" s="101"/>
      <c r="Q24" s="99">
        <f t="shared" si="1"/>
        <v>0</v>
      </c>
      <c r="R24" s="112">
        <f>N24+P24</f>
        <v>780000</v>
      </c>
      <c r="S24" s="99">
        <f t="shared" si="2"/>
        <v>100</v>
      </c>
      <c r="T24" s="100">
        <f>2/2*100</f>
        <v>100</v>
      </c>
      <c r="U24" s="10"/>
      <c r="V24" s="10"/>
      <c r="W24" s="133"/>
    </row>
    <row r="25" spans="1:23" ht="15" customHeight="1" x14ac:dyDescent="0.25">
      <c r="A25" s="6"/>
      <c r="B25" s="7"/>
      <c r="C25" s="7"/>
      <c r="D25" s="6"/>
      <c r="E25" s="6"/>
      <c r="F25" s="48"/>
      <c r="G25" s="48"/>
      <c r="H25" s="48"/>
      <c r="I25" s="48"/>
      <c r="J25" s="43" t="s">
        <v>28</v>
      </c>
      <c r="K25" s="81" t="s">
        <v>101</v>
      </c>
      <c r="L25" s="12"/>
      <c r="M25" s="97">
        <v>2000000</v>
      </c>
      <c r="N25" s="94">
        <f>September!R25</f>
        <v>150000</v>
      </c>
      <c r="O25" s="99">
        <f t="shared" si="0"/>
        <v>7.5</v>
      </c>
      <c r="P25" s="101"/>
      <c r="Q25" s="99">
        <f t="shared" si="1"/>
        <v>0</v>
      </c>
      <c r="R25" s="112">
        <f t="shared" ref="R25:R29" si="3">N25+P25</f>
        <v>150000</v>
      </c>
      <c r="S25" s="99">
        <f t="shared" si="2"/>
        <v>7.5</v>
      </c>
      <c r="T25" s="100">
        <f>2/10*100</f>
        <v>20</v>
      </c>
      <c r="U25" s="10"/>
      <c r="V25" s="10"/>
      <c r="W25" s="133"/>
    </row>
    <row r="26" spans="1:23" ht="15" customHeight="1" x14ac:dyDescent="0.25">
      <c r="A26" s="6"/>
      <c r="B26" s="7"/>
      <c r="C26" s="7"/>
      <c r="D26" s="6"/>
      <c r="E26" s="6"/>
      <c r="F26" s="48"/>
      <c r="G26" s="48"/>
      <c r="H26" s="48"/>
      <c r="I26" s="51"/>
      <c r="J26" s="43" t="s">
        <v>50</v>
      </c>
      <c r="K26" s="81" t="s">
        <v>102</v>
      </c>
      <c r="L26" s="12"/>
      <c r="M26" s="97">
        <v>800000</v>
      </c>
      <c r="N26" s="94">
        <f>September!R26</f>
        <v>0</v>
      </c>
      <c r="O26" s="99">
        <f t="shared" si="0"/>
        <v>0</v>
      </c>
      <c r="P26" s="101"/>
      <c r="Q26" s="99">
        <f t="shared" si="1"/>
        <v>0</v>
      </c>
      <c r="R26" s="112">
        <f t="shared" si="3"/>
        <v>0</v>
      </c>
      <c r="S26" s="99">
        <f t="shared" si="2"/>
        <v>0</v>
      </c>
      <c r="T26" s="100">
        <f>0/2*100</f>
        <v>0</v>
      </c>
      <c r="U26" s="10"/>
      <c r="V26" s="10"/>
      <c r="W26" s="133"/>
    </row>
    <row r="27" spans="1:23" ht="15" customHeight="1" x14ac:dyDescent="0.25">
      <c r="A27" s="6"/>
      <c r="B27" s="7"/>
      <c r="C27" s="7"/>
      <c r="D27" s="6"/>
      <c r="E27" s="6"/>
      <c r="F27" s="121"/>
      <c r="G27" s="122"/>
      <c r="H27" s="122"/>
      <c r="I27" s="124"/>
      <c r="J27" s="52" t="s">
        <v>30</v>
      </c>
      <c r="K27" s="82" t="s">
        <v>103</v>
      </c>
      <c r="L27" s="12"/>
      <c r="M27" s="97">
        <v>2610000</v>
      </c>
      <c r="N27" s="94">
        <f>September!R27</f>
        <v>1305000</v>
      </c>
      <c r="O27" s="99">
        <f t="shared" si="0"/>
        <v>50</v>
      </c>
      <c r="P27" s="132">
        <v>145000</v>
      </c>
      <c r="Q27" s="99">
        <f t="shared" si="1"/>
        <v>5.5555555555555554</v>
      </c>
      <c r="R27" s="112">
        <f t="shared" si="3"/>
        <v>1450000</v>
      </c>
      <c r="S27" s="113">
        <f t="shared" si="2"/>
        <v>55.555555555555557</v>
      </c>
      <c r="T27" s="100">
        <f>10/24*100</f>
        <v>41.666666666666671</v>
      </c>
      <c r="U27" s="10"/>
      <c r="V27" s="10"/>
      <c r="W27" s="133"/>
    </row>
    <row r="28" spans="1:23" ht="15" customHeight="1" x14ac:dyDescent="0.25">
      <c r="A28" s="6"/>
      <c r="B28" s="7"/>
      <c r="C28" s="7"/>
      <c r="D28" s="6"/>
      <c r="E28" s="6"/>
      <c r="F28" s="48"/>
      <c r="G28" s="48"/>
      <c r="H28" s="48"/>
      <c r="I28" s="53"/>
      <c r="J28" s="43" t="s">
        <v>37</v>
      </c>
      <c r="K28" s="74" t="s">
        <v>38</v>
      </c>
      <c r="L28" s="162"/>
      <c r="M28" s="97">
        <v>98117600</v>
      </c>
      <c r="N28" s="94">
        <f>September!R28</f>
        <v>40000400</v>
      </c>
      <c r="O28" s="99">
        <f t="shared" si="0"/>
        <v>40.767813317896071</v>
      </c>
      <c r="P28" s="26"/>
      <c r="Q28" s="99">
        <f t="shared" si="1"/>
        <v>0</v>
      </c>
      <c r="R28" s="112">
        <f t="shared" si="3"/>
        <v>40000400</v>
      </c>
      <c r="S28" s="99">
        <f t="shared" si="2"/>
        <v>40.767813317896071</v>
      </c>
      <c r="T28" s="100">
        <f>1/2*100</f>
        <v>50</v>
      </c>
      <c r="U28" s="10"/>
      <c r="V28" s="10"/>
      <c r="W28" s="133"/>
    </row>
    <row r="29" spans="1:23" ht="15" customHeight="1" x14ac:dyDescent="0.25">
      <c r="A29" s="6"/>
      <c r="B29" s="7"/>
      <c r="C29" s="7"/>
      <c r="D29" s="6"/>
      <c r="E29" s="6"/>
      <c r="F29" s="48"/>
      <c r="G29" s="48"/>
      <c r="H29" s="48"/>
      <c r="I29" s="48"/>
      <c r="J29" s="43" t="s">
        <v>44</v>
      </c>
      <c r="K29" s="74" t="s">
        <v>104</v>
      </c>
      <c r="L29" s="161"/>
      <c r="M29" s="97">
        <v>450000</v>
      </c>
      <c r="N29" s="94">
        <f>September!R29</f>
        <v>0</v>
      </c>
      <c r="O29" s="99">
        <f t="shared" si="0"/>
        <v>0</v>
      </c>
      <c r="P29" s="101"/>
      <c r="Q29" s="99">
        <f t="shared" si="1"/>
        <v>0</v>
      </c>
      <c r="R29" s="112">
        <f t="shared" si="3"/>
        <v>0</v>
      </c>
      <c r="S29" s="99">
        <f t="shared" si="2"/>
        <v>0</v>
      </c>
      <c r="T29" s="100">
        <f>0/3*100</f>
        <v>0</v>
      </c>
      <c r="U29" s="10"/>
      <c r="V29" s="10"/>
      <c r="W29" s="133"/>
    </row>
    <row r="30" spans="1:23" ht="9.9499999999999993" customHeight="1" x14ac:dyDescent="0.25">
      <c r="A30" s="6"/>
      <c r="B30" s="7"/>
      <c r="C30" s="7"/>
      <c r="D30" s="6"/>
      <c r="E30" s="6"/>
      <c r="F30" s="54"/>
      <c r="G30" s="54"/>
      <c r="H30" s="54"/>
      <c r="I30" s="55"/>
      <c r="J30" s="56"/>
      <c r="K30" s="83"/>
      <c r="L30" s="163"/>
      <c r="M30" s="115"/>
      <c r="N30" s="94">
        <f>September!R30</f>
        <v>0</v>
      </c>
      <c r="O30" s="99"/>
      <c r="P30" s="101"/>
      <c r="Q30" s="99"/>
      <c r="R30" s="101"/>
      <c r="S30" s="99"/>
      <c r="T30" s="101"/>
      <c r="U30" s="10"/>
      <c r="V30" s="10"/>
      <c r="W30" s="133"/>
    </row>
    <row r="31" spans="1:23" ht="15" customHeight="1" x14ac:dyDescent="0.25">
      <c r="A31" s="8">
        <v>1</v>
      </c>
      <c r="B31" s="9" t="s">
        <v>17</v>
      </c>
      <c r="C31" s="9" t="s">
        <v>18</v>
      </c>
      <c r="D31" s="8">
        <v>38</v>
      </c>
      <c r="E31" s="8">
        <v>14</v>
      </c>
      <c r="F31" s="41">
        <v>5</v>
      </c>
      <c r="G31" s="41">
        <v>2</v>
      </c>
      <c r="H31" s="41">
        <v>2</v>
      </c>
      <c r="I31" s="42" t="s">
        <v>17</v>
      </c>
      <c r="J31" s="46"/>
      <c r="K31" s="80" t="s">
        <v>39</v>
      </c>
      <c r="L31" s="14"/>
      <c r="M31" s="105">
        <f>M32</f>
        <v>2400000</v>
      </c>
      <c r="N31" s="94">
        <f>September!R31</f>
        <v>1800000</v>
      </c>
      <c r="O31" s="99">
        <f t="shared" si="0"/>
        <v>75</v>
      </c>
      <c r="P31" s="94">
        <f>P32</f>
        <v>200000</v>
      </c>
      <c r="Q31" s="95">
        <f t="shared" si="1"/>
        <v>8.3333333333333321</v>
      </c>
      <c r="R31" s="116">
        <f>R32</f>
        <v>2000000</v>
      </c>
      <c r="S31" s="95">
        <f t="shared" si="2"/>
        <v>83.333333333333343</v>
      </c>
      <c r="T31" s="95">
        <f>(T32)/1</f>
        <v>83.333333333333343</v>
      </c>
      <c r="U31" s="10"/>
      <c r="V31" s="10"/>
      <c r="W31" s="133"/>
    </row>
    <row r="32" spans="1:23" ht="15" customHeight="1" x14ac:dyDescent="0.25">
      <c r="A32" s="6"/>
      <c r="B32" s="7"/>
      <c r="C32" s="7"/>
      <c r="D32" s="6"/>
      <c r="E32" s="6"/>
      <c r="F32" s="48"/>
      <c r="G32" s="48"/>
      <c r="H32" s="48"/>
      <c r="I32" s="53"/>
      <c r="J32" s="43" t="s">
        <v>28</v>
      </c>
      <c r="K32" s="74" t="s">
        <v>40</v>
      </c>
      <c r="L32" s="12"/>
      <c r="M32" s="97">
        <v>2400000</v>
      </c>
      <c r="N32" s="94">
        <f>September!R32</f>
        <v>1800000</v>
      </c>
      <c r="O32" s="99">
        <f t="shared" si="0"/>
        <v>75</v>
      </c>
      <c r="P32" s="26">
        <v>200000</v>
      </c>
      <c r="Q32" s="99">
        <f t="shared" si="1"/>
        <v>8.3333333333333321</v>
      </c>
      <c r="R32" s="101">
        <f t="shared" ref="R32" si="4">N32+P32</f>
        <v>2000000</v>
      </c>
      <c r="S32" s="99">
        <f t="shared" si="2"/>
        <v>83.333333333333343</v>
      </c>
      <c r="T32" s="100">
        <f>100/120*100</f>
        <v>83.333333333333343</v>
      </c>
      <c r="U32" s="10"/>
      <c r="V32" s="10"/>
      <c r="W32" s="133"/>
    </row>
    <row r="33" spans="1:23" ht="9.9499999999999993" customHeight="1" x14ac:dyDescent="0.25">
      <c r="A33" s="10"/>
      <c r="B33" s="10"/>
      <c r="C33" s="10"/>
      <c r="D33" s="10"/>
      <c r="E33" s="10"/>
      <c r="F33" s="54"/>
      <c r="G33" s="54"/>
      <c r="H33" s="54"/>
      <c r="I33" s="48"/>
      <c r="J33" s="43"/>
      <c r="K33" s="73"/>
      <c r="L33" s="13"/>
      <c r="M33" s="107"/>
      <c r="N33" s="94">
        <f>September!R33</f>
        <v>0</v>
      </c>
      <c r="O33" s="99"/>
      <c r="P33" s="101"/>
      <c r="Q33" s="99"/>
      <c r="R33" s="101"/>
      <c r="S33" s="99"/>
      <c r="T33" s="101"/>
      <c r="U33" s="10"/>
      <c r="V33" s="10"/>
      <c r="W33" s="133"/>
    </row>
    <row r="34" spans="1:23" ht="15" customHeight="1" x14ac:dyDescent="0.25">
      <c r="A34" s="8">
        <v>1</v>
      </c>
      <c r="B34" s="9" t="s">
        <v>17</v>
      </c>
      <c r="C34" s="9" t="s">
        <v>18</v>
      </c>
      <c r="D34" s="8">
        <v>38</v>
      </c>
      <c r="E34" s="8">
        <v>14</v>
      </c>
      <c r="F34" s="41">
        <v>5</v>
      </c>
      <c r="G34" s="41">
        <v>2</v>
      </c>
      <c r="H34" s="41">
        <v>2</v>
      </c>
      <c r="I34" s="42" t="s">
        <v>34</v>
      </c>
      <c r="J34" s="46"/>
      <c r="K34" s="80" t="s">
        <v>52</v>
      </c>
      <c r="L34" s="14"/>
      <c r="M34" s="103">
        <f>M35+M37+M36</f>
        <v>19800000</v>
      </c>
      <c r="N34" s="94">
        <f>September!R34</f>
        <v>7840700</v>
      </c>
      <c r="O34" s="99">
        <f t="shared" si="0"/>
        <v>39.599494949494954</v>
      </c>
      <c r="P34" s="116">
        <f>P35+P36+P37</f>
        <v>2070600</v>
      </c>
      <c r="Q34" s="95">
        <f t="shared" si="1"/>
        <v>10.457575757575757</v>
      </c>
      <c r="R34" s="116">
        <f>R35+R36</f>
        <v>8711300</v>
      </c>
      <c r="S34" s="95">
        <f>R34/M34*100</f>
        <v>43.996464646464645</v>
      </c>
      <c r="T34" s="95">
        <f>SUM(T35:T37)/3</f>
        <v>77.777777777777786</v>
      </c>
      <c r="U34" s="10"/>
      <c r="V34" s="10"/>
      <c r="W34" s="133"/>
    </row>
    <row r="35" spans="1:23" ht="15" customHeight="1" x14ac:dyDescent="0.25">
      <c r="A35" s="10"/>
      <c r="B35" s="10"/>
      <c r="C35" s="10"/>
      <c r="D35" s="10"/>
      <c r="E35" s="10"/>
      <c r="F35" s="54"/>
      <c r="G35" s="54"/>
      <c r="H35" s="54"/>
      <c r="I35" s="48"/>
      <c r="J35" s="43" t="s">
        <v>28</v>
      </c>
      <c r="K35" s="73" t="s">
        <v>41</v>
      </c>
      <c r="L35" s="164"/>
      <c r="M35" s="97">
        <v>12000000</v>
      </c>
      <c r="N35" s="94">
        <f>September!R35</f>
        <v>7809300</v>
      </c>
      <c r="O35" s="99">
        <f t="shared" si="0"/>
        <v>65.077500000000001</v>
      </c>
      <c r="P35" s="26">
        <v>867700</v>
      </c>
      <c r="Q35" s="99">
        <f t="shared" si="1"/>
        <v>7.2308333333333339</v>
      </c>
      <c r="R35" s="101">
        <f>N35+P35</f>
        <v>8677000</v>
      </c>
      <c r="S35" s="99">
        <f>R35/M35*100</f>
        <v>72.308333333333337</v>
      </c>
      <c r="T35" s="99">
        <f>10/12*100</f>
        <v>83.333333333333343</v>
      </c>
      <c r="U35" s="10"/>
      <c r="V35" s="10"/>
      <c r="W35" s="133"/>
    </row>
    <row r="36" spans="1:23" ht="15" customHeight="1" x14ac:dyDescent="0.25">
      <c r="A36" s="6"/>
      <c r="B36" s="7"/>
      <c r="C36" s="7"/>
      <c r="D36" s="6"/>
      <c r="E36" s="6"/>
      <c r="F36" s="54"/>
      <c r="G36" s="54"/>
      <c r="H36" s="54"/>
      <c r="I36" s="48"/>
      <c r="J36" s="43" t="s">
        <v>29</v>
      </c>
      <c r="K36" s="74" t="s">
        <v>42</v>
      </c>
      <c r="L36" s="54"/>
      <c r="M36" s="107">
        <v>600000</v>
      </c>
      <c r="N36" s="94">
        <f>September!R36</f>
        <v>31400</v>
      </c>
      <c r="O36" s="99">
        <f t="shared" si="0"/>
        <v>5.2333333333333334</v>
      </c>
      <c r="P36" s="26">
        <v>2900</v>
      </c>
      <c r="Q36" s="99">
        <f t="shared" si="1"/>
        <v>0.48333333333333334</v>
      </c>
      <c r="R36" s="101">
        <f>N36+P36</f>
        <v>34300</v>
      </c>
      <c r="S36" s="99">
        <f>R36/M36*100</f>
        <v>5.7166666666666668</v>
      </c>
      <c r="T36" s="100">
        <f>10/12*100</f>
        <v>83.333333333333343</v>
      </c>
      <c r="U36" s="10"/>
      <c r="V36" s="10"/>
      <c r="W36" s="133"/>
    </row>
    <row r="37" spans="1:23" ht="27" customHeight="1" x14ac:dyDescent="0.25">
      <c r="A37" s="10"/>
      <c r="B37" s="10"/>
      <c r="C37" s="10"/>
      <c r="D37" s="10"/>
      <c r="E37" s="10"/>
      <c r="F37" s="57"/>
      <c r="G37" s="57"/>
      <c r="H37" s="57"/>
      <c r="I37" s="125"/>
      <c r="J37" s="58" t="s">
        <v>47</v>
      </c>
      <c r="K37" s="75" t="s">
        <v>64</v>
      </c>
      <c r="L37" s="164"/>
      <c r="M37" s="97">
        <v>7200000</v>
      </c>
      <c r="N37" s="94">
        <f>September!R37</f>
        <v>1120000</v>
      </c>
      <c r="O37" s="99">
        <f t="shared" si="0"/>
        <v>15.555555555555555</v>
      </c>
      <c r="P37" s="101">
        <v>1200000</v>
      </c>
      <c r="Q37" s="99">
        <f t="shared" si="1"/>
        <v>16.666666666666664</v>
      </c>
      <c r="R37" s="101">
        <f>N37+P37</f>
        <v>2320000</v>
      </c>
      <c r="S37" s="99">
        <f t="shared" si="2"/>
        <v>32.222222222222221</v>
      </c>
      <c r="T37" s="100">
        <f>2/3*100</f>
        <v>66.666666666666657</v>
      </c>
      <c r="U37" s="10"/>
      <c r="V37" s="10"/>
      <c r="W37" s="133"/>
    </row>
    <row r="38" spans="1:23" ht="9.9499999999999993" customHeight="1" x14ac:dyDescent="0.25">
      <c r="A38" s="10"/>
      <c r="B38" s="10"/>
      <c r="C38" s="10"/>
      <c r="D38" s="10"/>
      <c r="E38" s="10"/>
      <c r="F38" s="57"/>
      <c r="G38" s="57"/>
      <c r="H38" s="57"/>
      <c r="I38" s="125"/>
      <c r="J38" s="126"/>
      <c r="K38" s="84"/>
      <c r="L38" s="165"/>
      <c r="M38" s="115"/>
      <c r="N38" s="94">
        <f>September!R38</f>
        <v>0</v>
      </c>
      <c r="O38" s="99"/>
      <c r="P38" s="101"/>
      <c r="Q38" s="99"/>
      <c r="R38" s="101"/>
      <c r="S38" s="99"/>
      <c r="T38" s="101"/>
      <c r="U38" s="10"/>
      <c r="V38" s="10"/>
      <c r="W38" s="133"/>
    </row>
    <row r="39" spans="1:23" ht="15" customHeight="1" x14ac:dyDescent="0.25">
      <c r="A39" s="8">
        <v>1</v>
      </c>
      <c r="B39" s="9" t="s">
        <v>17</v>
      </c>
      <c r="C39" s="9" t="s">
        <v>18</v>
      </c>
      <c r="D39" s="8">
        <v>38</v>
      </c>
      <c r="E39" s="8">
        <v>14</v>
      </c>
      <c r="F39" s="41">
        <v>5</v>
      </c>
      <c r="G39" s="41">
        <v>2</v>
      </c>
      <c r="H39" s="41">
        <v>2</v>
      </c>
      <c r="I39" s="42" t="s">
        <v>27</v>
      </c>
      <c r="J39" s="155"/>
      <c r="K39" s="154" t="s">
        <v>105</v>
      </c>
      <c r="L39" s="14"/>
      <c r="M39" s="103">
        <f>M40</f>
        <v>900000</v>
      </c>
      <c r="N39" s="94">
        <f>September!R39</f>
        <v>0</v>
      </c>
      <c r="O39" s="99">
        <f t="shared" si="0"/>
        <v>0</v>
      </c>
      <c r="P39" s="101">
        <f>P40</f>
        <v>0</v>
      </c>
      <c r="Q39" s="99">
        <f t="shared" si="1"/>
        <v>0</v>
      </c>
      <c r="R39" s="101">
        <f>R40</f>
        <v>0</v>
      </c>
      <c r="S39" s="99">
        <f t="shared" si="2"/>
        <v>0</v>
      </c>
      <c r="T39" s="96">
        <f>T40</f>
        <v>0</v>
      </c>
      <c r="U39" s="10"/>
      <c r="V39" s="10"/>
      <c r="W39" s="133"/>
    </row>
    <row r="40" spans="1:23" ht="15" customHeight="1" x14ac:dyDescent="0.25">
      <c r="A40" s="63"/>
      <c r="B40" s="63"/>
      <c r="C40" s="63"/>
      <c r="D40" s="63"/>
      <c r="E40" s="63"/>
      <c r="F40" s="57"/>
      <c r="G40" s="57"/>
      <c r="H40" s="57"/>
      <c r="I40" s="67"/>
      <c r="J40" s="43" t="s">
        <v>17</v>
      </c>
      <c r="K40" s="75" t="s">
        <v>106</v>
      </c>
      <c r="L40" s="13"/>
      <c r="M40" s="97">
        <v>900000</v>
      </c>
      <c r="N40" s="94">
        <f>September!R40</f>
        <v>0</v>
      </c>
      <c r="O40" s="99">
        <f t="shared" si="0"/>
        <v>0</v>
      </c>
      <c r="P40" s="101"/>
      <c r="Q40" s="99">
        <f t="shared" si="1"/>
        <v>0</v>
      </c>
      <c r="R40" s="101">
        <f>N40+P40</f>
        <v>0</v>
      </c>
      <c r="S40" s="99">
        <f t="shared" si="2"/>
        <v>0</v>
      </c>
      <c r="T40" s="100">
        <f>0/1*100</f>
        <v>0</v>
      </c>
      <c r="U40" s="10"/>
      <c r="V40" s="10"/>
      <c r="W40" s="133"/>
    </row>
    <row r="41" spans="1:23" ht="9.9499999999999993" customHeight="1" x14ac:dyDescent="0.25">
      <c r="A41" s="63"/>
      <c r="B41" s="63"/>
      <c r="C41" s="63"/>
      <c r="D41" s="63"/>
      <c r="E41" s="63"/>
      <c r="F41" s="57"/>
      <c r="G41" s="57"/>
      <c r="H41" s="57"/>
      <c r="I41" s="67"/>
      <c r="J41" s="68"/>
      <c r="K41" s="84"/>
      <c r="L41" s="165"/>
      <c r="M41" s="115"/>
      <c r="N41" s="94">
        <f>September!R41</f>
        <v>0</v>
      </c>
      <c r="O41" s="99"/>
      <c r="P41" s="101"/>
      <c r="Q41" s="99"/>
      <c r="R41" s="101"/>
      <c r="S41" s="99"/>
      <c r="T41" s="101"/>
      <c r="U41" s="10"/>
      <c r="V41" s="10"/>
      <c r="W41" s="133"/>
    </row>
    <row r="42" spans="1:23" ht="15" customHeight="1" x14ac:dyDescent="0.25">
      <c r="A42" s="8">
        <v>1</v>
      </c>
      <c r="B42" s="9" t="s">
        <v>17</v>
      </c>
      <c r="C42" s="9" t="s">
        <v>18</v>
      </c>
      <c r="D42" s="8">
        <v>38</v>
      </c>
      <c r="E42" s="8">
        <v>14</v>
      </c>
      <c r="F42" s="42" t="s">
        <v>21</v>
      </c>
      <c r="G42" s="42" t="s">
        <v>22</v>
      </c>
      <c r="H42" s="42" t="s">
        <v>22</v>
      </c>
      <c r="I42" s="60" t="s">
        <v>28</v>
      </c>
      <c r="J42" s="56"/>
      <c r="K42" s="85" t="s">
        <v>53</v>
      </c>
      <c r="L42" s="14"/>
      <c r="M42" s="103">
        <f>SUM(M43:M44)</f>
        <v>29487500</v>
      </c>
      <c r="N42" s="94">
        <f>September!R42</f>
        <v>28380800</v>
      </c>
      <c r="O42" s="99">
        <f t="shared" si="0"/>
        <v>96.246884272997036</v>
      </c>
      <c r="P42" s="104">
        <f>P44+P43</f>
        <v>150000</v>
      </c>
      <c r="Q42" s="95">
        <f t="shared" si="1"/>
        <v>0.5086901229334464</v>
      </c>
      <c r="R42" s="104">
        <f>SUM(R43:R44)</f>
        <v>28530800</v>
      </c>
      <c r="S42" s="95">
        <f t="shared" si="2"/>
        <v>96.755574395930481</v>
      </c>
      <c r="T42" s="95">
        <f>SUM(T43:T44)/2</f>
        <v>96.44515898535191</v>
      </c>
      <c r="U42" s="10"/>
      <c r="V42" s="10"/>
      <c r="W42" s="133"/>
    </row>
    <row r="43" spans="1:23" ht="15" customHeight="1" x14ac:dyDescent="0.25">
      <c r="A43" s="8"/>
      <c r="B43" s="9"/>
      <c r="C43" s="9"/>
      <c r="D43" s="8"/>
      <c r="E43" s="8"/>
      <c r="F43" s="42"/>
      <c r="G43" s="42"/>
      <c r="H43" s="42"/>
      <c r="I43" s="59"/>
      <c r="J43" s="50" t="s">
        <v>18</v>
      </c>
      <c r="K43" s="81" t="s">
        <v>65</v>
      </c>
      <c r="L43" s="14"/>
      <c r="M43" s="97">
        <v>22490000</v>
      </c>
      <c r="N43" s="94">
        <f>September!R43</f>
        <v>22030800</v>
      </c>
      <c r="O43" s="99">
        <f t="shared" si="0"/>
        <v>97.958203646064916</v>
      </c>
      <c r="P43" s="26"/>
      <c r="Q43" s="99">
        <f t="shared" si="1"/>
        <v>0</v>
      </c>
      <c r="R43" s="98">
        <f>N43+P43</f>
        <v>22030800</v>
      </c>
      <c r="S43" s="99">
        <f>R43/M43*100</f>
        <v>97.958203646064916</v>
      </c>
      <c r="T43" s="99">
        <f>10/10*100</f>
        <v>100</v>
      </c>
      <c r="U43" s="10"/>
      <c r="V43" s="10"/>
      <c r="W43" s="133"/>
    </row>
    <row r="44" spans="1:23" ht="15" customHeight="1" x14ac:dyDescent="0.25">
      <c r="A44" s="6"/>
      <c r="B44" s="7"/>
      <c r="C44" s="7"/>
      <c r="D44" s="6"/>
      <c r="E44" s="6"/>
      <c r="F44" s="48"/>
      <c r="G44" s="48"/>
      <c r="H44" s="48"/>
      <c r="I44" s="51"/>
      <c r="J44" s="50" t="s">
        <v>17</v>
      </c>
      <c r="K44" s="82" t="s">
        <v>54</v>
      </c>
      <c r="L44" s="162"/>
      <c r="M44" s="97">
        <v>6997500</v>
      </c>
      <c r="N44" s="94">
        <f>September!R44</f>
        <v>6350000</v>
      </c>
      <c r="O44" s="99">
        <f t="shared" si="0"/>
        <v>90.74669524830297</v>
      </c>
      <c r="P44" s="26">
        <v>150000</v>
      </c>
      <c r="Q44" s="99">
        <f t="shared" si="1"/>
        <v>2.1436227224008575</v>
      </c>
      <c r="R44" s="98">
        <f>N44+P44</f>
        <v>6500000</v>
      </c>
      <c r="S44" s="99">
        <f>R44/M44*100</f>
        <v>92.890317970703819</v>
      </c>
      <c r="T44" s="100">
        <f>26000/27990*100</f>
        <v>92.890317970703819</v>
      </c>
      <c r="U44" s="10"/>
      <c r="V44" s="10"/>
      <c r="W44" s="133"/>
    </row>
    <row r="45" spans="1:23" ht="9.9499999999999993" customHeight="1" x14ac:dyDescent="0.25">
      <c r="A45" s="10"/>
      <c r="B45" s="10"/>
      <c r="C45" s="10"/>
      <c r="D45" s="10"/>
      <c r="E45" s="10"/>
      <c r="F45" s="48"/>
      <c r="G45" s="48"/>
      <c r="H45" s="48"/>
      <c r="I45" s="53"/>
      <c r="J45" s="56"/>
      <c r="K45" s="86"/>
      <c r="L45" s="165"/>
      <c r="M45" s="115"/>
      <c r="N45" s="94">
        <f>September!R45</f>
        <v>0</v>
      </c>
      <c r="O45" s="99"/>
      <c r="P45" s="117"/>
      <c r="Q45" s="99"/>
      <c r="R45" s="117"/>
      <c r="S45" s="99"/>
      <c r="T45" s="101"/>
      <c r="U45" s="10"/>
      <c r="V45" s="10"/>
      <c r="W45" s="133"/>
    </row>
    <row r="46" spans="1:23" ht="15" customHeight="1" x14ac:dyDescent="0.25">
      <c r="A46" s="8">
        <v>1</v>
      </c>
      <c r="B46" s="9" t="s">
        <v>17</v>
      </c>
      <c r="C46" s="9" t="s">
        <v>18</v>
      </c>
      <c r="D46" s="8">
        <v>38</v>
      </c>
      <c r="E46" s="8">
        <v>14</v>
      </c>
      <c r="F46" s="41">
        <v>5</v>
      </c>
      <c r="G46" s="41">
        <v>2</v>
      </c>
      <c r="H46" s="41">
        <v>2</v>
      </c>
      <c r="I46" s="60" t="s">
        <v>37</v>
      </c>
      <c r="J46" s="46"/>
      <c r="K46" s="85" t="s">
        <v>55</v>
      </c>
      <c r="L46" s="13"/>
      <c r="M46" s="105">
        <f>M47</f>
        <v>30300000</v>
      </c>
      <c r="N46" s="94">
        <f>September!R46</f>
        <v>8550000</v>
      </c>
      <c r="O46" s="99">
        <f t="shared" si="0"/>
        <v>28.217821782178216</v>
      </c>
      <c r="P46" s="106">
        <f>P47</f>
        <v>0</v>
      </c>
      <c r="Q46" s="95">
        <f t="shared" si="1"/>
        <v>0</v>
      </c>
      <c r="R46" s="106">
        <f>R47</f>
        <v>8550000</v>
      </c>
      <c r="S46" s="95">
        <f t="shared" si="2"/>
        <v>28.217821782178216</v>
      </c>
      <c r="T46" s="95">
        <f>T47</f>
        <v>18.613138686131386</v>
      </c>
      <c r="U46" s="10"/>
      <c r="V46" s="10"/>
      <c r="W46" s="133"/>
    </row>
    <row r="47" spans="1:23" ht="15" customHeight="1" x14ac:dyDescent="0.25">
      <c r="A47" s="127"/>
      <c r="B47" s="127"/>
      <c r="C47" s="127"/>
      <c r="D47" s="127"/>
      <c r="E47" s="127"/>
      <c r="F47" s="42"/>
      <c r="G47" s="42"/>
      <c r="H47" s="42"/>
      <c r="I47" s="42"/>
      <c r="J47" s="55" t="s">
        <v>17</v>
      </c>
      <c r="K47" s="78" t="s">
        <v>56</v>
      </c>
      <c r="L47" s="10"/>
      <c r="M47" s="107">
        <v>30300000</v>
      </c>
      <c r="N47" s="94">
        <f>September!R47</f>
        <v>8550000</v>
      </c>
      <c r="O47" s="99">
        <f t="shared" si="0"/>
        <v>28.217821782178216</v>
      </c>
      <c r="P47" s="26"/>
      <c r="Q47" s="99">
        <f t="shared" si="1"/>
        <v>0</v>
      </c>
      <c r="R47" s="108">
        <f>N47+P47</f>
        <v>8550000</v>
      </c>
      <c r="S47" s="99">
        <f>R47/M47*100</f>
        <v>28.217821782178216</v>
      </c>
      <c r="T47" s="100">
        <f>306/1644*100</f>
        <v>18.613138686131386</v>
      </c>
      <c r="U47" s="10"/>
      <c r="V47" s="10"/>
      <c r="W47" s="133"/>
    </row>
    <row r="48" spans="1:23" ht="9.9499999999999993" customHeight="1" x14ac:dyDescent="0.25">
      <c r="A48" s="127"/>
      <c r="B48" s="127"/>
      <c r="C48" s="127"/>
      <c r="D48" s="127"/>
      <c r="E48" s="127"/>
      <c r="F48" s="42"/>
      <c r="G48" s="42"/>
      <c r="H48" s="42"/>
      <c r="I48" s="42"/>
      <c r="J48" s="59"/>
      <c r="K48" s="87"/>
      <c r="L48" s="166"/>
      <c r="M48" s="118"/>
      <c r="N48" s="94">
        <f>September!R48</f>
        <v>0</v>
      </c>
      <c r="O48" s="99"/>
      <c r="P48" s="119"/>
      <c r="Q48" s="95"/>
      <c r="R48" s="119"/>
      <c r="S48" s="95"/>
      <c r="T48" s="63"/>
      <c r="U48" s="10"/>
      <c r="V48" s="10"/>
      <c r="W48" s="133"/>
    </row>
    <row r="49" spans="1:23" ht="15" customHeight="1" x14ac:dyDescent="0.25">
      <c r="A49" s="8">
        <v>1</v>
      </c>
      <c r="B49" s="9" t="s">
        <v>17</v>
      </c>
      <c r="C49" s="9" t="s">
        <v>18</v>
      </c>
      <c r="D49" s="8">
        <v>38</v>
      </c>
      <c r="E49" s="8">
        <v>14</v>
      </c>
      <c r="F49" s="61" t="s">
        <v>21</v>
      </c>
      <c r="G49" s="61" t="s">
        <v>22</v>
      </c>
      <c r="H49" s="61" t="s">
        <v>22</v>
      </c>
      <c r="I49" s="42" t="s">
        <v>82</v>
      </c>
      <c r="J49" s="60"/>
      <c r="K49" s="79" t="s">
        <v>83</v>
      </c>
      <c r="L49" s="127"/>
      <c r="M49" s="105">
        <f>M50</f>
        <v>3300000</v>
      </c>
      <c r="N49" s="94">
        <f>September!R49</f>
        <v>0</v>
      </c>
      <c r="O49" s="99">
        <f t="shared" si="0"/>
        <v>0</v>
      </c>
      <c r="P49" s="106">
        <f>P50</f>
        <v>0</v>
      </c>
      <c r="Q49" s="99">
        <f t="shared" si="1"/>
        <v>0</v>
      </c>
      <c r="R49" s="106">
        <f>R50</f>
        <v>0</v>
      </c>
      <c r="S49" s="99">
        <f t="shared" si="2"/>
        <v>0</v>
      </c>
      <c r="T49" s="95">
        <f>T50</f>
        <v>0</v>
      </c>
      <c r="U49" s="10"/>
      <c r="V49" s="10"/>
      <c r="W49" s="133"/>
    </row>
    <row r="50" spans="1:23" ht="15" customHeight="1" x14ac:dyDescent="0.25">
      <c r="A50" s="10"/>
      <c r="B50" s="10"/>
      <c r="C50" s="10"/>
      <c r="D50" s="10"/>
      <c r="E50" s="10"/>
      <c r="F50" s="48"/>
      <c r="G50" s="48"/>
      <c r="H50" s="48"/>
      <c r="I50" s="48"/>
      <c r="J50" s="55" t="s">
        <v>35</v>
      </c>
      <c r="K50" s="78" t="s">
        <v>84</v>
      </c>
      <c r="L50" s="10"/>
      <c r="M50" s="107">
        <v>3300000</v>
      </c>
      <c r="N50" s="94">
        <f>September!R50</f>
        <v>0</v>
      </c>
      <c r="O50" s="99">
        <f t="shared" si="0"/>
        <v>0</v>
      </c>
      <c r="P50" s="108"/>
      <c r="Q50" s="95">
        <f t="shared" si="1"/>
        <v>0</v>
      </c>
      <c r="R50" s="108">
        <f>N50+P50</f>
        <v>0</v>
      </c>
      <c r="S50" s="95">
        <f t="shared" si="2"/>
        <v>0</v>
      </c>
      <c r="T50" s="100">
        <f>0/1*100</f>
        <v>0</v>
      </c>
      <c r="U50" s="10"/>
      <c r="V50" s="10"/>
      <c r="W50" s="133"/>
    </row>
    <row r="51" spans="1:23" ht="9.9499999999999993" customHeight="1" x14ac:dyDescent="0.25">
      <c r="A51" s="127"/>
      <c r="B51" s="127"/>
      <c r="C51" s="127"/>
      <c r="D51" s="127"/>
      <c r="E51" s="127"/>
      <c r="F51" s="42"/>
      <c r="G51" s="42"/>
      <c r="H51" s="42"/>
      <c r="I51" s="42"/>
      <c r="J51" s="59"/>
      <c r="K51" s="87"/>
      <c r="L51" s="166"/>
      <c r="M51" s="118"/>
      <c r="N51" s="94">
        <f>September!R51</f>
        <v>0</v>
      </c>
      <c r="O51" s="99"/>
      <c r="P51" s="119"/>
      <c r="Q51" s="99"/>
      <c r="R51" s="119"/>
      <c r="S51" s="99"/>
      <c r="T51" s="63"/>
      <c r="U51" s="10"/>
      <c r="V51" s="10"/>
      <c r="W51" s="133"/>
    </row>
    <row r="52" spans="1:23" ht="15" customHeight="1" x14ac:dyDescent="0.25">
      <c r="A52" s="8">
        <v>1</v>
      </c>
      <c r="B52" s="9" t="s">
        <v>17</v>
      </c>
      <c r="C52" s="9" t="s">
        <v>18</v>
      </c>
      <c r="D52" s="8">
        <v>38</v>
      </c>
      <c r="E52" s="8">
        <v>14</v>
      </c>
      <c r="F52" s="61" t="s">
        <v>21</v>
      </c>
      <c r="G52" s="61" t="s">
        <v>22</v>
      </c>
      <c r="H52" s="61" t="s">
        <v>22</v>
      </c>
      <c r="I52" s="128">
        <v>15</v>
      </c>
      <c r="J52" s="61"/>
      <c r="K52" s="88" t="s">
        <v>79</v>
      </c>
      <c r="L52" s="10"/>
      <c r="M52" s="105">
        <f>M53</f>
        <v>15612000</v>
      </c>
      <c r="N52" s="94">
        <f>September!R52</f>
        <v>5626800</v>
      </c>
      <c r="O52" s="99">
        <f t="shared" si="0"/>
        <v>36.041506533435822</v>
      </c>
      <c r="P52" s="106">
        <f>P53</f>
        <v>0</v>
      </c>
      <c r="Q52" s="95">
        <f t="shared" si="1"/>
        <v>0</v>
      </c>
      <c r="R52" s="106">
        <f>R53</f>
        <v>5626800</v>
      </c>
      <c r="S52" s="95">
        <f t="shared" si="2"/>
        <v>36.041506533435822</v>
      </c>
      <c r="T52" s="96">
        <f>T53</f>
        <v>50</v>
      </c>
      <c r="U52" s="10"/>
      <c r="V52" s="10"/>
      <c r="W52" s="133"/>
    </row>
    <row r="53" spans="1:23" ht="15" customHeight="1" x14ac:dyDescent="0.25">
      <c r="A53" s="10"/>
      <c r="B53" s="10"/>
      <c r="C53" s="10"/>
      <c r="D53" s="10"/>
      <c r="E53" s="10"/>
      <c r="F53" s="57"/>
      <c r="G53" s="57"/>
      <c r="H53" s="57"/>
      <c r="I53" s="129"/>
      <c r="J53" s="62" t="s">
        <v>17</v>
      </c>
      <c r="K53" s="89" t="s">
        <v>69</v>
      </c>
      <c r="L53" s="10"/>
      <c r="M53" s="107">
        <v>15612000</v>
      </c>
      <c r="N53" s="94">
        <f>September!R53</f>
        <v>5626800</v>
      </c>
      <c r="O53" s="99">
        <f t="shared" si="0"/>
        <v>36.041506533435822</v>
      </c>
      <c r="P53" s="120"/>
      <c r="Q53" s="99">
        <f t="shared" si="1"/>
        <v>0</v>
      </c>
      <c r="R53" s="108">
        <f>N53+P53</f>
        <v>5626800</v>
      </c>
      <c r="S53" s="99">
        <f t="shared" si="2"/>
        <v>36.041506533435822</v>
      </c>
      <c r="T53" s="100">
        <f>1/2*100</f>
        <v>50</v>
      </c>
      <c r="U53" s="10"/>
      <c r="V53" s="10"/>
      <c r="W53" s="133"/>
    </row>
    <row r="54" spans="1:23" ht="9.9499999999999993" customHeight="1" x14ac:dyDescent="0.25">
      <c r="A54" s="10"/>
      <c r="B54" s="10"/>
      <c r="C54" s="10"/>
      <c r="D54" s="10"/>
      <c r="E54" s="10"/>
      <c r="F54" s="48"/>
      <c r="G54" s="48"/>
      <c r="H54" s="48"/>
      <c r="I54" s="53"/>
      <c r="J54" s="53"/>
      <c r="K54" s="78"/>
      <c r="L54" s="10"/>
      <c r="M54" s="107"/>
      <c r="N54" s="94">
        <f>September!R54</f>
        <v>0</v>
      </c>
      <c r="O54" s="99"/>
      <c r="P54" s="108"/>
      <c r="Q54" s="99"/>
      <c r="R54" s="108"/>
      <c r="S54" s="99"/>
      <c r="T54" s="63"/>
      <c r="U54" s="10"/>
      <c r="V54" s="10"/>
      <c r="W54" s="133"/>
    </row>
    <row r="55" spans="1:23" ht="27" customHeight="1" x14ac:dyDescent="0.25">
      <c r="A55" s="8">
        <v>1</v>
      </c>
      <c r="B55" s="9" t="s">
        <v>17</v>
      </c>
      <c r="C55" s="9" t="s">
        <v>18</v>
      </c>
      <c r="D55" s="8">
        <v>38</v>
      </c>
      <c r="E55" s="8">
        <v>14</v>
      </c>
      <c r="F55" s="61" t="s">
        <v>21</v>
      </c>
      <c r="G55" s="61" t="s">
        <v>22</v>
      </c>
      <c r="H55" s="61" t="s">
        <v>22</v>
      </c>
      <c r="I55" s="128" t="s">
        <v>48</v>
      </c>
      <c r="J55" s="42"/>
      <c r="K55" s="79" t="s">
        <v>57</v>
      </c>
      <c r="L55" s="10"/>
      <c r="M55" s="105">
        <f>M56</f>
        <v>20000000</v>
      </c>
      <c r="N55" s="94">
        <f>September!R55</f>
        <v>15000000</v>
      </c>
      <c r="O55" s="99">
        <f t="shared" si="0"/>
        <v>75</v>
      </c>
      <c r="P55" s="106">
        <f>P56</f>
        <v>0</v>
      </c>
      <c r="Q55" s="95">
        <f t="shared" si="1"/>
        <v>0</v>
      </c>
      <c r="R55" s="106">
        <f>R56</f>
        <v>15000000</v>
      </c>
      <c r="S55" s="95">
        <f t="shared" si="2"/>
        <v>75</v>
      </c>
      <c r="T55" s="96">
        <f>T56</f>
        <v>75</v>
      </c>
      <c r="U55" s="10"/>
      <c r="V55" s="10"/>
      <c r="W55" s="133"/>
    </row>
    <row r="56" spans="1:23" ht="15" customHeight="1" x14ac:dyDescent="0.25">
      <c r="A56" s="10"/>
      <c r="B56" s="10"/>
      <c r="C56" s="10"/>
      <c r="D56" s="10"/>
      <c r="E56" s="10"/>
      <c r="F56" s="48"/>
      <c r="G56" s="48"/>
      <c r="H56" s="48"/>
      <c r="I56" s="48"/>
      <c r="J56" s="48" t="s">
        <v>18</v>
      </c>
      <c r="K56" s="78" t="s">
        <v>58</v>
      </c>
      <c r="L56" s="10"/>
      <c r="M56" s="107">
        <v>20000000</v>
      </c>
      <c r="N56" s="94">
        <f>September!R56</f>
        <v>15000000</v>
      </c>
      <c r="O56" s="99">
        <f t="shared" si="0"/>
        <v>75</v>
      </c>
      <c r="P56" s="26"/>
      <c r="Q56" s="99">
        <f t="shared" si="1"/>
        <v>0</v>
      </c>
      <c r="R56" s="108">
        <f>N56+P56</f>
        <v>15000000</v>
      </c>
      <c r="S56" s="99">
        <f t="shared" si="2"/>
        <v>75</v>
      </c>
      <c r="T56" s="100">
        <f>3/4*100</f>
        <v>75</v>
      </c>
      <c r="U56" s="10"/>
      <c r="V56" s="10"/>
      <c r="W56" s="133"/>
    </row>
    <row r="57" spans="1:23" ht="9.9499999999999993" customHeight="1" x14ac:dyDescent="0.25">
      <c r="A57" s="10"/>
      <c r="B57" s="10"/>
      <c r="C57" s="10"/>
      <c r="D57" s="10"/>
      <c r="E57" s="10"/>
      <c r="F57" s="48"/>
      <c r="G57" s="48"/>
      <c r="H57" s="48"/>
      <c r="I57" s="53"/>
      <c r="J57" s="53"/>
      <c r="K57" s="90"/>
      <c r="L57" s="10"/>
      <c r="M57" s="97"/>
      <c r="N57" s="94">
        <f>September!R57</f>
        <v>0</v>
      </c>
      <c r="O57" s="99"/>
      <c r="P57" s="98"/>
      <c r="Q57" s="99"/>
      <c r="R57" s="98"/>
      <c r="S57" s="99"/>
      <c r="T57" s="63"/>
      <c r="U57" s="10"/>
      <c r="V57" s="10"/>
      <c r="W57" s="133"/>
    </row>
    <row r="58" spans="1:23" ht="15" customHeight="1" x14ac:dyDescent="0.25">
      <c r="A58" s="8">
        <v>1</v>
      </c>
      <c r="B58" s="9" t="s">
        <v>17</v>
      </c>
      <c r="C58" s="9" t="s">
        <v>18</v>
      </c>
      <c r="D58" s="8">
        <v>38</v>
      </c>
      <c r="E58" s="8">
        <v>14</v>
      </c>
      <c r="F58" s="61" t="s">
        <v>21</v>
      </c>
      <c r="G58" s="61" t="s">
        <v>22</v>
      </c>
      <c r="H58" s="61" t="s">
        <v>22</v>
      </c>
      <c r="I58" s="128" t="s">
        <v>51</v>
      </c>
      <c r="J58" s="130"/>
      <c r="K58" s="88" t="s">
        <v>59</v>
      </c>
      <c r="L58" s="10"/>
      <c r="M58" s="103">
        <f>SUM(M59:M62)</f>
        <v>24000000</v>
      </c>
      <c r="N58" s="94">
        <f>September!R58</f>
        <v>14823000</v>
      </c>
      <c r="O58" s="99">
        <f t="shared" si="0"/>
        <v>61.762499999999996</v>
      </c>
      <c r="P58" s="104">
        <f>SUM(P59:P62)</f>
        <v>0</v>
      </c>
      <c r="Q58" s="95">
        <f t="shared" si="1"/>
        <v>0</v>
      </c>
      <c r="R58" s="104">
        <f>SUM(R59:R62)</f>
        <v>14823000</v>
      </c>
      <c r="S58" s="95">
        <f t="shared" si="2"/>
        <v>61.762499999999996</v>
      </c>
      <c r="T58" s="96">
        <f>SUM(T59:T62)/4</f>
        <v>62.5</v>
      </c>
      <c r="U58" s="10"/>
      <c r="V58" s="10"/>
      <c r="W58" s="133"/>
    </row>
    <row r="59" spans="1:23" ht="15" customHeight="1" x14ac:dyDescent="0.25">
      <c r="A59" s="10"/>
      <c r="B59" s="10"/>
      <c r="C59" s="10"/>
      <c r="D59" s="10"/>
      <c r="E59" s="10"/>
      <c r="F59" s="57"/>
      <c r="G59" s="57"/>
      <c r="H59" s="57"/>
      <c r="I59" s="129"/>
      <c r="J59" s="62" t="s">
        <v>34</v>
      </c>
      <c r="K59" s="89" t="s">
        <v>60</v>
      </c>
      <c r="L59" s="10"/>
      <c r="M59" s="97">
        <v>1000000</v>
      </c>
      <c r="N59" s="94">
        <f>September!R59</f>
        <v>0</v>
      </c>
      <c r="O59" s="99">
        <f t="shared" si="0"/>
        <v>0</v>
      </c>
      <c r="P59" s="98"/>
      <c r="Q59" s="99">
        <f t="shared" si="1"/>
        <v>0</v>
      </c>
      <c r="R59" s="98">
        <f>N59+P59</f>
        <v>0</v>
      </c>
      <c r="S59" s="99">
        <f t="shared" si="2"/>
        <v>0</v>
      </c>
      <c r="T59" s="100">
        <f>0/1*100</f>
        <v>0</v>
      </c>
      <c r="U59" s="10"/>
      <c r="V59" s="10"/>
      <c r="W59" s="133"/>
    </row>
    <row r="60" spans="1:23" ht="15" customHeight="1" x14ac:dyDescent="0.25">
      <c r="A60" s="10"/>
      <c r="B60" s="10"/>
      <c r="C60" s="10"/>
      <c r="D60" s="10"/>
      <c r="E60" s="10"/>
      <c r="F60" s="54"/>
      <c r="G60" s="54"/>
      <c r="H60" s="54"/>
      <c r="I60" s="48"/>
      <c r="J60" s="55" t="s">
        <v>35</v>
      </c>
      <c r="K60" s="73" t="s">
        <v>61</v>
      </c>
      <c r="L60" s="10"/>
      <c r="M60" s="97">
        <v>13000000</v>
      </c>
      <c r="N60" s="94">
        <f>September!R60</f>
        <v>9785000</v>
      </c>
      <c r="O60" s="99">
        <f t="shared" si="0"/>
        <v>75.269230769230759</v>
      </c>
      <c r="P60" s="98"/>
      <c r="Q60" s="99">
        <f t="shared" si="1"/>
        <v>0</v>
      </c>
      <c r="R60" s="98">
        <f t="shared" ref="R60:R62" si="5">N60+P60</f>
        <v>9785000</v>
      </c>
      <c r="S60" s="99">
        <f t="shared" si="2"/>
        <v>75.269230769230759</v>
      </c>
      <c r="T60" s="100">
        <f>1/1*100</f>
        <v>100</v>
      </c>
      <c r="U60" s="10"/>
      <c r="V60" s="10"/>
      <c r="W60" s="133"/>
    </row>
    <row r="61" spans="1:23" ht="15" customHeight="1" x14ac:dyDescent="0.25">
      <c r="A61" s="10"/>
      <c r="B61" s="10"/>
      <c r="C61" s="10"/>
      <c r="D61" s="10"/>
      <c r="E61" s="10"/>
      <c r="F61" s="57"/>
      <c r="G61" s="57"/>
      <c r="H61" s="57"/>
      <c r="I61" s="129"/>
      <c r="J61" s="62" t="s">
        <v>50</v>
      </c>
      <c r="K61" s="89" t="s">
        <v>62</v>
      </c>
      <c r="L61" s="10"/>
      <c r="M61" s="97">
        <v>5000000</v>
      </c>
      <c r="N61" s="94">
        <f>September!R61</f>
        <v>996000</v>
      </c>
      <c r="O61" s="99">
        <f t="shared" si="0"/>
        <v>19.919999999999998</v>
      </c>
      <c r="P61" s="98"/>
      <c r="Q61" s="99">
        <f t="shared" si="1"/>
        <v>0</v>
      </c>
      <c r="R61" s="98">
        <f t="shared" si="5"/>
        <v>996000</v>
      </c>
      <c r="S61" s="99">
        <f t="shared" si="2"/>
        <v>19.919999999999998</v>
      </c>
      <c r="T61" s="100">
        <f>1/2*100</f>
        <v>50</v>
      </c>
      <c r="U61" s="10"/>
      <c r="V61" s="10"/>
      <c r="W61" s="133"/>
    </row>
    <row r="62" spans="1:23" ht="15" customHeight="1" x14ac:dyDescent="0.25">
      <c r="A62" s="10"/>
      <c r="B62" s="10"/>
      <c r="C62" s="10"/>
      <c r="D62" s="10"/>
      <c r="E62" s="10"/>
      <c r="F62" s="57"/>
      <c r="G62" s="57"/>
      <c r="H62" s="57"/>
      <c r="I62" s="129"/>
      <c r="J62" s="62" t="s">
        <v>36</v>
      </c>
      <c r="K62" s="89" t="s">
        <v>80</v>
      </c>
      <c r="L62" s="10"/>
      <c r="M62" s="97">
        <v>5000000</v>
      </c>
      <c r="N62" s="94">
        <f>September!R62</f>
        <v>4042000</v>
      </c>
      <c r="O62" s="99">
        <v>0</v>
      </c>
      <c r="P62" s="98"/>
      <c r="Q62" s="95">
        <v>0</v>
      </c>
      <c r="R62" s="98">
        <f t="shared" si="5"/>
        <v>4042000</v>
      </c>
      <c r="S62" s="99">
        <f t="shared" si="2"/>
        <v>80.84</v>
      </c>
      <c r="T62" s="100">
        <f>1/1*100</f>
        <v>100</v>
      </c>
      <c r="U62" s="10"/>
      <c r="V62" s="10"/>
      <c r="W62" s="133"/>
    </row>
    <row r="63" spans="1:23" ht="9.9499999999999993" customHeight="1" x14ac:dyDescent="0.25">
      <c r="A63" s="10"/>
      <c r="B63" s="10"/>
      <c r="C63" s="10"/>
      <c r="D63" s="10"/>
      <c r="E63" s="10"/>
      <c r="F63" s="48"/>
      <c r="G63" s="48"/>
      <c r="H63" s="48"/>
      <c r="I63" s="53"/>
      <c r="J63" s="53"/>
      <c r="K63" s="78"/>
      <c r="L63" s="10"/>
      <c r="M63" s="97"/>
      <c r="N63" s="94">
        <f>September!R63</f>
        <v>0</v>
      </c>
      <c r="O63" s="99"/>
      <c r="P63" s="98"/>
      <c r="Q63" s="99"/>
      <c r="R63" s="98"/>
      <c r="S63" s="99"/>
      <c r="T63" s="63"/>
      <c r="U63" s="10"/>
      <c r="V63" s="10"/>
      <c r="W63" s="133"/>
    </row>
    <row r="64" spans="1:23" ht="15" customHeight="1" x14ac:dyDescent="0.25">
      <c r="A64" s="127">
        <v>1</v>
      </c>
      <c r="B64" s="127" t="s">
        <v>17</v>
      </c>
      <c r="C64" s="127" t="s">
        <v>18</v>
      </c>
      <c r="D64" s="127">
        <v>38</v>
      </c>
      <c r="E64" s="127">
        <v>14</v>
      </c>
      <c r="F64" s="42" t="s">
        <v>21</v>
      </c>
      <c r="G64" s="42" t="s">
        <v>22</v>
      </c>
      <c r="H64" s="42" t="s">
        <v>22</v>
      </c>
      <c r="I64" s="42" t="s">
        <v>78</v>
      </c>
      <c r="J64" s="42"/>
      <c r="K64" s="79" t="s">
        <v>76</v>
      </c>
      <c r="L64" s="127"/>
      <c r="M64" s="103">
        <f>SUM(M65:M66)</f>
        <v>10000000</v>
      </c>
      <c r="N64" s="94">
        <f>September!R64</f>
        <v>2000000</v>
      </c>
      <c r="O64" s="95">
        <f t="shared" ref="O64:O66" si="6">N64/M64*100</f>
        <v>20</v>
      </c>
      <c r="P64" s="104">
        <f>SUM(P65:P66)</f>
        <v>0</v>
      </c>
      <c r="Q64" s="95">
        <f t="shared" ref="Q64:Q66" si="7">P64/M64*100</f>
        <v>0</v>
      </c>
      <c r="R64" s="104">
        <f>SUM(R65:R66)</f>
        <v>2000000</v>
      </c>
      <c r="S64" s="95">
        <f t="shared" ref="S64:S66" si="8">R64/M64*100</f>
        <v>20</v>
      </c>
      <c r="T64" s="96">
        <f>SUM(T65:T66)/2</f>
        <v>50</v>
      </c>
      <c r="U64" s="10"/>
      <c r="V64" s="10"/>
      <c r="W64" s="133"/>
    </row>
    <row r="65" spans="1:23" ht="15" customHeight="1" x14ac:dyDescent="0.25">
      <c r="A65" s="10"/>
      <c r="B65" s="10"/>
      <c r="C65" s="10"/>
      <c r="D65" s="10"/>
      <c r="E65" s="10"/>
      <c r="F65" s="48"/>
      <c r="G65" s="48"/>
      <c r="H65" s="48"/>
      <c r="I65" s="48"/>
      <c r="J65" s="62" t="s">
        <v>34</v>
      </c>
      <c r="K65" s="89" t="s">
        <v>107</v>
      </c>
      <c r="L65" s="10"/>
      <c r="M65" s="97">
        <v>7000000</v>
      </c>
      <c r="N65" s="94">
        <f>September!R65</f>
        <v>0</v>
      </c>
      <c r="O65" s="95">
        <f t="shared" si="6"/>
        <v>0</v>
      </c>
      <c r="P65" s="98"/>
      <c r="Q65" s="95">
        <f t="shared" si="7"/>
        <v>0</v>
      </c>
      <c r="R65" s="98">
        <f>N65+P65</f>
        <v>0</v>
      </c>
      <c r="S65" s="95">
        <f t="shared" si="8"/>
        <v>0</v>
      </c>
      <c r="T65" s="100">
        <f>0/1*100</f>
        <v>0</v>
      </c>
      <c r="U65" s="10"/>
      <c r="V65" s="10"/>
      <c r="W65" s="133"/>
    </row>
    <row r="66" spans="1:23" ht="15" customHeight="1" x14ac:dyDescent="0.25">
      <c r="A66" s="10"/>
      <c r="B66" s="10"/>
      <c r="C66" s="10"/>
      <c r="D66" s="10"/>
      <c r="E66" s="10"/>
      <c r="F66" s="48"/>
      <c r="G66" s="48"/>
      <c r="H66" s="48"/>
      <c r="I66" s="48"/>
      <c r="J66" s="48" t="s">
        <v>30</v>
      </c>
      <c r="K66" s="78" t="s">
        <v>77</v>
      </c>
      <c r="L66" s="10"/>
      <c r="M66" s="97">
        <v>3000000</v>
      </c>
      <c r="N66" s="94">
        <f>September!R66</f>
        <v>2000000</v>
      </c>
      <c r="O66" s="95">
        <f t="shared" si="6"/>
        <v>66.666666666666657</v>
      </c>
      <c r="P66" s="98"/>
      <c r="Q66" s="95">
        <f t="shared" si="7"/>
        <v>0</v>
      </c>
      <c r="R66" s="98">
        <f>N66+P66</f>
        <v>2000000</v>
      </c>
      <c r="S66" s="95">
        <f t="shared" si="8"/>
        <v>66.666666666666657</v>
      </c>
      <c r="T66" s="100">
        <f>1/1*100</f>
        <v>100</v>
      </c>
      <c r="U66" s="10"/>
      <c r="V66" s="10"/>
      <c r="W66" s="133"/>
    </row>
    <row r="67" spans="1:23" ht="9.9499999999999993" customHeight="1" x14ac:dyDescent="0.25">
      <c r="A67" s="10"/>
      <c r="B67" s="10"/>
      <c r="C67" s="10"/>
      <c r="D67" s="10"/>
      <c r="E67" s="10"/>
      <c r="F67" s="48"/>
      <c r="G67" s="48"/>
      <c r="H67" s="48"/>
      <c r="I67" s="53"/>
      <c r="J67" s="53"/>
      <c r="K67" s="78"/>
      <c r="L67" s="10"/>
      <c r="M67" s="97"/>
      <c r="N67" s="94">
        <f>September!R67</f>
        <v>0</v>
      </c>
      <c r="O67" s="99"/>
      <c r="P67" s="98"/>
      <c r="Q67" s="99"/>
      <c r="R67" s="98"/>
      <c r="S67" s="99"/>
      <c r="T67" s="63"/>
      <c r="U67" s="10"/>
      <c r="V67" s="10"/>
      <c r="W67" s="133"/>
    </row>
    <row r="68" spans="1:23" ht="27" customHeight="1" x14ac:dyDescent="0.25">
      <c r="A68" s="8">
        <v>1</v>
      </c>
      <c r="B68" s="9" t="s">
        <v>17</v>
      </c>
      <c r="C68" s="9" t="s">
        <v>18</v>
      </c>
      <c r="D68" s="8">
        <v>38</v>
      </c>
      <c r="E68" s="8">
        <v>14</v>
      </c>
      <c r="F68" s="61" t="s">
        <v>21</v>
      </c>
      <c r="G68" s="61" t="s">
        <v>22</v>
      </c>
      <c r="H68" s="61" t="s">
        <v>22</v>
      </c>
      <c r="I68" s="131" t="s">
        <v>49</v>
      </c>
      <c r="J68" s="61"/>
      <c r="K68" s="88" t="s">
        <v>63</v>
      </c>
      <c r="L68" s="10"/>
      <c r="M68" s="105">
        <f>SUM(M69:M70)</f>
        <v>19450000</v>
      </c>
      <c r="N68" s="94">
        <f>September!R68</f>
        <v>9050000</v>
      </c>
      <c r="O68" s="99">
        <f t="shared" si="0"/>
        <v>46.529562982005139</v>
      </c>
      <c r="P68" s="106">
        <f>SUM(P69:P70)</f>
        <v>0</v>
      </c>
      <c r="Q68" s="95">
        <f t="shared" si="1"/>
        <v>0</v>
      </c>
      <c r="R68" s="106">
        <f>SUM(R69:R70)</f>
        <v>9050000</v>
      </c>
      <c r="S68" s="95">
        <f t="shared" si="2"/>
        <v>46.529562982005139</v>
      </c>
      <c r="T68" s="96">
        <f>SUM(T69:T70)/2</f>
        <v>54.166666666666671</v>
      </c>
      <c r="U68" s="10"/>
      <c r="V68" s="10"/>
      <c r="W68" s="133"/>
    </row>
    <row r="69" spans="1:23" ht="15" customHeight="1" x14ac:dyDescent="0.25">
      <c r="A69" s="10"/>
      <c r="B69" s="10"/>
      <c r="C69" s="10"/>
      <c r="D69" s="10"/>
      <c r="E69" s="10"/>
      <c r="F69" s="57"/>
      <c r="G69" s="57"/>
      <c r="H69" s="57"/>
      <c r="I69" s="129"/>
      <c r="J69" s="62" t="s">
        <v>17</v>
      </c>
      <c r="K69" s="89" t="s">
        <v>66</v>
      </c>
      <c r="L69" s="10"/>
      <c r="M69" s="107">
        <v>7200000</v>
      </c>
      <c r="N69" s="94">
        <f>September!R69</f>
        <v>1800000</v>
      </c>
      <c r="O69" s="99">
        <f t="shared" si="0"/>
        <v>25</v>
      </c>
      <c r="P69" s="26"/>
      <c r="Q69" s="99">
        <f t="shared" si="1"/>
        <v>0</v>
      </c>
      <c r="R69" s="108">
        <f>N69+P69</f>
        <v>1800000</v>
      </c>
      <c r="S69" s="99">
        <f t="shared" si="2"/>
        <v>25</v>
      </c>
      <c r="T69" s="100">
        <f>6/24*100</f>
        <v>25</v>
      </c>
      <c r="U69" s="10"/>
      <c r="V69" s="10"/>
      <c r="W69" s="133"/>
    </row>
    <row r="70" spans="1:23" ht="15" customHeight="1" x14ac:dyDescent="0.25">
      <c r="A70" s="10"/>
      <c r="B70" s="10"/>
      <c r="C70" s="10"/>
      <c r="D70" s="10"/>
      <c r="E70" s="10"/>
      <c r="F70" s="57"/>
      <c r="G70" s="57"/>
      <c r="H70" s="57"/>
      <c r="I70" s="129"/>
      <c r="J70" s="62" t="s">
        <v>34</v>
      </c>
      <c r="K70" s="89" t="s">
        <v>81</v>
      </c>
      <c r="L70" s="10"/>
      <c r="M70" s="107">
        <v>12250000</v>
      </c>
      <c r="N70" s="94">
        <f>September!R70</f>
        <v>7250000</v>
      </c>
      <c r="O70" s="99">
        <f t="shared" si="0"/>
        <v>59.183673469387756</v>
      </c>
      <c r="P70" s="26"/>
      <c r="Q70" s="95">
        <f t="shared" si="1"/>
        <v>0</v>
      </c>
      <c r="R70" s="108">
        <f>N70+P70</f>
        <v>7250000</v>
      </c>
      <c r="S70" s="95">
        <f t="shared" si="2"/>
        <v>59.183673469387756</v>
      </c>
      <c r="T70" s="100">
        <f>10/12*100</f>
        <v>83.333333333333343</v>
      </c>
      <c r="U70" s="10"/>
      <c r="V70" s="10"/>
      <c r="W70" s="133"/>
    </row>
    <row r="71" spans="1:23" ht="9.9499999999999993" customHeight="1" x14ac:dyDescent="0.25">
      <c r="A71" s="10"/>
      <c r="B71" s="10"/>
      <c r="C71" s="10"/>
      <c r="D71" s="10"/>
      <c r="E71" s="10"/>
      <c r="F71" s="48"/>
      <c r="G71" s="48"/>
      <c r="H71" s="48"/>
      <c r="I71" s="53"/>
      <c r="J71" s="53"/>
      <c r="K71" s="78"/>
      <c r="L71" s="10"/>
      <c r="M71" s="97"/>
      <c r="N71" s="94">
        <f>September!R71</f>
        <v>0</v>
      </c>
      <c r="O71" s="99"/>
      <c r="P71" s="98"/>
      <c r="Q71" s="99"/>
      <c r="R71" s="98"/>
      <c r="S71" s="99"/>
      <c r="T71" s="63"/>
      <c r="U71" s="10"/>
      <c r="V71" s="10"/>
      <c r="W71" s="133"/>
    </row>
    <row r="72" spans="1:23" ht="27" customHeight="1" x14ac:dyDescent="0.25">
      <c r="A72" s="8">
        <v>1</v>
      </c>
      <c r="B72" s="9" t="s">
        <v>17</v>
      </c>
      <c r="C72" s="9" t="s">
        <v>18</v>
      </c>
      <c r="D72" s="8">
        <v>38</v>
      </c>
      <c r="E72" s="8">
        <v>14</v>
      </c>
      <c r="F72" s="42" t="s">
        <v>21</v>
      </c>
      <c r="G72" s="42" t="s">
        <v>22</v>
      </c>
      <c r="H72" s="42" t="s">
        <v>22</v>
      </c>
      <c r="I72" s="42" t="s">
        <v>108</v>
      </c>
      <c r="J72" s="44"/>
      <c r="K72" s="79" t="s">
        <v>109</v>
      </c>
      <c r="L72" s="10"/>
      <c r="M72" s="103">
        <f>M73</f>
        <v>500000</v>
      </c>
      <c r="N72" s="94">
        <f>September!R72</f>
        <v>0</v>
      </c>
      <c r="O72" s="99">
        <f t="shared" si="0"/>
        <v>0</v>
      </c>
      <c r="P72" s="104">
        <f>P73</f>
        <v>0</v>
      </c>
      <c r="Q72" s="95">
        <f t="shared" si="1"/>
        <v>0</v>
      </c>
      <c r="R72" s="104">
        <f>R73</f>
        <v>0</v>
      </c>
      <c r="S72" s="95">
        <f t="shared" si="2"/>
        <v>0</v>
      </c>
      <c r="T72" s="96">
        <v>0</v>
      </c>
      <c r="U72" s="10"/>
      <c r="V72" s="10"/>
      <c r="W72" s="133"/>
    </row>
    <row r="73" spans="1:23" ht="27" customHeight="1" x14ac:dyDescent="0.25">
      <c r="A73" s="10"/>
      <c r="B73" s="10"/>
      <c r="C73" s="10"/>
      <c r="D73" s="10"/>
      <c r="E73" s="10"/>
      <c r="F73" s="48"/>
      <c r="G73" s="48"/>
      <c r="H73" s="48"/>
      <c r="I73" s="53"/>
      <c r="J73" s="55" t="s">
        <v>17</v>
      </c>
      <c r="K73" s="73" t="s">
        <v>110</v>
      </c>
      <c r="L73" s="10"/>
      <c r="M73" s="97">
        <v>500000</v>
      </c>
      <c r="N73" s="94">
        <f>September!R73</f>
        <v>0</v>
      </c>
      <c r="O73" s="99">
        <f t="shared" si="0"/>
        <v>0</v>
      </c>
      <c r="P73" s="26"/>
      <c r="Q73" s="99">
        <f t="shared" si="1"/>
        <v>0</v>
      </c>
      <c r="R73" s="98">
        <f>N73+P73</f>
        <v>0</v>
      </c>
      <c r="S73" s="99">
        <f t="shared" si="2"/>
        <v>0</v>
      </c>
      <c r="T73" s="100">
        <f>0/1*100</f>
        <v>0</v>
      </c>
      <c r="U73" s="10"/>
      <c r="V73" s="160"/>
      <c r="W73" s="133"/>
    </row>
    <row r="74" spans="1:23" ht="9.9499999999999993" customHeight="1" x14ac:dyDescent="0.25">
      <c r="A74" s="10"/>
      <c r="B74" s="10"/>
      <c r="C74" s="10"/>
      <c r="D74" s="10"/>
      <c r="E74" s="10"/>
      <c r="F74" s="48"/>
      <c r="G74" s="48"/>
      <c r="H74" s="48"/>
      <c r="I74" s="53"/>
      <c r="J74" s="59"/>
      <c r="K74" s="91"/>
      <c r="L74" s="166"/>
      <c r="M74" s="115"/>
      <c r="N74" s="94">
        <f>September!R74</f>
        <v>0</v>
      </c>
      <c r="O74" s="99"/>
      <c r="P74" s="117"/>
      <c r="Q74" s="99"/>
      <c r="R74" s="117"/>
      <c r="S74" s="99"/>
      <c r="T74" s="63"/>
      <c r="U74" s="10"/>
      <c r="V74" s="10"/>
      <c r="W74" s="133"/>
    </row>
    <row r="75" spans="1:23" ht="15" customHeight="1" x14ac:dyDescent="0.25">
      <c r="A75" s="8">
        <v>1</v>
      </c>
      <c r="B75" s="9" t="s">
        <v>17</v>
      </c>
      <c r="C75" s="9" t="s">
        <v>18</v>
      </c>
      <c r="D75" s="8">
        <v>38</v>
      </c>
      <c r="E75" s="8">
        <v>14</v>
      </c>
      <c r="F75" s="42" t="s">
        <v>21</v>
      </c>
      <c r="G75" s="42" t="s">
        <v>22</v>
      </c>
      <c r="H75" s="42" t="s">
        <v>24</v>
      </c>
      <c r="I75" s="42"/>
      <c r="J75" s="44"/>
      <c r="K75" s="79" t="s">
        <v>25</v>
      </c>
      <c r="L75" s="10"/>
      <c r="M75" s="105">
        <f>M79+M76+M83+M86+M89</f>
        <v>68700000</v>
      </c>
      <c r="N75" s="94">
        <f>September!R75</f>
        <v>36110000</v>
      </c>
      <c r="O75" s="99">
        <f t="shared" si="0"/>
        <v>52.561863173216885</v>
      </c>
      <c r="P75" s="106">
        <f>P79+P76+P83+P86+P89</f>
        <v>0</v>
      </c>
      <c r="Q75" s="95">
        <f t="shared" si="1"/>
        <v>0</v>
      </c>
      <c r="R75" s="106">
        <f>R79+R76+R83+R86+R89</f>
        <v>36110000</v>
      </c>
      <c r="S75" s="95">
        <f t="shared" si="2"/>
        <v>52.561863173216885</v>
      </c>
      <c r="T75" s="96">
        <f>(T79+T76+T83+T86+T89)/5</f>
        <v>70</v>
      </c>
      <c r="U75" s="10"/>
      <c r="V75" s="10"/>
      <c r="W75" s="133"/>
    </row>
    <row r="76" spans="1:23" ht="27" customHeight="1" x14ac:dyDescent="0.25">
      <c r="A76" s="8">
        <v>1</v>
      </c>
      <c r="B76" s="9" t="s">
        <v>17</v>
      </c>
      <c r="C76" s="9" t="s">
        <v>18</v>
      </c>
      <c r="D76" s="8">
        <v>38</v>
      </c>
      <c r="E76" s="8">
        <v>14</v>
      </c>
      <c r="F76" s="42" t="s">
        <v>21</v>
      </c>
      <c r="G76" s="42" t="s">
        <v>22</v>
      </c>
      <c r="H76" s="42" t="s">
        <v>24</v>
      </c>
      <c r="I76" s="42" t="s">
        <v>44</v>
      </c>
      <c r="J76" s="44"/>
      <c r="K76" s="80" t="s">
        <v>111</v>
      </c>
      <c r="L76" s="10"/>
      <c r="M76" s="103">
        <f>M77</f>
        <v>7500000</v>
      </c>
      <c r="N76" s="94">
        <f>September!R76</f>
        <v>7500000</v>
      </c>
      <c r="O76" s="99">
        <f t="shared" si="0"/>
        <v>100</v>
      </c>
      <c r="P76" s="104">
        <f>P77</f>
        <v>0</v>
      </c>
      <c r="Q76" s="95">
        <f t="shared" si="1"/>
        <v>0</v>
      </c>
      <c r="R76" s="104">
        <f>R77</f>
        <v>7500000</v>
      </c>
      <c r="S76" s="95">
        <f t="shared" si="2"/>
        <v>100</v>
      </c>
      <c r="T76" s="96">
        <f>T77</f>
        <v>100</v>
      </c>
      <c r="U76" s="10"/>
      <c r="V76" s="10"/>
      <c r="W76" s="133"/>
    </row>
    <row r="77" spans="1:23" ht="15" customHeight="1" x14ac:dyDescent="0.25">
      <c r="A77" s="8"/>
      <c r="B77" s="9"/>
      <c r="C77" s="9"/>
      <c r="D77" s="8"/>
      <c r="E77" s="8"/>
      <c r="F77" s="42"/>
      <c r="G77" s="42"/>
      <c r="H77" s="42"/>
      <c r="I77" s="48"/>
      <c r="J77" s="55" t="s">
        <v>35</v>
      </c>
      <c r="K77" s="73" t="s">
        <v>112</v>
      </c>
      <c r="L77" s="10"/>
      <c r="M77" s="97">
        <v>7500000</v>
      </c>
      <c r="N77" s="94">
        <f>September!R77</f>
        <v>7500000</v>
      </c>
      <c r="O77" s="99">
        <f t="shared" ref="O77:O90" si="9">N77/M77*100</f>
        <v>100</v>
      </c>
      <c r="P77" s="98"/>
      <c r="Q77" s="99">
        <f t="shared" ref="Q77:Q90" si="10">P77/M77*100</f>
        <v>0</v>
      </c>
      <c r="R77" s="98">
        <f>N77+P77</f>
        <v>7500000</v>
      </c>
      <c r="S77" s="99">
        <f t="shared" ref="S77:S90" si="11">R77/M77*100</f>
        <v>100</v>
      </c>
      <c r="T77" s="100">
        <f>1/1*100</f>
        <v>100</v>
      </c>
      <c r="U77" s="10"/>
      <c r="V77" s="10"/>
      <c r="W77" s="133"/>
    </row>
    <row r="78" spans="1:23" ht="9.9499999999999993" customHeight="1" x14ac:dyDescent="0.25">
      <c r="A78" s="8"/>
      <c r="B78" s="9"/>
      <c r="C78" s="9"/>
      <c r="D78" s="8"/>
      <c r="E78" s="8"/>
      <c r="F78" s="42"/>
      <c r="G78" s="42"/>
      <c r="H78" s="42"/>
      <c r="I78" s="55"/>
      <c r="J78" s="55"/>
      <c r="K78" s="78"/>
      <c r="L78" s="10"/>
      <c r="M78" s="97"/>
      <c r="N78" s="94">
        <f>September!R78</f>
        <v>0</v>
      </c>
      <c r="O78" s="99"/>
      <c r="P78" s="26"/>
      <c r="Q78" s="95"/>
      <c r="R78" s="98"/>
      <c r="S78" s="95"/>
      <c r="T78" s="100"/>
      <c r="U78" s="10"/>
      <c r="V78" s="10"/>
      <c r="W78" s="133"/>
    </row>
    <row r="79" spans="1:23" s="174" customFormat="1" ht="27" customHeight="1" x14ac:dyDescent="0.25">
      <c r="A79" s="8">
        <v>1</v>
      </c>
      <c r="B79" s="9" t="s">
        <v>17</v>
      </c>
      <c r="C79" s="9" t="s">
        <v>18</v>
      </c>
      <c r="D79" s="8">
        <v>38</v>
      </c>
      <c r="E79" s="8">
        <v>14</v>
      </c>
      <c r="F79" s="42" t="s">
        <v>21</v>
      </c>
      <c r="G79" s="42" t="s">
        <v>22</v>
      </c>
      <c r="H79" s="42" t="s">
        <v>24</v>
      </c>
      <c r="I79" s="60" t="s">
        <v>113</v>
      </c>
      <c r="J79" s="60"/>
      <c r="K79" s="79" t="s">
        <v>45</v>
      </c>
      <c r="L79" s="127"/>
      <c r="M79" s="103">
        <f>SUM(M80:M81)</f>
        <v>12200000</v>
      </c>
      <c r="N79" s="94">
        <f>September!R79</f>
        <v>8690000</v>
      </c>
      <c r="O79" s="95">
        <f t="shared" si="9"/>
        <v>71.229508196721312</v>
      </c>
      <c r="P79" s="147">
        <f>SUM(P80:P81)</f>
        <v>0</v>
      </c>
      <c r="Q79" s="95">
        <f t="shared" si="10"/>
        <v>0</v>
      </c>
      <c r="R79" s="104">
        <f>SUM(R80:R81)</f>
        <v>8690000</v>
      </c>
      <c r="S79" s="95">
        <f t="shared" si="11"/>
        <v>71.229508196721312</v>
      </c>
      <c r="T79" s="96">
        <f>SUM(T80:T81)/2</f>
        <v>50</v>
      </c>
      <c r="U79" s="127"/>
      <c r="V79" s="127"/>
      <c r="W79" s="173"/>
    </row>
    <row r="80" spans="1:23" ht="15" customHeight="1" x14ac:dyDescent="0.25">
      <c r="A80" s="6"/>
      <c r="B80" s="7"/>
      <c r="C80" s="7"/>
      <c r="D80" s="6"/>
      <c r="E80" s="6"/>
      <c r="F80" s="48"/>
      <c r="G80" s="48"/>
      <c r="H80" s="48"/>
      <c r="I80" s="55"/>
      <c r="J80" s="55" t="s">
        <v>18</v>
      </c>
      <c r="K80" s="78" t="s">
        <v>114</v>
      </c>
      <c r="L80" s="10"/>
      <c r="M80" s="97">
        <v>11200000</v>
      </c>
      <c r="N80" s="94">
        <f>September!R80</f>
        <v>8690000</v>
      </c>
      <c r="O80" s="99">
        <f t="shared" si="9"/>
        <v>77.589285714285722</v>
      </c>
      <c r="P80" s="26"/>
      <c r="Q80" s="99">
        <f t="shared" si="10"/>
        <v>0</v>
      </c>
      <c r="R80" s="98">
        <f>N80+P80</f>
        <v>8690000</v>
      </c>
      <c r="S80" s="99">
        <f t="shared" si="11"/>
        <v>77.589285714285722</v>
      </c>
      <c r="T80" s="100">
        <f>4/4*100</f>
        <v>100</v>
      </c>
      <c r="U80" s="10"/>
      <c r="V80" s="10"/>
      <c r="W80" s="133"/>
    </row>
    <row r="81" spans="1:23" ht="15" customHeight="1" x14ac:dyDescent="0.25">
      <c r="A81" s="6"/>
      <c r="B81" s="7"/>
      <c r="C81" s="7"/>
      <c r="D81" s="6"/>
      <c r="E81" s="6"/>
      <c r="F81" s="48"/>
      <c r="G81" s="48"/>
      <c r="H81" s="48"/>
      <c r="I81" s="55"/>
      <c r="J81" s="55" t="s">
        <v>17</v>
      </c>
      <c r="K81" s="78" t="s">
        <v>115</v>
      </c>
      <c r="L81" s="10"/>
      <c r="M81" s="97">
        <v>1000000</v>
      </c>
      <c r="N81" s="94">
        <f>September!R81</f>
        <v>0</v>
      </c>
      <c r="O81" s="99">
        <f t="shared" si="9"/>
        <v>0</v>
      </c>
      <c r="P81" s="26"/>
      <c r="Q81" s="95">
        <f t="shared" si="10"/>
        <v>0</v>
      </c>
      <c r="R81" s="98">
        <f>N81+P81</f>
        <v>0</v>
      </c>
      <c r="S81" s="95">
        <f t="shared" si="11"/>
        <v>0</v>
      </c>
      <c r="T81" s="100">
        <f>0/1*100</f>
        <v>0</v>
      </c>
      <c r="U81" s="10"/>
      <c r="V81" s="10"/>
      <c r="W81" s="133"/>
    </row>
    <row r="82" spans="1:23" ht="9.9499999999999993" customHeight="1" x14ac:dyDescent="0.25">
      <c r="A82" s="8"/>
      <c r="B82" s="9"/>
      <c r="C82" s="9"/>
      <c r="D82" s="8"/>
      <c r="E82" s="8"/>
      <c r="F82" s="42"/>
      <c r="G82" s="42"/>
      <c r="H82" s="42"/>
      <c r="I82" s="55"/>
      <c r="J82" s="55"/>
      <c r="K82" s="78"/>
      <c r="L82" s="10"/>
      <c r="M82" s="97"/>
      <c r="N82" s="94">
        <f>September!R82</f>
        <v>0</v>
      </c>
      <c r="O82" s="99"/>
      <c r="P82" s="26"/>
      <c r="Q82" s="95"/>
      <c r="R82" s="98"/>
      <c r="S82" s="95"/>
      <c r="T82" s="100"/>
      <c r="U82" s="10"/>
      <c r="V82" s="10"/>
      <c r="W82" s="133"/>
    </row>
    <row r="83" spans="1:23" s="174" customFormat="1" ht="27" customHeight="1" x14ac:dyDescent="0.25">
      <c r="A83" s="8">
        <v>1</v>
      </c>
      <c r="B83" s="9" t="s">
        <v>17</v>
      </c>
      <c r="C83" s="9" t="s">
        <v>18</v>
      </c>
      <c r="D83" s="8">
        <v>38</v>
      </c>
      <c r="E83" s="8">
        <v>14</v>
      </c>
      <c r="F83" s="42" t="s">
        <v>21</v>
      </c>
      <c r="G83" s="42" t="s">
        <v>22</v>
      </c>
      <c r="H83" s="42" t="s">
        <v>24</v>
      </c>
      <c r="I83" s="60" t="s">
        <v>78</v>
      </c>
      <c r="J83" s="60"/>
      <c r="K83" s="79" t="s">
        <v>116</v>
      </c>
      <c r="L83" s="127"/>
      <c r="M83" s="103">
        <f>M84</f>
        <v>26000000</v>
      </c>
      <c r="N83" s="94">
        <f>September!R83</f>
        <v>0</v>
      </c>
      <c r="O83" s="95">
        <f t="shared" si="9"/>
        <v>0</v>
      </c>
      <c r="P83" s="147">
        <f>P84</f>
        <v>0</v>
      </c>
      <c r="Q83" s="95">
        <f t="shared" si="10"/>
        <v>0</v>
      </c>
      <c r="R83" s="104">
        <f>R84</f>
        <v>0</v>
      </c>
      <c r="S83" s="95">
        <f t="shared" si="11"/>
        <v>0</v>
      </c>
      <c r="T83" s="96">
        <f>T84</f>
        <v>0</v>
      </c>
      <c r="U83" s="127"/>
      <c r="V83" s="127"/>
      <c r="W83" s="173"/>
    </row>
    <row r="84" spans="1:23" ht="15" customHeight="1" x14ac:dyDescent="0.25">
      <c r="A84" s="6"/>
      <c r="B84" s="7"/>
      <c r="C84" s="7"/>
      <c r="D84" s="6"/>
      <c r="E84" s="6"/>
      <c r="F84" s="48"/>
      <c r="G84" s="48"/>
      <c r="H84" s="48"/>
      <c r="I84" s="55"/>
      <c r="J84" s="55" t="s">
        <v>117</v>
      </c>
      <c r="K84" s="78" t="s">
        <v>118</v>
      </c>
      <c r="L84" s="10"/>
      <c r="M84" s="97">
        <v>26000000</v>
      </c>
      <c r="N84" s="94">
        <f>September!R84</f>
        <v>0</v>
      </c>
      <c r="O84" s="99">
        <f t="shared" si="9"/>
        <v>0</v>
      </c>
      <c r="P84" s="26"/>
      <c r="Q84" s="95">
        <f t="shared" si="10"/>
        <v>0</v>
      </c>
      <c r="R84" s="98">
        <f>N84+P84</f>
        <v>0</v>
      </c>
      <c r="S84" s="95">
        <f t="shared" si="11"/>
        <v>0</v>
      </c>
      <c r="T84" s="100">
        <f>0/2*100</f>
        <v>0</v>
      </c>
      <c r="U84" s="10"/>
      <c r="V84" s="10"/>
      <c r="W84" s="133"/>
    </row>
    <row r="85" spans="1:23" ht="9.9499999999999993" customHeight="1" x14ac:dyDescent="0.25">
      <c r="A85" s="8"/>
      <c r="B85" s="9"/>
      <c r="C85" s="9"/>
      <c r="D85" s="8"/>
      <c r="E85" s="8"/>
      <c r="F85" s="42"/>
      <c r="G85" s="42"/>
      <c r="H85" s="42"/>
      <c r="I85" s="55"/>
      <c r="J85" s="55"/>
      <c r="K85" s="78"/>
      <c r="L85" s="10"/>
      <c r="M85" s="97"/>
      <c r="N85" s="94">
        <f>September!R85</f>
        <v>0</v>
      </c>
      <c r="O85" s="99"/>
      <c r="P85" s="26"/>
      <c r="Q85" s="95"/>
      <c r="R85" s="98"/>
      <c r="S85" s="95"/>
      <c r="T85" s="100"/>
      <c r="U85" s="10"/>
      <c r="V85" s="10"/>
      <c r="W85" s="133"/>
    </row>
    <row r="86" spans="1:23" s="174" customFormat="1" ht="27" customHeight="1" x14ac:dyDescent="0.25">
      <c r="A86" s="8">
        <v>1</v>
      </c>
      <c r="B86" s="9" t="s">
        <v>17</v>
      </c>
      <c r="C86" s="9" t="s">
        <v>18</v>
      </c>
      <c r="D86" s="8">
        <v>38</v>
      </c>
      <c r="E86" s="8">
        <v>14</v>
      </c>
      <c r="F86" s="42" t="s">
        <v>21</v>
      </c>
      <c r="G86" s="42" t="s">
        <v>22</v>
      </c>
      <c r="H86" s="42" t="s">
        <v>24</v>
      </c>
      <c r="I86" s="60" t="s">
        <v>119</v>
      </c>
      <c r="J86" s="60"/>
      <c r="K86" s="79" t="s">
        <v>120</v>
      </c>
      <c r="L86" s="127"/>
      <c r="M86" s="103">
        <f>M87</f>
        <v>14000000</v>
      </c>
      <c r="N86" s="94">
        <f>September!R86</f>
        <v>12180000</v>
      </c>
      <c r="O86" s="95">
        <f t="shared" si="9"/>
        <v>87</v>
      </c>
      <c r="P86" s="147">
        <f>P87</f>
        <v>0</v>
      </c>
      <c r="Q86" s="95">
        <f t="shared" si="10"/>
        <v>0</v>
      </c>
      <c r="R86" s="104">
        <f>R87</f>
        <v>12180000</v>
      </c>
      <c r="S86" s="95">
        <f t="shared" si="11"/>
        <v>87</v>
      </c>
      <c r="T86" s="96">
        <f>T87</f>
        <v>100</v>
      </c>
      <c r="U86" s="127"/>
      <c r="V86" s="127"/>
      <c r="W86" s="173"/>
    </row>
    <row r="87" spans="1:23" ht="15" customHeight="1" x14ac:dyDescent="0.25">
      <c r="A87" s="6"/>
      <c r="B87" s="7"/>
      <c r="C87" s="7"/>
      <c r="D87" s="6"/>
      <c r="E87" s="6"/>
      <c r="F87" s="157"/>
      <c r="G87" s="157"/>
      <c r="H87" s="157"/>
      <c r="I87" s="48"/>
      <c r="J87" s="48" t="s">
        <v>17</v>
      </c>
      <c r="K87" s="78" t="s">
        <v>121</v>
      </c>
      <c r="L87" s="10"/>
      <c r="M87" s="107">
        <v>14000000</v>
      </c>
      <c r="N87" s="94">
        <f>September!R87</f>
        <v>12180000</v>
      </c>
      <c r="O87" s="99">
        <f t="shared" si="9"/>
        <v>87</v>
      </c>
      <c r="P87" s="108"/>
      <c r="Q87" s="99">
        <f t="shared" si="10"/>
        <v>0</v>
      </c>
      <c r="R87" s="108">
        <f>N87+P87</f>
        <v>12180000</v>
      </c>
      <c r="S87" s="99">
        <f t="shared" si="11"/>
        <v>87</v>
      </c>
      <c r="T87" s="100">
        <f>2/2*100</f>
        <v>100</v>
      </c>
      <c r="U87" s="10"/>
      <c r="V87" s="10"/>
      <c r="W87" s="133"/>
    </row>
    <row r="88" spans="1:23" ht="9.9499999999999993" customHeight="1" x14ac:dyDescent="0.25">
      <c r="A88" s="63"/>
      <c r="B88" s="63"/>
      <c r="C88" s="63"/>
      <c r="D88" s="63"/>
      <c r="E88" s="63"/>
      <c r="F88" s="42"/>
      <c r="G88" s="42"/>
      <c r="H88" s="42"/>
      <c r="I88" s="42"/>
      <c r="J88" s="65"/>
      <c r="K88" s="92"/>
      <c r="L88" s="10"/>
      <c r="M88" s="107"/>
      <c r="N88" s="94">
        <f>September!R88</f>
        <v>0</v>
      </c>
      <c r="O88" s="99"/>
      <c r="P88" s="26"/>
      <c r="Q88" s="95"/>
      <c r="R88" s="108"/>
      <c r="S88" s="95"/>
      <c r="T88" s="100"/>
      <c r="U88" s="10"/>
      <c r="V88" s="10"/>
      <c r="W88" s="133"/>
    </row>
    <row r="89" spans="1:23" s="174" customFormat="1" ht="27" customHeight="1" x14ac:dyDescent="0.25">
      <c r="A89" s="8">
        <v>1</v>
      </c>
      <c r="B89" s="9" t="s">
        <v>17</v>
      </c>
      <c r="C89" s="9" t="s">
        <v>18</v>
      </c>
      <c r="D89" s="8">
        <v>38</v>
      </c>
      <c r="E89" s="8">
        <v>14</v>
      </c>
      <c r="F89" s="42" t="s">
        <v>21</v>
      </c>
      <c r="G89" s="42" t="s">
        <v>22</v>
      </c>
      <c r="H89" s="42" t="s">
        <v>24</v>
      </c>
      <c r="I89" s="42" t="s">
        <v>122</v>
      </c>
      <c r="J89" s="71"/>
      <c r="K89" s="150" t="s">
        <v>123</v>
      </c>
      <c r="L89" s="127"/>
      <c r="M89" s="105">
        <f>M90</f>
        <v>9000000</v>
      </c>
      <c r="N89" s="94">
        <f>September!R89</f>
        <v>7740000</v>
      </c>
      <c r="O89" s="95">
        <f t="shared" si="9"/>
        <v>86</v>
      </c>
      <c r="P89" s="147">
        <f>P90</f>
        <v>0</v>
      </c>
      <c r="Q89" s="95">
        <f t="shared" si="10"/>
        <v>0</v>
      </c>
      <c r="R89" s="106">
        <f>R90</f>
        <v>7740000</v>
      </c>
      <c r="S89" s="95">
        <f t="shared" si="11"/>
        <v>86</v>
      </c>
      <c r="T89" s="96">
        <f>T90</f>
        <v>100</v>
      </c>
      <c r="U89" s="127"/>
      <c r="V89" s="127"/>
      <c r="W89" s="173"/>
    </row>
    <row r="90" spans="1:23" ht="15" customHeight="1" x14ac:dyDescent="0.25">
      <c r="A90" s="63"/>
      <c r="B90" s="63"/>
      <c r="C90" s="63"/>
      <c r="D90" s="63"/>
      <c r="E90" s="63"/>
      <c r="F90" s="48"/>
      <c r="G90" s="48"/>
      <c r="H90" s="48"/>
      <c r="I90" s="48"/>
      <c r="J90" s="65" t="s">
        <v>34</v>
      </c>
      <c r="K90" s="92" t="s">
        <v>124</v>
      </c>
      <c r="L90" s="10"/>
      <c r="M90" s="107">
        <v>9000000</v>
      </c>
      <c r="N90" s="94">
        <f>September!R90</f>
        <v>7740000</v>
      </c>
      <c r="O90" s="99">
        <f t="shared" si="9"/>
        <v>86</v>
      </c>
      <c r="P90" s="26"/>
      <c r="Q90" s="99">
        <f t="shared" si="10"/>
        <v>0</v>
      </c>
      <c r="R90" s="108">
        <f>N90+P90</f>
        <v>7740000</v>
      </c>
      <c r="S90" s="99">
        <f t="shared" si="11"/>
        <v>86</v>
      </c>
      <c r="T90" s="100">
        <f>3/3*100</f>
        <v>100</v>
      </c>
      <c r="U90" s="10"/>
      <c r="V90" s="10"/>
      <c r="W90" s="133"/>
    </row>
    <row r="91" spans="1:23" ht="9.9499999999999993" customHeight="1" x14ac:dyDescent="0.25">
      <c r="A91" s="63"/>
      <c r="B91" s="63"/>
      <c r="C91" s="63"/>
      <c r="D91" s="63"/>
      <c r="E91" s="63"/>
      <c r="F91" s="42"/>
      <c r="G91" s="42"/>
      <c r="H91" s="42"/>
      <c r="I91" s="42"/>
      <c r="J91" s="65"/>
      <c r="K91" s="92"/>
      <c r="L91" s="10"/>
      <c r="M91" s="107"/>
      <c r="N91" s="94"/>
      <c r="O91" s="99"/>
      <c r="P91" s="26"/>
      <c r="Q91" s="99"/>
      <c r="R91" s="108"/>
      <c r="S91" s="99"/>
      <c r="T91" s="100"/>
      <c r="U91" s="10"/>
      <c r="V91" s="10"/>
      <c r="W91" s="133"/>
    </row>
    <row r="92" spans="1:23" x14ac:dyDescent="0.25">
      <c r="A92" s="171"/>
      <c r="B92" s="171"/>
      <c r="C92" s="171"/>
      <c r="D92" s="171"/>
      <c r="E92" s="171"/>
      <c r="F92" s="171"/>
      <c r="G92" s="171"/>
      <c r="H92" s="171"/>
      <c r="I92" s="171"/>
      <c r="J92" s="171"/>
      <c r="K92" s="171"/>
      <c r="L92" s="171"/>
      <c r="M92" s="175"/>
      <c r="N92" s="171"/>
      <c r="O92" s="171"/>
      <c r="P92" s="171"/>
      <c r="Q92" s="171"/>
      <c r="R92" s="171"/>
      <c r="S92" s="171"/>
      <c r="T92" s="171"/>
      <c r="U92" s="171"/>
      <c r="V92" s="171"/>
      <c r="W92" s="171"/>
    </row>
    <row r="93" spans="1:23" x14ac:dyDescent="0.25">
      <c r="A93" s="171"/>
      <c r="B93" s="171"/>
      <c r="C93" s="171"/>
      <c r="D93" s="171"/>
      <c r="E93" s="171"/>
      <c r="F93" s="171"/>
      <c r="G93" s="171"/>
      <c r="H93" s="171"/>
      <c r="I93" s="171"/>
      <c r="J93" s="171"/>
      <c r="K93" s="171"/>
      <c r="L93" s="171"/>
      <c r="M93" s="175"/>
      <c r="N93" s="171"/>
      <c r="O93" s="171"/>
      <c r="P93" s="192" t="s">
        <v>135</v>
      </c>
      <c r="Q93" s="192"/>
      <c r="R93" s="192"/>
      <c r="S93" s="192"/>
      <c r="T93" s="192"/>
      <c r="U93" s="192"/>
      <c r="V93" s="192"/>
      <c r="W93" s="176"/>
    </row>
    <row r="94" spans="1:23" x14ac:dyDescent="0.25">
      <c r="A94" s="171"/>
      <c r="B94" s="171"/>
      <c r="C94" s="171"/>
      <c r="D94" s="171"/>
      <c r="E94" s="171"/>
      <c r="F94" s="171"/>
      <c r="G94" s="171"/>
      <c r="H94" s="171"/>
      <c r="I94" s="171"/>
      <c r="J94" s="171"/>
      <c r="K94" s="171"/>
      <c r="L94" s="171"/>
      <c r="M94" s="175"/>
      <c r="N94" s="171"/>
      <c r="O94" s="171"/>
      <c r="P94" s="192" t="s">
        <v>46</v>
      </c>
      <c r="Q94" s="192"/>
      <c r="R94" s="192"/>
      <c r="S94" s="192"/>
      <c r="T94" s="192"/>
      <c r="U94" s="192"/>
      <c r="V94" s="192"/>
      <c r="W94" s="176"/>
    </row>
    <row r="95" spans="1:23" x14ac:dyDescent="0.25">
      <c r="A95" s="171"/>
      <c r="B95" s="171"/>
      <c r="C95" s="171"/>
      <c r="D95" s="171"/>
      <c r="E95" s="171"/>
      <c r="F95" s="171"/>
      <c r="G95" s="171"/>
      <c r="H95" s="171"/>
      <c r="I95" s="171"/>
      <c r="J95" s="171"/>
      <c r="K95" s="171"/>
      <c r="L95" s="171"/>
      <c r="M95" s="175"/>
      <c r="N95" s="171"/>
      <c r="O95" s="171"/>
      <c r="P95" s="177"/>
      <c r="Q95" s="177"/>
      <c r="R95" s="177"/>
      <c r="S95" s="177"/>
      <c r="T95" s="177"/>
      <c r="U95" s="177"/>
      <c r="V95" s="177"/>
      <c r="W95" s="171"/>
    </row>
    <row r="96" spans="1:23" x14ac:dyDescent="0.25">
      <c r="A96" s="171"/>
      <c r="B96" s="171"/>
      <c r="C96" s="171"/>
      <c r="D96" s="171"/>
      <c r="E96" s="171"/>
      <c r="F96" s="171"/>
      <c r="G96" s="171"/>
      <c r="H96" s="171"/>
      <c r="I96" s="171"/>
      <c r="J96" s="171"/>
      <c r="K96" s="171"/>
      <c r="L96" s="171"/>
      <c r="M96" s="175"/>
      <c r="N96" s="171"/>
      <c r="O96" s="171"/>
      <c r="P96" s="177"/>
      <c r="Q96" s="177"/>
      <c r="R96" s="177"/>
      <c r="S96" s="177"/>
      <c r="T96" s="177"/>
      <c r="U96" s="177"/>
      <c r="V96" s="177"/>
      <c r="W96" s="171"/>
    </row>
    <row r="97" spans="1:23" x14ac:dyDescent="0.25">
      <c r="A97" s="171"/>
      <c r="B97" s="171"/>
      <c r="C97" s="171"/>
      <c r="D97" s="171"/>
      <c r="E97" s="171"/>
      <c r="F97" s="171"/>
      <c r="G97" s="171"/>
      <c r="H97" s="171"/>
      <c r="I97" s="171"/>
      <c r="J97" s="171"/>
      <c r="K97" s="171"/>
      <c r="L97" s="171"/>
      <c r="M97" s="175"/>
      <c r="N97" s="171"/>
      <c r="O97" s="171"/>
      <c r="P97" s="177"/>
      <c r="Q97" s="177"/>
      <c r="R97" s="177"/>
      <c r="S97" s="177"/>
      <c r="T97" s="177"/>
      <c r="U97" s="177"/>
      <c r="V97" s="177"/>
      <c r="W97" s="171"/>
    </row>
    <row r="98" spans="1:23" x14ac:dyDescent="0.25">
      <c r="A98" s="171"/>
      <c r="B98" s="171"/>
      <c r="C98" s="171"/>
      <c r="D98" s="171"/>
      <c r="E98" s="171"/>
      <c r="F98" s="171"/>
      <c r="G98" s="171"/>
      <c r="H98" s="171"/>
      <c r="I98" s="171"/>
      <c r="J98" s="171"/>
      <c r="K98" s="171"/>
      <c r="L98" s="171"/>
      <c r="M98" s="175"/>
      <c r="N98" s="171"/>
      <c r="O98" s="171"/>
      <c r="P98" s="193" t="s">
        <v>70</v>
      </c>
      <c r="Q98" s="193"/>
      <c r="R98" s="193"/>
      <c r="S98" s="193"/>
      <c r="T98" s="193"/>
      <c r="U98" s="193"/>
      <c r="V98" s="193"/>
      <c r="W98" s="178"/>
    </row>
    <row r="99" spans="1:23" x14ac:dyDescent="0.25">
      <c r="A99" s="171"/>
      <c r="B99" s="171"/>
      <c r="C99" s="171"/>
      <c r="D99" s="171"/>
      <c r="E99" s="171"/>
      <c r="F99" s="171"/>
      <c r="G99" s="171"/>
      <c r="H99" s="171"/>
      <c r="I99" s="171"/>
      <c r="J99" s="171"/>
      <c r="K99" s="171"/>
      <c r="L99" s="171"/>
      <c r="M99" s="175"/>
      <c r="N99" s="171"/>
      <c r="O99" s="171"/>
      <c r="P99" s="189" t="s">
        <v>71</v>
      </c>
      <c r="Q99" s="189"/>
      <c r="R99" s="189"/>
      <c r="S99" s="189"/>
      <c r="T99" s="189"/>
      <c r="U99" s="189"/>
      <c r="V99" s="189"/>
      <c r="W99" s="179"/>
    </row>
  </sheetData>
  <mergeCells count="24"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T7"/>
    <mergeCell ref="N8:O8"/>
    <mergeCell ref="P8:Q8"/>
    <mergeCell ref="R8:S8"/>
    <mergeCell ref="P99:V99"/>
    <mergeCell ref="A10:J10"/>
    <mergeCell ref="L10:L11"/>
    <mergeCell ref="A11:J11"/>
    <mergeCell ref="P93:V93"/>
    <mergeCell ref="P94:V94"/>
    <mergeCell ref="P98:V98"/>
  </mergeCells>
  <pageMargins left="0.51181102362204722" right="0.39370078740157483" top="0.59055118110236227" bottom="0.39370078740157483" header="0.31496062992125984" footer="0.31496062992125984"/>
  <pageSetup paperSize="10000" scale="7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W104"/>
  <sheetViews>
    <sheetView topLeftCell="A10" workbookViewId="0">
      <selection activeCell="T19" sqref="T19"/>
    </sheetView>
  </sheetViews>
  <sheetFormatPr defaultRowHeight="15" x14ac:dyDescent="0.25"/>
  <cols>
    <col min="1" max="8" width="2.7109375" style="168" customWidth="1"/>
    <col min="9" max="9" width="3.140625" style="168" customWidth="1"/>
    <col min="10" max="10" width="3.5703125" style="168" customWidth="1"/>
    <col min="11" max="11" width="44.5703125" style="168" customWidth="1"/>
    <col min="12" max="12" width="11" style="168" customWidth="1"/>
    <col min="13" max="13" width="14.5703125" style="170" customWidth="1"/>
    <col min="14" max="14" width="13" style="168" customWidth="1"/>
    <col min="15" max="15" width="7.5703125" style="168" customWidth="1"/>
    <col min="16" max="16" width="13.28515625" style="168" customWidth="1"/>
    <col min="17" max="17" width="8" style="168" customWidth="1"/>
    <col min="18" max="18" width="13" style="168" customWidth="1"/>
    <col min="19" max="19" width="9.42578125" style="168" customWidth="1"/>
    <col min="20" max="20" width="11.140625" style="168" customWidth="1"/>
    <col min="21" max="21" width="15.5703125" style="168" customWidth="1"/>
    <col min="22" max="22" width="22.42578125" style="168" customWidth="1"/>
    <col min="23" max="23" width="18.28515625" style="168" customWidth="1"/>
    <col min="24" max="24" width="15.5703125" style="168" bestFit="1" customWidth="1"/>
    <col min="25" max="25" width="12.85546875" style="168" bestFit="1" customWidth="1"/>
    <col min="26" max="16384" width="9.140625" style="168"/>
  </cols>
  <sheetData>
    <row r="1" spans="1:23" ht="16.5" x14ac:dyDescent="0.25">
      <c r="A1" s="194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67"/>
    </row>
    <row r="2" spans="1:23" ht="16.5" x14ac:dyDescent="0.25">
      <c r="A2" s="194" t="s">
        <v>72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67"/>
    </row>
    <row r="3" spans="1:23" ht="16.5" x14ac:dyDescent="0.25">
      <c r="A3" s="194" t="s">
        <v>73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67"/>
    </row>
    <row r="4" spans="1:23" ht="16.5" x14ac:dyDescent="0.25">
      <c r="A4" s="194" t="s">
        <v>97</v>
      </c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67"/>
    </row>
    <row r="5" spans="1:23" ht="18" x14ac:dyDescent="0.25">
      <c r="A5" s="169"/>
      <c r="B5" s="169"/>
      <c r="C5" s="169"/>
      <c r="D5" s="169"/>
      <c r="E5" s="169"/>
    </row>
    <row r="6" spans="1:23" x14ac:dyDescent="0.25">
      <c r="A6" s="195" t="s">
        <v>1</v>
      </c>
      <c r="B6" s="195"/>
      <c r="C6" s="195"/>
      <c r="D6" s="195"/>
      <c r="E6" s="195"/>
      <c r="F6" s="195"/>
      <c r="G6" s="195"/>
      <c r="H6" s="195"/>
      <c r="I6" s="195"/>
      <c r="J6" s="195"/>
      <c r="K6" s="195" t="s">
        <v>2</v>
      </c>
      <c r="L6" s="188" t="s">
        <v>3</v>
      </c>
      <c r="M6" s="196" t="s">
        <v>4</v>
      </c>
      <c r="N6" s="195" t="s">
        <v>5</v>
      </c>
      <c r="O6" s="195"/>
      <c r="P6" s="195"/>
      <c r="Q6" s="195"/>
      <c r="R6" s="195"/>
      <c r="S6" s="195"/>
      <c r="T6" s="195"/>
      <c r="U6" s="188" t="s">
        <v>6</v>
      </c>
      <c r="V6" s="188" t="s">
        <v>7</v>
      </c>
      <c r="W6" s="21"/>
    </row>
    <row r="7" spans="1:23" x14ac:dyDescent="0.25">
      <c r="A7" s="195"/>
      <c r="B7" s="195"/>
      <c r="C7" s="195"/>
      <c r="D7" s="195"/>
      <c r="E7" s="195"/>
      <c r="F7" s="195"/>
      <c r="G7" s="195"/>
      <c r="H7" s="195"/>
      <c r="I7" s="195"/>
      <c r="J7" s="195"/>
      <c r="K7" s="195"/>
      <c r="L7" s="188"/>
      <c r="M7" s="196"/>
      <c r="N7" s="200" t="s">
        <v>8</v>
      </c>
      <c r="O7" s="201"/>
      <c r="P7" s="200" t="s">
        <v>9</v>
      </c>
      <c r="Q7" s="201"/>
      <c r="R7" s="202" t="s">
        <v>10</v>
      </c>
      <c r="S7" s="203"/>
      <c r="T7" s="204"/>
      <c r="U7" s="188"/>
      <c r="V7" s="188"/>
      <c r="W7" s="21"/>
    </row>
    <row r="8" spans="1:23" x14ac:dyDescent="0.25">
      <c r="A8" s="195"/>
      <c r="B8" s="195"/>
      <c r="C8" s="195"/>
      <c r="D8" s="195"/>
      <c r="E8" s="195"/>
      <c r="F8" s="195"/>
      <c r="G8" s="195"/>
      <c r="H8" s="195"/>
      <c r="I8" s="195"/>
      <c r="J8" s="195"/>
      <c r="K8" s="195"/>
      <c r="L8" s="188"/>
      <c r="M8" s="196"/>
      <c r="N8" s="188" t="s">
        <v>11</v>
      </c>
      <c r="O8" s="188"/>
      <c r="P8" s="188" t="s">
        <v>11</v>
      </c>
      <c r="Q8" s="188"/>
      <c r="R8" s="188" t="s">
        <v>11</v>
      </c>
      <c r="S8" s="188"/>
      <c r="T8" s="151" t="s">
        <v>12</v>
      </c>
      <c r="U8" s="188"/>
      <c r="V8" s="188"/>
      <c r="W8" s="21"/>
    </row>
    <row r="9" spans="1:23" x14ac:dyDescent="0.25">
      <c r="A9" s="195"/>
      <c r="B9" s="195"/>
      <c r="C9" s="195"/>
      <c r="D9" s="195"/>
      <c r="E9" s="195"/>
      <c r="F9" s="195"/>
      <c r="G9" s="195"/>
      <c r="H9" s="195"/>
      <c r="I9" s="195"/>
      <c r="J9" s="195"/>
      <c r="K9" s="195"/>
      <c r="L9" s="188"/>
      <c r="M9" s="196"/>
      <c r="N9" s="151" t="s">
        <v>13</v>
      </c>
      <c r="O9" s="151" t="s">
        <v>14</v>
      </c>
      <c r="P9" s="151" t="s">
        <v>13</v>
      </c>
      <c r="Q9" s="151" t="s">
        <v>14</v>
      </c>
      <c r="R9" s="151" t="s">
        <v>13</v>
      </c>
      <c r="S9" s="151" t="s">
        <v>14</v>
      </c>
      <c r="T9" s="151" t="s">
        <v>14</v>
      </c>
      <c r="U9" s="188"/>
      <c r="V9" s="188"/>
      <c r="W9" s="21"/>
    </row>
    <row r="10" spans="1:23" s="171" customFormat="1" ht="25.5" x14ac:dyDescent="0.25">
      <c r="A10" s="190" t="s">
        <v>74</v>
      </c>
      <c r="B10" s="190"/>
      <c r="C10" s="190"/>
      <c r="D10" s="190"/>
      <c r="E10" s="190"/>
      <c r="F10" s="190"/>
      <c r="G10" s="190"/>
      <c r="H10" s="190"/>
      <c r="I10" s="190"/>
      <c r="J10" s="190"/>
      <c r="K10" s="76" t="s">
        <v>72</v>
      </c>
      <c r="L10" s="198" t="s">
        <v>15</v>
      </c>
      <c r="M10" s="32"/>
      <c r="N10" s="3"/>
      <c r="O10" s="153"/>
      <c r="P10" s="153"/>
      <c r="Q10" s="153"/>
      <c r="R10" s="153"/>
      <c r="S10" s="153"/>
      <c r="T10" s="153"/>
      <c r="U10" s="153"/>
      <c r="V10" s="153"/>
      <c r="W10" s="22"/>
    </row>
    <row r="11" spans="1:23" s="171" customFormat="1" ht="39.950000000000003" customHeight="1" x14ac:dyDescent="0.25">
      <c r="A11" s="190" t="s">
        <v>75</v>
      </c>
      <c r="B11" s="190"/>
      <c r="C11" s="190"/>
      <c r="D11" s="190"/>
      <c r="E11" s="190"/>
      <c r="F11" s="190"/>
      <c r="G11" s="190"/>
      <c r="H11" s="190"/>
      <c r="I11" s="190"/>
      <c r="J11" s="190"/>
      <c r="K11" s="76" t="s">
        <v>16</v>
      </c>
      <c r="L11" s="199"/>
      <c r="M11" s="33">
        <f>M12</f>
        <v>908784000</v>
      </c>
      <c r="N11" s="3"/>
      <c r="O11" s="153"/>
      <c r="P11" s="153"/>
      <c r="Q11" s="153"/>
      <c r="R11" s="5"/>
      <c r="S11" s="153"/>
      <c r="T11" s="153"/>
      <c r="U11" s="158"/>
      <c r="V11" s="153"/>
      <c r="W11" s="22"/>
    </row>
    <row r="12" spans="1:23" ht="20.100000000000001" customHeight="1" x14ac:dyDescent="0.25">
      <c r="A12" s="8">
        <v>1</v>
      </c>
      <c r="B12" s="9" t="s">
        <v>17</v>
      </c>
      <c r="C12" s="9" t="s">
        <v>18</v>
      </c>
      <c r="D12" s="8">
        <v>38</v>
      </c>
      <c r="E12" s="8">
        <v>14</v>
      </c>
      <c r="F12" s="38">
        <v>5</v>
      </c>
      <c r="G12" s="38">
        <v>2</v>
      </c>
      <c r="H12" s="38"/>
      <c r="I12" s="39"/>
      <c r="J12" s="40"/>
      <c r="K12" s="77" t="s">
        <v>19</v>
      </c>
      <c r="L12" s="159"/>
      <c r="M12" s="93">
        <f>M13+M14+M15</f>
        <v>908784000</v>
      </c>
      <c r="N12" s="94">
        <f>Oktober!R12</f>
        <v>512926720</v>
      </c>
      <c r="O12" s="95">
        <f>N12/M12*100</f>
        <v>56.440993679466189</v>
      </c>
      <c r="P12" s="94">
        <f>P13+P14+P15</f>
        <v>0</v>
      </c>
      <c r="Q12" s="95">
        <f>P12/M12*100</f>
        <v>0</v>
      </c>
      <c r="R12" s="94">
        <f>R13+R14+R15</f>
        <v>512926720</v>
      </c>
      <c r="S12" s="95">
        <f>R12/M12*100</f>
        <v>56.440993679466189</v>
      </c>
      <c r="T12" s="96">
        <f>SUM(T13:T15)/3</f>
        <v>2.7777777777777772</v>
      </c>
      <c r="U12" s="10"/>
      <c r="V12" s="160"/>
      <c r="W12" s="172"/>
    </row>
    <row r="13" spans="1:23" ht="20.100000000000001" customHeight="1" x14ac:dyDescent="0.25">
      <c r="A13" s="8">
        <v>1</v>
      </c>
      <c r="B13" s="9" t="s">
        <v>17</v>
      </c>
      <c r="C13" s="9" t="s">
        <v>18</v>
      </c>
      <c r="D13" s="8">
        <v>38</v>
      </c>
      <c r="E13" s="8">
        <v>14</v>
      </c>
      <c r="F13" s="41">
        <v>5</v>
      </c>
      <c r="G13" s="41">
        <v>2</v>
      </c>
      <c r="H13" s="41">
        <v>1</v>
      </c>
      <c r="I13" s="42"/>
      <c r="J13" s="43"/>
      <c r="K13" s="73" t="s">
        <v>20</v>
      </c>
      <c r="L13" s="159"/>
      <c r="M13" s="97">
        <f>M17</f>
        <v>545270400</v>
      </c>
      <c r="N13" s="94">
        <f>Oktober!R13</f>
        <v>326963520</v>
      </c>
      <c r="O13" s="99">
        <f t="shared" ref="O13:O76" si="0">N13/M13*100</f>
        <v>59.963555696403105</v>
      </c>
      <c r="P13" s="98">
        <f>P17</f>
        <v>0</v>
      </c>
      <c r="Q13" s="99">
        <f t="shared" ref="Q13:Q76" si="1">P13/M13*100</f>
        <v>0</v>
      </c>
      <c r="R13" s="98">
        <f>N13+P13</f>
        <v>326963520</v>
      </c>
      <c r="S13" s="99">
        <f t="shared" ref="S13:S76" si="2">R13/M13*100</f>
        <v>59.963555696403105</v>
      </c>
      <c r="T13" s="100">
        <f>T17</f>
        <v>8.3333333333333321</v>
      </c>
      <c r="U13" s="10"/>
      <c r="V13" s="10"/>
      <c r="W13" s="133"/>
    </row>
    <row r="14" spans="1:23" ht="20.100000000000001" customHeight="1" x14ac:dyDescent="0.25">
      <c r="A14" s="8">
        <v>1</v>
      </c>
      <c r="B14" s="9" t="s">
        <v>17</v>
      </c>
      <c r="C14" s="9" t="s">
        <v>18</v>
      </c>
      <c r="D14" s="8">
        <v>38</v>
      </c>
      <c r="E14" s="8">
        <v>14</v>
      </c>
      <c r="F14" s="42" t="s">
        <v>21</v>
      </c>
      <c r="G14" s="42" t="s">
        <v>22</v>
      </c>
      <c r="H14" s="42" t="s">
        <v>22</v>
      </c>
      <c r="I14" s="44"/>
      <c r="J14" s="45"/>
      <c r="K14" s="78" t="s">
        <v>23</v>
      </c>
      <c r="L14" s="11"/>
      <c r="M14" s="97">
        <f>M21</f>
        <v>294813600</v>
      </c>
      <c r="N14" s="94">
        <f>Oktober!R14</f>
        <v>149853200</v>
      </c>
      <c r="O14" s="99">
        <f t="shared" si="0"/>
        <v>50.829812464553868</v>
      </c>
      <c r="P14" s="98">
        <f>P21</f>
        <v>0</v>
      </c>
      <c r="Q14" s="99">
        <f t="shared" si="1"/>
        <v>0</v>
      </c>
      <c r="R14" s="98">
        <f>N14+P14</f>
        <v>149853200</v>
      </c>
      <c r="S14" s="99">
        <f t="shared" si="2"/>
        <v>50.829812464553868</v>
      </c>
      <c r="T14" s="100">
        <f>T21</f>
        <v>0</v>
      </c>
      <c r="U14" s="10"/>
      <c r="V14" s="10"/>
      <c r="W14" s="133"/>
    </row>
    <row r="15" spans="1:23" ht="20.100000000000001" customHeight="1" x14ac:dyDescent="0.25">
      <c r="A15" s="8">
        <v>1</v>
      </c>
      <c r="B15" s="9" t="s">
        <v>17</v>
      </c>
      <c r="C15" s="9" t="s">
        <v>18</v>
      </c>
      <c r="D15" s="8">
        <v>38</v>
      </c>
      <c r="E15" s="8">
        <v>14</v>
      </c>
      <c r="F15" s="42" t="s">
        <v>21</v>
      </c>
      <c r="G15" s="42" t="s">
        <v>22</v>
      </c>
      <c r="H15" s="42" t="s">
        <v>24</v>
      </c>
      <c r="I15" s="44"/>
      <c r="J15" s="45"/>
      <c r="K15" s="78" t="s">
        <v>25</v>
      </c>
      <c r="L15" s="11"/>
      <c r="M15" s="97">
        <f>M75</f>
        <v>68700000</v>
      </c>
      <c r="N15" s="94">
        <f>Oktober!R15</f>
        <v>36110000</v>
      </c>
      <c r="O15" s="99">
        <f t="shared" si="0"/>
        <v>52.561863173216885</v>
      </c>
      <c r="P15" s="98">
        <f>P75</f>
        <v>0</v>
      </c>
      <c r="Q15" s="99">
        <f t="shared" si="1"/>
        <v>0</v>
      </c>
      <c r="R15" s="98">
        <f>N15+P15</f>
        <v>36110000</v>
      </c>
      <c r="S15" s="99">
        <f t="shared" si="2"/>
        <v>52.561863173216885</v>
      </c>
      <c r="T15" s="100">
        <f>T75</f>
        <v>0</v>
      </c>
      <c r="U15" s="10"/>
      <c r="V15" s="10"/>
      <c r="W15" s="133"/>
    </row>
    <row r="16" spans="1:23" x14ac:dyDescent="0.25">
      <c r="A16" s="8"/>
      <c r="B16" s="9"/>
      <c r="C16" s="9"/>
      <c r="D16" s="8"/>
      <c r="E16" s="8"/>
      <c r="F16" s="42"/>
      <c r="G16" s="42"/>
      <c r="H16" s="42"/>
      <c r="I16" s="44"/>
      <c r="J16" s="45"/>
      <c r="K16" s="78"/>
      <c r="L16" s="11"/>
      <c r="M16" s="97"/>
      <c r="N16" s="94">
        <f>Oktober!R16</f>
        <v>0</v>
      </c>
      <c r="O16" s="99"/>
      <c r="P16" s="101"/>
      <c r="Q16" s="99"/>
      <c r="R16" s="101"/>
      <c r="S16" s="99"/>
      <c r="T16" s="102"/>
      <c r="U16" s="10"/>
      <c r="V16" s="10"/>
      <c r="W16" s="133"/>
    </row>
    <row r="17" spans="1:23" ht="20.100000000000001" customHeight="1" x14ac:dyDescent="0.25">
      <c r="A17" s="8">
        <v>1</v>
      </c>
      <c r="B17" s="9" t="s">
        <v>17</v>
      </c>
      <c r="C17" s="9" t="s">
        <v>18</v>
      </c>
      <c r="D17" s="8">
        <v>38</v>
      </c>
      <c r="E17" s="8">
        <v>14</v>
      </c>
      <c r="F17" s="42" t="s">
        <v>21</v>
      </c>
      <c r="G17" s="42" t="s">
        <v>22</v>
      </c>
      <c r="H17" s="42" t="s">
        <v>26</v>
      </c>
      <c r="I17" s="42"/>
      <c r="J17" s="46"/>
      <c r="K17" s="79" t="s">
        <v>20</v>
      </c>
      <c r="L17" s="11"/>
      <c r="M17" s="103">
        <f>M18</f>
        <v>545270400</v>
      </c>
      <c r="N17" s="94">
        <f>Oktober!R17</f>
        <v>326963520</v>
      </c>
      <c r="O17" s="99">
        <f t="shared" si="0"/>
        <v>59.963555696403105</v>
      </c>
      <c r="P17" s="104">
        <f>P18</f>
        <v>0</v>
      </c>
      <c r="Q17" s="95">
        <f t="shared" si="1"/>
        <v>0</v>
      </c>
      <c r="R17" s="104">
        <f>R18</f>
        <v>326963520</v>
      </c>
      <c r="S17" s="95">
        <f t="shared" si="2"/>
        <v>59.963555696403105</v>
      </c>
      <c r="T17" s="96">
        <f>T18</f>
        <v>8.3333333333333321</v>
      </c>
      <c r="U17" s="10"/>
      <c r="V17" s="10"/>
      <c r="W17" s="133"/>
    </row>
    <row r="18" spans="1:23" ht="20.100000000000001" customHeight="1" x14ac:dyDescent="0.25">
      <c r="A18" s="8">
        <v>1</v>
      </c>
      <c r="B18" s="9" t="s">
        <v>17</v>
      </c>
      <c r="C18" s="9" t="s">
        <v>18</v>
      </c>
      <c r="D18" s="8">
        <v>38</v>
      </c>
      <c r="E18" s="8">
        <v>14</v>
      </c>
      <c r="F18" s="41">
        <v>5</v>
      </c>
      <c r="G18" s="41">
        <v>2</v>
      </c>
      <c r="H18" s="41">
        <v>1</v>
      </c>
      <c r="I18" s="42" t="s">
        <v>30</v>
      </c>
      <c r="J18" s="47"/>
      <c r="K18" s="80" t="s">
        <v>31</v>
      </c>
      <c r="L18" s="159"/>
      <c r="M18" s="105">
        <f>M19</f>
        <v>545270400</v>
      </c>
      <c r="N18" s="94">
        <f>Oktober!R18</f>
        <v>326963520</v>
      </c>
      <c r="O18" s="99">
        <f t="shared" si="0"/>
        <v>59.963555696403105</v>
      </c>
      <c r="P18" s="106">
        <f>P19</f>
        <v>0</v>
      </c>
      <c r="Q18" s="95">
        <f t="shared" si="1"/>
        <v>0</v>
      </c>
      <c r="R18" s="106">
        <f>R19</f>
        <v>326963520</v>
      </c>
      <c r="S18" s="95">
        <f t="shared" si="2"/>
        <v>59.963555696403105</v>
      </c>
      <c r="T18" s="96">
        <f>T19</f>
        <v>8.3333333333333321</v>
      </c>
      <c r="U18" s="10"/>
      <c r="V18" s="10"/>
      <c r="W18" s="133"/>
    </row>
    <row r="19" spans="1:23" ht="15" customHeight="1" x14ac:dyDescent="0.25">
      <c r="A19" s="6"/>
      <c r="B19" s="7"/>
      <c r="C19" s="7"/>
      <c r="D19" s="6"/>
      <c r="E19" s="6"/>
      <c r="F19" s="41"/>
      <c r="G19" s="41"/>
      <c r="H19" s="41"/>
      <c r="I19" s="42"/>
      <c r="J19" s="43" t="s">
        <v>18</v>
      </c>
      <c r="K19" s="73" t="s">
        <v>32</v>
      </c>
      <c r="L19" s="161"/>
      <c r="M19" s="107">
        <v>545270400</v>
      </c>
      <c r="N19" s="94">
        <f>Oktober!R19</f>
        <v>326963520</v>
      </c>
      <c r="O19" s="99">
        <f t="shared" si="0"/>
        <v>59.963555696403105</v>
      </c>
      <c r="P19" s="26"/>
      <c r="Q19" s="99">
        <f t="shared" si="1"/>
        <v>0</v>
      </c>
      <c r="R19" s="108">
        <f>N19+P19</f>
        <v>326963520</v>
      </c>
      <c r="S19" s="99">
        <f>R19/M19*100</f>
        <v>59.963555696403105</v>
      </c>
      <c r="T19" s="100">
        <f>1/12*100</f>
        <v>8.3333333333333321</v>
      </c>
      <c r="U19" s="10"/>
      <c r="V19" s="10"/>
      <c r="W19" s="133"/>
    </row>
    <row r="20" spans="1:23" x14ac:dyDescent="0.25">
      <c r="A20" s="10"/>
      <c r="B20" s="10"/>
      <c r="C20" s="10"/>
      <c r="D20" s="10"/>
      <c r="E20" s="10"/>
      <c r="F20" s="121"/>
      <c r="G20" s="121"/>
      <c r="H20" s="121"/>
      <c r="I20" s="122"/>
      <c r="J20" s="123"/>
      <c r="K20" s="73"/>
      <c r="L20" s="78"/>
      <c r="M20" s="107"/>
      <c r="N20" s="94">
        <f>Oktober!R20</f>
        <v>0</v>
      </c>
      <c r="O20" s="99"/>
      <c r="P20" s="101"/>
      <c r="Q20" s="99"/>
      <c r="R20" s="101"/>
      <c r="S20" s="99"/>
      <c r="T20" s="109"/>
      <c r="U20" s="10"/>
      <c r="V20" s="10"/>
      <c r="W20" s="133"/>
    </row>
    <row r="21" spans="1:23" ht="20.100000000000001" customHeight="1" x14ac:dyDescent="0.25">
      <c r="A21" s="8">
        <v>1</v>
      </c>
      <c r="B21" s="9" t="s">
        <v>17</v>
      </c>
      <c r="C21" s="9" t="s">
        <v>18</v>
      </c>
      <c r="D21" s="8">
        <v>38</v>
      </c>
      <c r="E21" s="8">
        <v>14</v>
      </c>
      <c r="F21" s="42" t="s">
        <v>21</v>
      </c>
      <c r="G21" s="42" t="s">
        <v>22</v>
      </c>
      <c r="H21" s="42" t="s">
        <v>22</v>
      </c>
      <c r="I21" s="48"/>
      <c r="J21" s="49"/>
      <c r="K21" s="79" t="s">
        <v>23</v>
      </c>
      <c r="L21" s="11"/>
      <c r="M21" s="105">
        <f>M22+M31+M34+M42+M46+M52+M55+M58+M68+M72+M64+M39+M49</f>
        <v>294813600</v>
      </c>
      <c r="N21" s="94">
        <f>Oktober!R21</f>
        <v>145533200</v>
      </c>
      <c r="O21" s="95">
        <f t="shared" si="0"/>
        <v>49.364479793333821</v>
      </c>
      <c r="P21" s="106">
        <f>P22+P31+P34+P42+P46+P52+P55+P58+P68+P72+P39+P49</f>
        <v>0</v>
      </c>
      <c r="Q21" s="95">
        <f t="shared" si="1"/>
        <v>0</v>
      </c>
      <c r="R21" s="106">
        <f>R22+R31+R34+R42+R46+R52+R55+R58+R68+R72+R39+R49</f>
        <v>145533200</v>
      </c>
      <c r="S21" s="95">
        <f>R21/M21*100</f>
        <v>49.364479793333821</v>
      </c>
      <c r="T21" s="110">
        <f>(T22+T31+T34+T42+T46+T52+T55+T58+T68+T72+T39+T49)/13</f>
        <v>0</v>
      </c>
      <c r="U21" s="160"/>
      <c r="V21" s="10"/>
      <c r="W21" s="133"/>
    </row>
    <row r="22" spans="1:23" ht="20.100000000000001" customHeight="1" x14ac:dyDescent="0.25">
      <c r="A22" s="6">
        <v>1</v>
      </c>
      <c r="B22" s="9" t="s">
        <v>17</v>
      </c>
      <c r="C22" s="9" t="s">
        <v>18</v>
      </c>
      <c r="D22" s="8">
        <v>38</v>
      </c>
      <c r="E22" s="8">
        <v>14</v>
      </c>
      <c r="F22" s="42" t="s">
        <v>21</v>
      </c>
      <c r="G22" s="42" t="s">
        <v>22</v>
      </c>
      <c r="H22" s="42" t="s">
        <v>22</v>
      </c>
      <c r="I22" s="42" t="s">
        <v>18</v>
      </c>
      <c r="J22" s="43"/>
      <c r="K22" s="79" t="s">
        <v>33</v>
      </c>
      <c r="L22" s="17"/>
      <c r="M22" s="105">
        <f>SUM(M23:M29)</f>
        <v>119064100</v>
      </c>
      <c r="N22" s="94">
        <f>Oktober!R22</f>
        <v>53241300</v>
      </c>
      <c r="O22" s="95">
        <f t="shared" si="0"/>
        <v>44.716501447539599</v>
      </c>
      <c r="P22" s="111">
        <f>SUM(P23:P29)</f>
        <v>0</v>
      </c>
      <c r="Q22" s="95">
        <f t="shared" si="1"/>
        <v>0</v>
      </c>
      <c r="R22" s="111">
        <f>SUM(R23:R29)</f>
        <v>53241300</v>
      </c>
      <c r="S22" s="95">
        <f t="shared" si="2"/>
        <v>44.716501447539599</v>
      </c>
      <c r="T22" s="96">
        <f>SUM(T23:T29)/9</f>
        <v>0</v>
      </c>
      <c r="U22" s="10"/>
      <c r="V22" s="160"/>
      <c r="W22" s="133"/>
    </row>
    <row r="23" spans="1:23" ht="15" customHeight="1" x14ac:dyDescent="0.25">
      <c r="A23" s="10"/>
      <c r="B23" s="10"/>
      <c r="C23" s="10"/>
      <c r="D23" s="10"/>
      <c r="E23" s="10"/>
      <c r="F23" s="48"/>
      <c r="G23" s="48"/>
      <c r="H23" s="48"/>
      <c r="I23" s="48"/>
      <c r="J23" s="50" t="s">
        <v>18</v>
      </c>
      <c r="K23" s="81" t="s">
        <v>99</v>
      </c>
      <c r="L23" s="73"/>
      <c r="M23" s="97">
        <v>14306500</v>
      </c>
      <c r="N23" s="94">
        <f>Oktober!R23</f>
        <v>10860900</v>
      </c>
      <c r="O23" s="99">
        <f t="shared" si="0"/>
        <v>75.915842449236365</v>
      </c>
      <c r="P23" s="26"/>
      <c r="Q23" s="99">
        <f t="shared" si="1"/>
        <v>0</v>
      </c>
      <c r="R23" s="112">
        <f>N23+P23</f>
        <v>10860900</v>
      </c>
      <c r="S23" s="99">
        <f t="shared" si="2"/>
        <v>75.915842449236365</v>
      </c>
      <c r="T23" s="100">
        <f>0/23*100</f>
        <v>0</v>
      </c>
      <c r="U23" s="10"/>
      <c r="V23" s="10"/>
      <c r="W23" s="133"/>
    </row>
    <row r="24" spans="1:23" ht="30" customHeight="1" x14ac:dyDescent="0.25">
      <c r="A24" s="6"/>
      <c r="B24" s="7"/>
      <c r="C24" s="7"/>
      <c r="D24" s="6"/>
      <c r="E24" s="6"/>
      <c r="F24" s="48"/>
      <c r="G24" s="48"/>
      <c r="H24" s="48"/>
      <c r="I24" s="48"/>
      <c r="J24" s="50" t="s">
        <v>35</v>
      </c>
      <c r="K24" s="74" t="s">
        <v>100</v>
      </c>
      <c r="L24" s="12"/>
      <c r="M24" s="97">
        <v>780000</v>
      </c>
      <c r="N24" s="94">
        <f>Oktober!R24</f>
        <v>780000</v>
      </c>
      <c r="O24" s="99">
        <f t="shared" si="0"/>
        <v>100</v>
      </c>
      <c r="P24" s="101"/>
      <c r="Q24" s="99">
        <f t="shared" si="1"/>
        <v>0</v>
      </c>
      <c r="R24" s="112">
        <f>N24+P24</f>
        <v>780000</v>
      </c>
      <c r="S24" s="99">
        <f t="shared" si="2"/>
        <v>100</v>
      </c>
      <c r="T24" s="100">
        <f>0/2*100</f>
        <v>0</v>
      </c>
      <c r="U24" s="10"/>
      <c r="V24" s="10"/>
      <c r="W24" s="133"/>
    </row>
    <row r="25" spans="1:23" ht="15" customHeight="1" x14ac:dyDescent="0.25">
      <c r="A25" s="6"/>
      <c r="B25" s="7"/>
      <c r="C25" s="7"/>
      <c r="D25" s="6"/>
      <c r="E25" s="6"/>
      <c r="F25" s="48"/>
      <c r="G25" s="48"/>
      <c r="H25" s="48"/>
      <c r="I25" s="48"/>
      <c r="J25" s="43" t="s">
        <v>28</v>
      </c>
      <c r="K25" s="81" t="s">
        <v>101</v>
      </c>
      <c r="L25" s="12"/>
      <c r="M25" s="97">
        <v>2000000</v>
      </c>
      <c r="N25" s="94">
        <f>Oktober!R25</f>
        <v>150000</v>
      </c>
      <c r="O25" s="99">
        <f t="shared" si="0"/>
        <v>7.5</v>
      </c>
      <c r="P25" s="101"/>
      <c r="Q25" s="99">
        <f t="shared" si="1"/>
        <v>0</v>
      </c>
      <c r="R25" s="112">
        <f t="shared" ref="R25:R29" si="3">N25+P25</f>
        <v>150000</v>
      </c>
      <c r="S25" s="99">
        <f t="shared" si="2"/>
        <v>7.5</v>
      </c>
      <c r="T25" s="100">
        <f>0/10*100</f>
        <v>0</v>
      </c>
      <c r="U25" s="10"/>
      <c r="V25" s="10"/>
      <c r="W25" s="133"/>
    </row>
    <row r="26" spans="1:23" ht="15" customHeight="1" x14ac:dyDescent="0.25">
      <c r="A26" s="6"/>
      <c r="B26" s="7"/>
      <c r="C26" s="7"/>
      <c r="D26" s="6"/>
      <c r="E26" s="6"/>
      <c r="F26" s="48"/>
      <c r="G26" s="48"/>
      <c r="H26" s="48"/>
      <c r="I26" s="51"/>
      <c r="J26" s="43" t="s">
        <v>50</v>
      </c>
      <c r="K26" s="81" t="s">
        <v>102</v>
      </c>
      <c r="L26" s="12"/>
      <c r="M26" s="97">
        <v>800000</v>
      </c>
      <c r="N26" s="94">
        <f>Oktober!R26</f>
        <v>0</v>
      </c>
      <c r="O26" s="99">
        <f t="shared" si="0"/>
        <v>0</v>
      </c>
      <c r="P26" s="101"/>
      <c r="Q26" s="99">
        <f t="shared" si="1"/>
        <v>0</v>
      </c>
      <c r="R26" s="112">
        <f t="shared" si="3"/>
        <v>0</v>
      </c>
      <c r="S26" s="99">
        <f t="shared" si="2"/>
        <v>0</v>
      </c>
      <c r="T26" s="100">
        <f>0/2*100</f>
        <v>0</v>
      </c>
      <c r="U26" s="10"/>
      <c r="V26" s="10"/>
      <c r="W26" s="133"/>
    </row>
    <row r="27" spans="1:23" ht="15" customHeight="1" x14ac:dyDescent="0.25">
      <c r="A27" s="6"/>
      <c r="B27" s="7"/>
      <c r="C27" s="7"/>
      <c r="D27" s="6"/>
      <c r="E27" s="6"/>
      <c r="F27" s="121"/>
      <c r="G27" s="122"/>
      <c r="H27" s="122"/>
      <c r="I27" s="124"/>
      <c r="J27" s="52" t="s">
        <v>30</v>
      </c>
      <c r="K27" s="82" t="s">
        <v>103</v>
      </c>
      <c r="L27" s="12"/>
      <c r="M27" s="97">
        <v>2610000</v>
      </c>
      <c r="N27" s="94">
        <f>Oktober!R27</f>
        <v>1450000</v>
      </c>
      <c r="O27" s="99">
        <f t="shared" si="0"/>
        <v>55.555555555555557</v>
      </c>
      <c r="P27" s="132"/>
      <c r="Q27" s="99">
        <f t="shared" si="1"/>
        <v>0</v>
      </c>
      <c r="R27" s="112">
        <f t="shared" si="3"/>
        <v>1450000</v>
      </c>
      <c r="S27" s="113">
        <f t="shared" si="2"/>
        <v>55.555555555555557</v>
      </c>
      <c r="T27" s="100">
        <f>0/24*100</f>
        <v>0</v>
      </c>
      <c r="U27" s="10"/>
      <c r="V27" s="10"/>
      <c r="W27" s="133"/>
    </row>
    <row r="28" spans="1:23" ht="15" customHeight="1" x14ac:dyDescent="0.25">
      <c r="A28" s="6"/>
      <c r="B28" s="7"/>
      <c r="C28" s="7"/>
      <c r="D28" s="6"/>
      <c r="E28" s="6"/>
      <c r="F28" s="48"/>
      <c r="G28" s="48"/>
      <c r="H28" s="48"/>
      <c r="I28" s="53"/>
      <c r="J28" s="43" t="s">
        <v>37</v>
      </c>
      <c r="K28" s="74" t="s">
        <v>38</v>
      </c>
      <c r="L28" s="162"/>
      <c r="M28" s="97">
        <v>98117600</v>
      </c>
      <c r="N28" s="94">
        <f>Oktober!R28</f>
        <v>40000400</v>
      </c>
      <c r="O28" s="99">
        <f t="shared" si="0"/>
        <v>40.767813317896071</v>
      </c>
      <c r="P28" s="26"/>
      <c r="Q28" s="99">
        <f t="shared" si="1"/>
        <v>0</v>
      </c>
      <c r="R28" s="112">
        <f t="shared" si="3"/>
        <v>40000400</v>
      </c>
      <c r="S28" s="99">
        <f t="shared" si="2"/>
        <v>40.767813317896071</v>
      </c>
      <c r="T28" s="100">
        <f>0/2*100</f>
        <v>0</v>
      </c>
      <c r="U28" s="10"/>
      <c r="V28" s="10"/>
      <c r="W28" s="133"/>
    </row>
    <row r="29" spans="1:23" ht="15" customHeight="1" x14ac:dyDescent="0.25">
      <c r="A29" s="6"/>
      <c r="B29" s="7"/>
      <c r="C29" s="7"/>
      <c r="D29" s="6"/>
      <c r="E29" s="6"/>
      <c r="F29" s="48"/>
      <c r="G29" s="48"/>
      <c r="H29" s="48"/>
      <c r="I29" s="48"/>
      <c r="J29" s="43" t="s">
        <v>44</v>
      </c>
      <c r="K29" s="74" t="s">
        <v>104</v>
      </c>
      <c r="L29" s="161"/>
      <c r="M29" s="97">
        <v>450000</v>
      </c>
      <c r="N29" s="94">
        <f>Oktober!R29</f>
        <v>0</v>
      </c>
      <c r="O29" s="99">
        <f t="shared" si="0"/>
        <v>0</v>
      </c>
      <c r="P29" s="101"/>
      <c r="Q29" s="99">
        <f t="shared" si="1"/>
        <v>0</v>
      </c>
      <c r="R29" s="112">
        <f t="shared" si="3"/>
        <v>0</v>
      </c>
      <c r="S29" s="99">
        <f t="shared" si="2"/>
        <v>0</v>
      </c>
      <c r="T29" s="100">
        <f>0/3*100</f>
        <v>0</v>
      </c>
      <c r="U29" s="10"/>
      <c r="V29" s="10"/>
      <c r="W29" s="133"/>
    </row>
    <row r="30" spans="1:23" x14ac:dyDescent="0.25">
      <c r="A30" s="6"/>
      <c r="B30" s="7"/>
      <c r="C30" s="7"/>
      <c r="D30" s="6"/>
      <c r="E30" s="6"/>
      <c r="F30" s="54"/>
      <c r="G30" s="54"/>
      <c r="H30" s="54"/>
      <c r="I30" s="55"/>
      <c r="J30" s="56"/>
      <c r="K30" s="83"/>
      <c r="L30" s="163"/>
      <c r="M30" s="115"/>
      <c r="N30" s="94">
        <f>Oktober!R30</f>
        <v>0</v>
      </c>
      <c r="O30" s="99"/>
      <c r="P30" s="101"/>
      <c r="Q30" s="99"/>
      <c r="R30" s="101"/>
      <c r="S30" s="99"/>
      <c r="T30" s="101"/>
      <c r="U30" s="10"/>
      <c r="V30" s="10"/>
      <c r="W30" s="133"/>
    </row>
    <row r="31" spans="1:23" ht="20.100000000000001" customHeight="1" x14ac:dyDescent="0.25">
      <c r="A31" s="8">
        <v>1</v>
      </c>
      <c r="B31" s="9" t="s">
        <v>17</v>
      </c>
      <c r="C31" s="9" t="s">
        <v>18</v>
      </c>
      <c r="D31" s="8">
        <v>38</v>
      </c>
      <c r="E31" s="8">
        <v>14</v>
      </c>
      <c r="F31" s="41">
        <v>5</v>
      </c>
      <c r="G31" s="41">
        <v>2</v>
      </c>
      <c r="H31" s="41">
        <v>2</v>
      </c>
      <c r="I31" s="42" t="s">
        <v>17</v>
      </c>
      <c r="J31" s="46"/>
      <c r="K31" s="80" t="s">
        <v>39</v>
      </c>
      <c r="L31" s="14"/>
      <c r="M31" s="105">
        <f>M32</f>
        <v>2400000</v>
      </c>
      <c r="N31" s="94">
        <f>Oktober!R31</f>
        <v>2000000</v>
      </c>
      <c r="O31" s="99">
        <f t="shared" si="0"/>
        <v>83.333333333333343</v>
      </c>
      <c r="P31" s="94">
        <f>P32</f>
        <v>0</v>
      </c>
      <c r="Q31" s="95">
        <f t="shared" si="1"/>
        <v>0</v>
      </c>
      <c r="R31" s="116">
        <f>R32</f>
        <v>2000000</v>
      </c>
      <c r="S31" s="95">
        <f t="shared" si="2"/>
        <v>83.333333333333343</v>
      </c>
      <c r="T31" s="95">
        <f>(T32)/1</f>
        <v>0</v>
      </c>
      <c r="U31" s="10"/>
      <c r="V31" s="10"/>
      <c r="W31" s="133"/>
    </row>
    <row r="32" spans="1:23" ht="15" customHeight="1" x14ac:dyDescent="0.25">
      <c r="A32" s="6"/>
      <c r="B32" s="7"/>
      <c r="C32" s="7"/>
      <c r="D32" s="6"/>
      <c r="E32" s="6"/>
      <c r="F32" s="48"/>
      <c r="G32" s="48"/>
      <c r="H32" s="48"/>
      <c r="I32" s="53"/>
      <c r="J32" s="43" t="s">
        <v>28</v>
      </c>
      <c r="K32" s="74" t="s">
        <v>40</v>
      </c>
      <c r="L32" s="12"/>
      <c r="M32" s="97">
        <v>2400000</v>
      </c>
      <c r="N32" s="94">
        <f>Oktober!R32</f>
        <v>2000000</v>
      </c>
      <c r="O32" s="99">
        <f t="shared" si="0"/>
        <v>83.333333333333343</v>
      </c>
      <c r="P32" s="26"/>
      <c r="Q32" s="99">
        <f t="shared" si="1"/>
        <v>0</v>
      </c>
      <c r="R32" s="101">
        <f t="shared" ref="R32" si="4">N32+P32</f>
        <v>2000000</v>
      </c>
      <c r="S32" s="99">
        <f t="shared" si="2"/>
        <v>83.333333333333343</v>
      </c>
      <c r="T32" s="100">
        <f>0/120*100</f>
        <v>0</v>
      </c>
      <c r="U32" s="10"/>
      <c r="V32" s="10"/>
      <c r="W32" s="133"/>
    </row>
    <row r="33" spans="1:23" x14ac:dyDescent="0.25">
      <c r="A33" s="10"/>
      <c r="B33" s="10"/>
      <c r="C33" s="10"/>
      <c r="D33" s="10"/>
      <c r="E33" s="10"/>
      <c r="F33" s="54"/>
      <c r="G33" s="54"/>
      <c r="H33" s="54"/>
      <c r="I33" s="48"/>
      <c r="J33" s="43"/>
      <c r="K33" s="73"/>
      <c r="L33" s="13"/>
      <c r="M33" s="107"/>
      <c r="N33" s="94">
        <f>Oktober!R33</f>
        <v>0</v>
      </c>
      <c r="O33" s="99"/>
      <c r="P33" s="101"/>
      <c r="Q33" s="99"/>
      <c r="R33" s="101"/>
      <c r="S33" s="99"/>
      <c r="T33" s="101"/>
      <c r="U33" s="10"/>
      <c r="V33" s="10"/>
      <c r="W33" s="133"/>
    </row>
    <row r="34" spans="1:23" ht="20.100000000000001" customHeight="1" x14ac:dyDescent="0.25">
      <c r="A34" s="8">
        <v>1</v>
      </c>
      <c r="B34" s="9" t="s">
        <v>17</v>
      </c>
      <c r="C34" s="9" t="s">
        <v>18</v>
      </c>
      <c r="D34" s="8">
        <v>38</v>
      </c>
      <c r="E34" s="8">
        <v>14</v>
      </c>
      <c r="F34" s="41">
        <v>5</v>
      </c>
      <c r="G34" s="41">
        <v>2</v>
      </c>
      <c r="H34" s="41">
        <v>2</v>
      </c>
      <c r="I34" s="42" t="s">
        <v>34</v>
      </c>
      <c r="J34" s="46"/>
      <c r="K34" s="80" t="s">
        <v>52</v>
      </c>
      <c r="L34" s="14"/>
      <c r="M34" s="103">
        <f>M35+M37+M36</f>
        <v>19800000</v>
      </c>
      <c r="N34" s="94">
        <f>Oktober!R34</f>
        <v>8711300</v>
      </c>
      <c r="O34" s="99">
        <f t="shared" si="0"/>
        <v>43.996464646464645</v>
      </c>
      <c r="P34" s="116">
        <f>P35+P36+P37</f>
        <v>0</v>
      </c>
      <c r="Q34" s="95">
        <f t="shared" si="1"/>
        <v>0</v>
      </c>
      <c r="R34" s="116">
        <f>R35+R36</f>
        <v>8711300</v>
      </c>
      <c r="S34" s="95">
        <f>R34/M34*100</f>
        <v>43.996464646464645</v>
      </c>
      <c r="T34" s="95">
        <f>SUM(T35:T37)/3</f>
        <v>0</v>
      </c>
      <c r="U34" s="10"/>
      <c r="V34" s="10"/>
      <c r="W34" s="133"/>
    </row>
    <row r="35" spans="1:23" ht="15" customHeight="1" x14ac:dyDescent="0.25">
      <c r="A35" s="10"/>
      <c r="B35" s="10"/>
      <c r="C35" s="10"/>
      <c r="D35" s="10"/>
      <c r="E35" s="10"/>
      <c r="F35" s="54"/>
      <c r="G35" s="54"/>
      <c r="H35" s="54"/>
      <c r="I35" s="48"/>
      <c r="J35" s="43" t="s">
        <v>28</v>
      </c>
      <c r="K35" s="73" t="s">
        <v>41</v>
      </c>
      <c r="L35" s="164"/>
      <c r="M35" s="97">
        <v>12000000</v>
      </c>
      <c r="N35" s="94">
        <f>Oktober!R35</f>
        <v>8677000</v>
      </c>
      <c r="O35" s="99">
        <f t="shared" si="0"/>
        <v>72.308333333333337</v>
      </c>
      <c r="P35" s="26"/>
      <c r="Q35" s="99">
        <f t="shared" si="1"/>
        <v>0</v>
      </c>
      <c r="R35" s="101">
        <f>N35+P35</f>
        <v>8677000</v>
      </c>
      <c r="S35" s="99">
        <f>R35/M35*100</f>
        <v>72.308333333333337</v>
      </c>
      <c r="T35" s="99">
        <f>0/12*100</f>
        <v>0</v>
      </c>
      <c r="U35" s="10"/>
      <c r="V35" s="10"/>
      <c r="W35" s="133"/>
    </row>
    <row r="36" spans="1:23" ht="15" customHeight="1" x14ac:dyDescent="0.25">
      <c r="A36" s="6"/>
      <c r="B36" s="7"/>
      <c r="C36" s="7"/>
      <c r="D36" s="6"/>
      <c r="E36" s="6"/>
      <c r="F36" s="54"/>
      <c r="G36" s="54"/>
      <c r="H36" s="54"/>
      <c r="I36" s="48"/>
      <c r="J36" s="43" t="s">
        <v>29</v>
      </c>
      <c r="K36" s="74" t="s">
        <v>42</v>
      </c>
      <c r="L36" s="54"/>
      <c r="M36" s="107">
        <v>600000</v>
      </c>
      <c r="N36" s="94">
        <f>Oktober!R36</f>
        <v>34300</v>
      </c>
      <c r="O36" s="99">
        <f t="shared" si="0"/>
        <v>5.7166666666666668</v>
      </c>
      <c r="P36" s="26"/>
      <c r="Q36" s="99">
        <f t="shared" si="1"/>
        <v>0</v>
      </c>
      <c r="R36" s="101">
        <f>N36+P36</f>
        <v>34300</v>
      </c>
      <c r="S36" s="99">
        <f>R36/M36*100</f>
        <v>5.7166666666666668</v>
      </c>
      <c r="T36" s="100">
        <f>0/12*100</f>
        <v>0</v>
      </c>
      <c r="U36" s="10"/>
      <c r="V36" s="10"/>
      <c r="W36" s="133"/>
    </row>
    <row r="37" spans="1:23" ht="30" customHeight="1" x14ac:dyDescent="0.25">
      <c r="A37" s="10"/>
      <c r="B37" s="10"/>
      <c r="C37" s="10"/>
      <c r="D37" s="10"/>
      <c r="E37" s="10"/>
      <c r="F37" s="57"/>
      <c r="G37" s="57"/>
      <c r="H37" s="57"/>
      <c r="I37" s="125"/>
      <c r="J37" s="58" t="s">
        <v>47</v>
      </c>
      <c r="K37" s="75" t="s">
        <v>64</v>
      </c>
      <c r="L37" s="164"/>
      <c r="M37" s="97">
        <v>7200000</v>
      </c>
      <c r="N37" s="94">
        <f>Oktober!R37</f>
        <v>2320000</v>
      </c>
      <c r="O37" s="99">
        <f t="shared" si="0"/>
        <v>32.222222222222221</v>
      </c>
      <c r="P37" s="101"/>
      <c r="Q37" s="99">
        <f t="shared" si="1"/>
        <v>0</v>
      </c>
      <c r="R37" s="101">
        <f>N37+P37</f>
        <v>2320000</v>
      </c>
      <c r="S37" s="99">
        <f t="shared" si="2"/>
        <v>32.222222222222221</v>
      </c>
      <c r="T37" s="100">
        <f>0/3*100</f>
        <v>0</v>
      </c>
      <c r="U37" s="10"/>
      <c r="V37" s="10"/>
      <c r="W37" s="133"/>
    </row>
    <row r="38" spans="1:23" x14ac:dyDescent="0.25">
      <c r="A38" s="10"/>
      <c r="B38" s="10"/>
      <c r="C38" s="10"/>
      <c r="D38" s="10"/>
      <c r="E38" s="10"/>
      <c r="F38" s="57"/>
      <c r="G38" s="57"/>
      <c r="H38" s="57"/>
      <c r="I38" s="125"/>
      <c r="J38" s="126"/>
      <c r="K38" s="84"/>
      <c r="L38" s="165"/>
      <c r="M38" s="115"/>
      <c r="N38" s="94">
        <f>Oktober!R38</f>
        <v>0</v>
      </c>
      <c r="O38" s="99"/>
      <c r="P38" s="101"/>
      <c r="Q38" s="99"/>
      <c r="R38" s="101"/>
      <c r="S38" s="99"/>
      <c r="T38" s="101"/>
      <c r="U38" s="10"/>
      <c r="V38" s="10"/>
      <c r="W38" s="133"/>
    </row>
    <row r="39" spans="1:23" ht="20.100000000000001" customHeight="1" x14ac:dyDescent="0.25">
      <c r="A39" s="8">
        <v>1</v>
      </c>
      <c r="B39" s="9" t="s">
        <v>17</v>
      </c>
      <c r="C39" s="9" t="s">
        <v>18</v>
      </c>
      <c r="D39" s="8">
        <v>38</v>
      </c>
      <c r="E39" s="8">
        <v>14</v>
      </c>
      <c r="F39" s="41">
        <v>5</v>
      </c>
      <c r="G39" s="41">
        <v>2</v>
      </c>
      <c r="H39" s="41">
        <v>2</v>
      </c>
      <c r="I39" s="42" t="s">
        <v>27</v>
      </c>
      <c r="J39" s="155"/>
      <c r="K39" s="154" t="s">
        <v>105</v>
      </c>
      <c r="L39" s="14"/>
      <c r="M39" s="103">
        <f>M40</f>
        <v>900000</v>
      </c>
      <c r="N39" s="94">
        <f>Oktober!R39</f>
        <v>0</v>
      </c>
      <c r="O39" s="99">
        <f t="shared" si="0"/>
        <v>0</v>
      </c>
      <c r="P39" s="101">
        <f>P40</f>
        <v>0</v>
      </c>
      <c r="Q39" s="99">
        <f t="shared" si="1"/>
        <v>0</v>
      </c>
      <c r="R39" s="101">
        <f>R40</f>
        <v>0</v>
      </c>
      <c r="S39" s="99">
        <f t="shared" si="2"/>
        <v>0</v>
      </c>
      <c r="T39" s="96">
        <f>T40</f>
        <v>0</v>
      </c>
      <c r="U39" s="10"/>
      <c r="V39" s="10"/>
      <c r="W39" s="133"/>
    </row>
    <row r="40" spans="1:23" ht="20.100000000000001" customHeight="1" x14ac:dyDescent="0.25">
      <c r="A40" s="63"/>
      <c r="B40" s="63"/>
      <c r="C40" s="63"/>
      <c r="D40" s="63"/>
      <c r="E40" s="63"/>
      <c r="F40" s="57"/>
      <c r="G40" s="57"/>
      <c r="H40" s="57"/>
      <c r="I40" s="67"/>
      <c r="J40" s="43" t="s">
        <v>17</v>
      </c>
      <c r="K40" s="75" t="s">
        <v>106</v>
      </c>
      <c r="L40" s="13"/>
      <c r="M40" s="97">
        <v>900000</v>
      </c>
      <c r="N40" s="94">
        <f>Oktober!R40</f>
        <v>0</v>
      </c>
      <c r="O40" s="99">
        <f t="shared" si="0"/>
        <v>0</v>
      </c>
      <c r="P40" s="101"/>
      <c r="Q40" s="99">
        <f t="shared" si="1"/>
        <v>0</v>
      </c>
      <c r="R40" s="101">
        <f>N40+P40</f>
        <v>0</v>
      </c>
      <c r="S40" s="99">
        <f t="shared" si="2"/>
        <v>0</v>
      </c>
      <c r="T40" s="100">
        <f>0/1*100</f>
        <v>0</v>
      </c>
      <c r="U40" s="10"/>
      <c r="V40" s="10"/>
      <c r="W40" s="133"/>
    </row>
    <row r="41" spans="1:23" ht="9.9499999999999993" customHeight="1" x14ac:dyDescent="0.25">
      <c r="A41" s="63"/>
      <c r="B41" s="63"/>
      <c r="C41" s="63"/>
      <c r="D41" s="63"/>
      <c r="E41" s="63"/>
      <c r="F41" s="57"/>
      <c r="G41" s="57"/>
      <c r="H41" s="57"/>
      <c r="I41" s="67"/>
      <c r="J41" s="68"/>
      <c r="K41" s="84"/>
      <c r="L41" s="165"/>
      <c r="M41" s="115"/>
      <c r="N41" s="94">
        <f>Oktober!R41</f>
        <v>0</v>
      </c>
      <c r="O41" s="99"/>
      <c r="P41" s="101"/>
      <c r="Q41" s="99"/>
      <c r="R41" s="101"/>
      <c r="S41" s="99"/>
      <c r="T41" s="101"/>
      <c r="U41" s="10"/>
      <c r="V41" s="10"/>
      <c r="W41" s="133"/>
    </row>
    <row r="42" spans="1:23" ht="20.100000000000001" customHeight="1" x14ac:dyDescent="0.25">
      <c r="A42" s="8">
        <v>1</v>
      </c>
      <c r="B42" s="9" t="s">
        <v>17</v>
      </c>
      <c r="C42" s="9" t="s">
        <v>18</v>
      </c>
      <c r="D42" s="8">
        <v>38</v>
      </c>
      <c r="E42" s="8">
        <v>14</v>
      </c>
      <c r="F42" s="42" t="s">
        <v>21</v>
      </c>
      <c r="G42" s="42" t="s">
        <v>22</v>
      </c>
      <c r="H42" s="42" t="s">
        <v>22</v>
      </c>
      <c r="I42" s="60" t="s">
        <v>28</v>
      </c>
      <c r="J42" s="56"/>
      <c r="K42" s="85" t="s">
        <v>53</v>
      </c>
      <c r="L42" s="14"/>
      <c r="M42" s="103">
        <f>SUM(M43:M44)</f>
        <v>29487500</v>
      </c>
      <c r="N42" s="94">
        <f>Oktober!R42</f>
        <v>28530800</v>
      </c>
      <c r="O42" s="99">
        <f t="shared" si="0"/>
        <v>96.755574395930481</v>
      </c>
      <c r="P42" s="104">
        <f>P44+P43</f>
        <v>0</v>
      </c>
      <c r="Q42" s="95">
        <f t="shared" si="1"/>
        <v>0</v>
      </c>
      <c r="R42" s="104">
        <f>SUM(R43:R44)</f>
        <v>28530800</v>
      </c>
      <c r="S42" s="95">
        <f t="shared" si="2"/>
        <v>96.755574395930481</v>
      </c>
      <c r="T42" s="95">
        <f>SUM(T43:T44)/3</f>
        <v>0</v>
      </c>
      <c r="U42" s="10"/>
      <c r="V42" s="10"/>
      <c r="W42" s="133"/>
    </row>
    <row r="43" spans="1:23" ht="19.5" customHeight="1" x14ac:dyDescent="0.25">
      <c r="A43" s="8"/>
      <c r="B43" s="9"/>
      <c r="C43" s="9"/>
      <c r="D43" s="8"/>
      <c r="E43" s="8"/>
      <c r="F43" s="42"/>
      <c r="G43" s="42"/>
      <c r="H43" s="42"/>
      <c r="I43" s="59"/>
      <c r="J43" s="50" t="s">
        <v>18</v>
      </c>
      <c r="K43" s="81" t="s">
        <v>65</v>
      </c>
      <c r="L43" s="14"/>
      <c r="M43" s="97">
        <v>22490000</v>
      </c>
      <c r="N43" s="94">
        <f>Oktober!R43</f>
        <v>22030800</v>
      </c>
      <c r="O43" s="99">
        <f t="shared" si="0"/>
        <v>97.958203646064916</v>
      </c>
      <c r="P43" s="26"/>
      <c r="Q43" s="99">
        <f t="shared" si="1"/>
        <v>0</v>
      </c>
      <c r="R43" s="98">
        <f>N43+P43</f>
        <v>22030800</v>
      </c>
      <c r="S43" s="99">
        <f>R43/M43*100</f>
        <v>97.958203646064916</v>
      </c>
      <c r="T43" s="99">
        <v>0</v>
      </c>
      <c r="U43" s="10"/>
      <c r="V43" s="10"/>
      <c r="W43" s="133"/>
    </row>
    <row r="44" spans="1:23" ht="19.5" customHeight="1" x14ac:dyDescent="0.25">
      <c r="A44" s="6"/>
      <c r="B44" s="7"/>
      <c r="C44" s="7"/>
      <c r="D44" s="6"/>
      <c r="E44" s="6"/>
      <c r="F44" s="48"/>
      <c r="G44" s="48"/>
      <c r="H44" s="48"/>
      <c r="I44" s="51"/>
      <c r="J44" s="50" t="s">
        <v>17</v>
      </c>
      <c r="K44" s="82" t="s">
        <v>54</v>
      </c>
      <c r="L44" s="162"/>
      <c r="M44" s="97">
        <v>6997500</v>
      </c>
      <c r="N44" s="94">
        <f>Oktober!R44</f>
        <v>6500000</v>
      </c>
      <c r="O44" s="99">
        <f t="shared" si="0"/>
        <v>92.890317970703819</v>
      </c>
      <c r="P44" s="26"/>
      <c r="Q44" s="99">
        <f t="shared" si="1"/>
        <v>0</v>
      </c>
      <c r="R44" s="98">
        <f>N44+P44</f>
        <v>6500000</v>
      </c>
      <c r="S44" s="99">
        <f>R44/M44*100</f>
        <v>92.890317970703819</v>
      </c>
      <c r="T44" s="100">
        <f>0/27990*100</f>
        <v>0</v>
      </c>
      <c r="U44" s="10"/>
      <c r="V44" s="10"/>
      <c r="W44" s="133"/>
    </row>
    <row r="45" spans="1:23" x14ac:dyDescent="0.25">
      <c r="A45" s="10"/>
      <c r="B45" s="10"/>
      <c r="C45" s="10"/>
      <c r="D45" s="10"/>
      <c r="E45" s="10"/>
      <c r="F45" s="48"/>
      <c r="G45" s="48"/>
      <c r="H45" s="48"/>
      <c r="I45" s="53"/>
      <c r="J45" s="56"/>
      <c r="K45" s="86"/>
      <c r="L45" s="165"/>
      <c r="M45" s="115"/>
      <c r="N45" s="94">
        <f>Oktober!R45</f>
        <v>0</v>
      </c>
      <c r="O45" s="99"/>
      <c r="P45" s="117"/>
      <c r="Q45" s="99"/>
      <c r="R45" s="117"/>
      <c r="S45" s="99"/>
      <c r="T45" s="101"/>
      <c r="U45" s="10"/>
      <c r="V45" s="10"/>
      <c r="W45" s="133"/>
    </row>
    <row r="46" spans="1:23" ht="20.100000000000001" customHeight="1" x14ac:dyDescent="0.25">
      <c r="A46" s="8">
        <v>1</v>
      </c>
      <c r="B46" s="9" t="s">
        <v>17</v>
      </c>
      <c r="C46" s="9" t="s">
        <v>18</v>
      </c>
      <c r="D46" s="8">
        <v>38</v>
      </c>
      <c r="E46" s="8">
        <v>14</v>
      </c>
      <c r="F46" s="41">
        <v>5</v>
      </c>
      <c r="G46" s="41">
        <v>2</v>
      </c>
      <c r="H46" s="41">
        <v>2</v>
      </c>
      <c r="I46" s="60" t="s">
        <v>37</v>
      </c>
      <c r="J46" s="46"/>
      <c r="K46" s="85" t="s">
        <v>55</v>
      </c>
      <c r="L46" s="13"/>
      <c r="M46" s="105">
        <f>M47</f>
        <v>30300000</v>
      </c>
      <c r="N46" s="94">
        <f>Oktober!R46</f>
        <v>8550000</v>
      </c>
      <c r="O46" s="99">
        <f t="shared" si="0"/>
        <v>28.217821782178216</v>
      </c>
      <c r="P46" s="106">
        <f>P47</f>
        <v>0</v>
      </c>
      <c r="Q46" s="95">
        <f t="shared" si="1"/>
        <v>0</v>
      </c>
      <c r="R46" s="106">
        <f>R47</f>
        <v>8550000</v>
      </c>
      <c r="S46" s="95">
        <f t="shared" si="2"/>
        <v>28.217821782178216</v>
      </c>
      <c r="T46" s="95">
        <f>T47</f>
        <v>0</v>
      </c>
      <c r="U46" s="10"/>
      <c r="V46" s="10"/>
      <c r="W46" s="133"/>
    </row>
    <row r="47" spans="1:23" ht="15" customHeight="1" x14ac:dyDescent="0.25">
      <c r="A47" s="127"/>
      <c r="B47" s="127"/>
      <c r="C47" s="127"/>
      <c r="D47" s="127"/>
      <c r="E47" s="127"/>
      <c r="F47" s="42"/>
      <c r="G47" s="42"/>
      <c r="H47" s="42"/>
      <c r="I47" s="42"/>
      <c r="J47" s="55" t="s">
        <v>17</v>
      </c>
      <c r="K47" s="78" t="s">
        <v>56</v>
      </c>
      <c r="L47" s="10"/>
      <c r="M47" s="107">
        <v>30300000</v>
      </c>
      <c r="N47" s="94">
        <f>Oktober!R47</f>
        <v>8550000</v>
      </c>
      <c r="O47" s="99">
        <f t="shared" si="0"/>
        <v>28.217821782178216</v>
      </c>
      <c r="P47" s="26"/>
      <c r="Q47" s="99">
        <f t="shared" si="1"/>
        <v>0</v>
      </c>
      <c r="R47" s="108">
        <f>N47+P47</f>
        <v>8550000</v>
      </c>
      <c r="S47" s="99">
        <f>R47/M47*100</f>
        <v>28.217821782178216</v>
      </c>
      <c r="T47" s="100">
        <f>0/1644*100</f>
        <v>0</v>
      </c>
      <c r="U47" s="10"/>
      <c r="V47" s="10"/>
      <c r="W47" s="133"/>
    </row>
    <row r="48" spans="1:23" x14ac:dyDescent="0.25">
      <c r="A48" s="127"/>
      <c r="B48" s="127"/>
      <c r="C48" s="127"/>
      <c r="D48" s="127"/>
      <c r="E48" s="127"/>
      <c r="F48" s="42"/>
      <c r="G48" s="42"/>
      <c r="H48" s="42"/>
      <c r="I48" s="42"/>
      <c r="J48" s="59"/>
      <c r="K48" s="87"/>
      <c r="L48" s="166"/>
      <c r="M48" s="118"/>
      <c r="N48" s="94">
        <f>Oktober!R48</f>
        <v>0</v>
      </c>
      <c r="O48" s="99"/>
      <c r="P48" s="119"/>
      <c r="Q48" s="99"/>
      <c r="R48" s="119"/>
      <c r="S48" s="99"/>
      <c r="T48" s="63"/>
      <c r="U48" s="10"/>
      <c r="V48" s="10"/>
      <c r="W48" s="133"/>
    </row>
    <row r="49" spans="1:23" s="174" customFormat="1" ht="20.100000000000001" customHeight="1" x14ac:dyDescent="0.25">
      <c r="A49" s="8">
        <v>1</v>
      </c>
      <c r="B49" s="9" t="s">
        <v>17</v>
      </c>
      <c r="C49" s="9" t="s">
        <v>18</v>
      </c>
      <c r="D49" s="8">
        <v>38</v>
      </c>
      <c r="E49" s="8">
        <v>14</v>
      </c>
      <c r="F49" s="61" t="s">
        <v>21</v>
      </c>
      <c r="G49" s="61" t="s">
        <v>22</v>
      </c>
      <c r="H49" s="61" t="s">
        <v>22</v>
      </c>
      <c r="I49" s="42" t="s">
        <v>82</v>
      </c>
      <c r="J49" s="60"/>
      <c r="K49" s="79" t="s">
        <v>83</v>
      </c>
      <c r="L49" s="127"/>
      <c r="M49" s="105">
        <f>M50</f>
        <v>3300000</v>
      </c>
      <c r="N49" s="94">
        <f>Oktober!R49</f>
        <v>0</v>
      </c>
      <c r="O49" s="95">
        <f t="shared" si="0"/>
        <v>0</v>
      </c>
      <c r="P49" s="106">
        <f>P50</f>
        <v>0</v>
      </c>
      <c r="Q49" s="95">
        <f t="shared" si="1"/>
        <v>0</v>
      </c>
      <c r="R49" s="106">
        <f>R50</f>
        <v>0</v>
      </c>
      <c r="S49" s="95">
        <f t="shared" si="2"/>
        <v>0</v>
      </c>
      <c r="T49" s="95">
        <f>T50</f>
        <v>0</v>
      </c>
      <c r="U49" s="127"/>
      <c r="V49" s="127"/>
      <c r="W49" s="173"/>
    </row>
    <row r="50" spans="1:23" ht="15" customHeight="1" x14ac:dyDescent="0.25">
      <c r="A50" s="10"/>
      <c r="B50" s="10"/>
      <c r="C50" s="10"/>
      <c r="D50" s="10"/>
      <c r="E50" s="10"/>
      <c r="F50" s="48"/>
      <c r="G50" s="48"/>
      <c r="H50" s="48"/>
      <c r="I50" s="48"/>
      <c r="J50" s="55" t="s">
        <v>35</v>
      </c>
      <c r="K50" s="78" t="s">
        <v>84</v>
      </c>
      <c r="L50" s="10"/>
      <c r="M50" s="107">
        <v>3300000</v>
      </c>
      <c r="N50" s="94">
        <f>Oktober!R50</f>
        <v>0</v>
      </c>
      <c r="O50" s="99">
        <f t="shared" si="0"/>
        <v>0</v>
      </c>
      <c r="P50" s="108"/>
      <c r="Q50" s="99">
        <f t="shared" si="1"/>
        <v>0</v>
      </c>
      <c r="R50" s="108">
        <f>N50+P50</f>
        <v>0</v>
      </c>
      <c r="S50" s="99">
        <f t="shared" si="2"/>
        <v>0</v>
      </c>
      <c r="T50" s="100">
        <f>0/1*100</f>
        <v>0</v>
      </c>
      <c r="U50" s="10"/>
      <c r="V50" s="10"/>
      <c r="W50" s="133"/>
    </row>
    <row r="51" spans="1:23" x14ac:dyDescent="0.25">
      <c r="A51" s="10"/>
      <c r="B51" s="10"/>
      <c r="C51" s="10"/>
      <c r="D51" s="10"/>
      <c r="E51" s="10"/>
      <c r="F51" s="48"/>
      <c r="G51" s="48"/>
      <c r="H51" s="48"/>
      <c r="I51" s="48"/>
      <c r="J51" s="55"/>
      <c r="K51" s="78"/>
      <c r="L51" s="10"/>
      <c r="M51" s="107"/>
      <c r="N51" s="94">
        <f>Oktober!R51</f>
        <v>0</v>
      </c>
      <c r="O51" s="99"/>
      <c r="P51" s="108"/>
      <c r="Q51" s="95"/>
      <c r="R51" s="108"/>
      <c r="S51" s="95"/>
      <c r="T51" s="63"/>
      <c r="U51" s="10"/>
      <c r="V51" s="10"/>
      <c r="W51" s="133"/>
    </row>
    <row r="52" spans="1:23" ht="20.100000000000001" customHeight="1" x14ac:dyDescent="0.25">
      <c r="A52" s="8">
        <v>1</v>
      </c>
      <c r="B52" s="9" t="s">
        <v>17</v>
      </c>
      <c r="C52" s="9" t="s">
        <v>18</v>
      </c>
      <c r="D52" s="8">
        <v>38</v>
      </c>
      <c r="E52" s="8">
        <v>14</v>
      </c>
      <c r="F52" s="61" t="s">
        <v>21</v>
      </c>
      <c r="G52" s="61" t="s">
        <v>22</v>
      </c>
      <c r="H52" s="61" t="s">
        <v>22</v>
      </c>
      <c r="I52" s="128">
        <v>15</v>
      </c>
      <c r="J52" s="61"/>
      <c r="K52" s="88" t="s">
        <v>79</v>
      </c>
      <c r="L52" s="10"/>
      <c r="M52" s="105">
        <f>M53</f>
        <v>15612000</v>
      </c>
      <c r="N52" s="94">
        <f>Oktober!R52</f>
        <v>5626800</v>
      </c>
      <c r="O52" s="99">
        <f t="shared" si="0"/>
        <v>36.041506533435822</v>
      </c>
      <c r="P52" s="106">
        <f>P53</f>
        <v>0</v>
      </c>
      <c r="Q52" s="95">
        <f t="shared" si="1"/>
        <v>0</v>
      </c>
      <c r="R52" s="106">
        <f>R53</f>
        <v>5626800</v>
      </c>
      <c r="S52" s="95">
        <f t="shared" si="2"/>
        <v>36.041506533435822</v>
      </c>
      <c r="T52" s="96">
        <f>SUM(T53:T53)/2</f>
        <v>0</v>
      </c>
      <c r="U52" s="10"/>
      <c r="V52" s="10"/>
      <c r="W52" s="133"/>
    </row>
    <row r="53" spans="1:23" ht="15" customHeight="1" x14ac:dyDescent="0.25">
      <c r="A53" s="10"/>
      <c r="B53" s="10"/>
      <c r="C53" s="10"/>
      <c r="D53" s="10"/>
      <c r="E53" s="10"/>
      <c r="F53" s="57"/>
      <c r="G53" s="57"/>
      <c r="H53" s="57"/>
      <c r="I53" s="129"/>
      <c r="J53" s="57" t="s">
        <v>17</v>
      </c>
      <c r="K53" s="89" t="s">
        <v>69</v>
      </c>
      <c r="L53" s="10"/>
      <c r="M53" s="107">
        <v>15612000</v>
      </c>
      <c r="N53" s="94">
        <f>Oktober!R53</f>
        <v>5626800</v>
      </c>
      <c r="O53" s="99">
        <f t="shared" si="0"/>
        <v>36.041506533435822</v>
      </c>
      <c r="P53" s="120"/>
      <c r="Q53" s="95">
        <f t="shared" si="1"/>
        <v>0</v>
      </c>
      <c r="R53" s="108">
        <f>N53+P53</f>
        <v>5626800</v>
      </c>
      <c r="S53" s="95">
        <f t="shared" si="2"/>
        <v>36.041506533435822</v>
      </c>
      <c r="T53" s="100">
        <f>0/5*100</f>
        <v>0</v>
      </c>
      <c r="U53" s="10"/>
      <c r="V53" s="10"/>
      <c r="W53" s="133"/>
    </row>
    <row r="54" spans="1:23" x14ac:dyDescent="0.25">
      <c r="A54" s="10"/>
      <c r="B54" s="10"/>
      <c r="C54" s="10"/>
      <c r="D54" s="10"/>
      <c r="E54" s="10"/>
      <c r="F54" s="48"/>
      <c r="G54" s="48"/>
      <c r="H54" s="48"/>
      <c r="I54" s="53"/>
      <c r="J54" s="53"/>
      <c r="K54" s="78"/>
      <c r="L54" s="10"/>
      <c r="M54" s="107"/>
      <c r="N54" s="94">
        <f>Oktober!R54</f>
        <v>0</v>
      </c>
      <c r="O54" s="99"/>
      <c r="P54" s="108"/>
      <c r="Q54" s="99"/>
      <c r="R54" s="108"/>
      <c r="S54" s="99"/>
      <c r="T54" s="63"/>
      <c r="U54" s="10"/>
      <c r="V54" s="10"/>
      <c r="W54" s="133"/>
    </row>
    <row r="55" spans="1:23" ht="30" customHeight="1" x14ac:dyDescent="0.25">
      <c r="A55" s="8">
        <v>1</v>
      </c>
      <c r="B55" s="9" t="s">
        <v>17</v>
      </c>
      <c r="C55" s="9" t="s">
        <v>18</v>
      </c>
      <c r="D55" s="8">
        <v>38</v>
      </c>
      <c r="E55" s="8">
        <v>14</v>
      </c>
      <c r="F55" s="61" t="s">
        <v>21</v>
      </c>
      <c r="G55" s="61" t="s">
        <v>22</v>
      </c>
      <c r="H55" s="61" t="s">
        <v>22</v>
      </c>
      <c r="I55" s="128" t="s">
        <v>48</v>
      </c>
      <c r="J55" s="42"/>
      <c r="K55" s="79" t="s">
        <v>57</v>
      </c>
      <c r="L55" s="10"/>
      <c r="M55" s="105">
        <f>M56</f>
        <v>20000000</v>
      </c>
      <c r="N55" s="94">
        <f>Oktober!R55</f>
        <v>15000000</v>
      </c>
      <c r="O55" s="99">
        <f t="shared" si="0"/>
        <v>75</v>
      </c>
      <c r="P55" s="106">
        <f>P56</f>
        <v>0</v>
      </c>
      <c r="Q55" s="95">
        <f t="shared" si="1"/>
        <v>0</v>
      </c>
      <c r="R55" s="106">
        <f>R56</f>
        <v>15000000</v>
      </c>
      <c r="S55" s="95">
        <f t="shared" si="2"/>
        <v>75</v>
      </c>
      <c r="T55" s="96">
        <f>T56</f>
        <v>0</v>
      </c>
      <c r="U55" s="10"/>
      <c r="V55" s="10"/>
      <c r="W55" s="133"/>
    </row>
    <row r="56" spans="1:23" ht="26.25" customHeight="1" x14ac:dyDescent="0.25">
      <c r="A56" s="10"/>
      <c r="B56" s="10"/>
      <c r="C56" s="10"/>
      <c r="D56" s="10"/>
      <c r="E56" s="10"/>
      <c r="F56" s="48"/>
      <c r="G56" s="48"/>
      <c r="H56" s="48"/>
      <c r="I56" s="48"/>
      <c r="J56" s="48" t="s">
        <v>18</v>
      </c>
      <c r="K56" s="78" t="s">
        <v>58</v>
      </c>
      <c r="L56" s="10"/>
      <c r="M56" s="107">
        <v>20000000</v>
      </c>
      <c r="N56" s="94">
        <f>Oktober!R56</f>
        <v>15000000</v>
      </c>
      <c r="O56" s="99">
        <f t="shared" si="0"/>
        <v>75</v>
      </c>
      <c r="P56" s="26"/>
      <c r="Q56" s="99">
        <f t="shared" si="1"/>
        <v>0</v>
      </c>
      <c r="R56" s="108">
        <f>N56+P56</f>
        <v>15000000</v>
      </c>
      <c r="S56" s="99">
        <f t="shared" si="2"/>
        <v>75</v>
      </c>
      <c r="T56" s="100">
        <f>0/4*100</f>
        <v>0</v>
      </c>
      <c r="U56" s="10"/>
      <c r="V56" s="10"/>
      <c r="W56" s="133"/>
    </row>
    <row r="57" spans="1:23" x14ac:dyDescent="0.25">
      <c r="A57" s="10"/>
      <c r="B57" s="10"/>
      <c r="C57" s="10"/>
      <c r="D57" s="10"/>
      <c r="E57" s="10"/>
      <c r="F57" s="48"/>
      <c r="G57" s="48"/>
      <c r="H57" s="48"/>
      <c r="I57" s="53"/>
      <c r="J57" s="53"/>
      <c r="K57" s="90"/>
      <c r="L57" s="10"/>
      <c r="M57" s="97"/>
      <c r="N57" s="94">
        <f>Oktober!R57</f>
        <v>0</v>
      </c>
      <c r="O57" s="99"/>
      <c r="P57" s="98"/>
      <c r="Q57" s="99"/>
      <c r="R57" s="98"/>
      <c r="S57" s="99"/>
      <c r="T57" s="63"/>
      <c r="U57" s="10"/>
      <c r="V57" s="10"/>
      <c r="W57" s="133"/>
    </row>
    <row r="58" spans="1:23" ht="20.100000000000001" customHeight="1" x14ac:dyDescent="0.25">
      <c r="A58" s="8">
        <v>1</v>
      </c>
      <c r="B58" s="9" t="s">
        <v>17</v>
      </c>
      <c r="C58" s="9" t="s">
        <v>18</v>
      </c>
      <c r="D58" s="8">
        <v>38</v>
      </c>
      <c r="E58" s="8">
        <v>14</v>
      </c>
      <c r="F58" s="61" t="s">
        <v>21</v>
      </c>
      <c r="G58" s="61" t="s">
        <v>22</v>
      </c>
      <c r="H58" s="61" t="s">
        <v>22</v>
      </c>
      <c r="I58" s="128" t="s">
        <v>51</v>
      </c>
      <c r="J58" s="130"/>
      <c r="K58" s="88" t="s">
        <v>59</v>
      </c>
      <c r="L58" s="10"/>
      <c r="M58" s="103">
        <f>SUM(M59:M62)</f>
        <v>24000000</v>
      </c>
      <c r="N58" s="94">
        <f>Oktober!R58</f>
        <v>14823000</v>
      </c>
      <c r="O58" s="99">
        <f t="shared" si="0"/>
        <v>61.762499999999996</v>
      </c>
      <c r="P58" s="104">
        <f>SUM(P59:P62)</f>
        <v>0</v>
      </c>
      <c r="Q58" s="95">
        <f t="shared" si="1"/>
        <v>0</v>
      </c>
      <c r="R58" s="104">
        <f>SUM(R59:R62)</f>
        <v>14823000</v>
      </c>
      <c r="S58" s="95">
        <f t="shared" si="2"/>
        <v>61.762499999999996</v>
      </c>
      <c r="T58" s="96">
        <f>SUM(T59:T61)/3</f>
        <v>0</v>
      </c>
      <c r="U58" s="10"/>
      <c r="V58" s="10"/>
      <c r="W58" s="133"/>
    </row>
    <row r="59" spans="1:23" ht="15" customHeight="1" x14ac:dyDescent="0.25">
      <c r="A59" s="10"/>
      <c r="B59" s="10"/>
      <c r="C59" s="10"/>
      <c r="D59" s="10"/>
      <c r="E59" s="10"/>
      <c r="F59" s="57"/>
      <c r="G59" s="57"/>
      <c r="H59" s="57"/>
      <c r="I59" s="129"/>
      <c r="J59" s="62" t="s">
        <v>34</v>
      </c>
      <c r="K59" s="89" t="s">
        <v>60</v>
      </c>
      <c r="L59" s="10"/>
      <c r="M59" s="97">
        <v>1000000</v>
      </c>
      <c r="N59" s="94">
        <f>Oktober!R59</f>
        <v>0</v>
      </c>
      <c r="O59" s="99">
        <f t="shared" si="0"/>
        <v>0</v>
      </c>
      <c r="P59" s="98"/>
      <c r="Q59" s="99">
        <f t="shared" si="1"/>
        <v>0</v>
      </c>
      <c r="R59" s="98">
        <f>N59+P59</f>
        <v>0</v>
      </c>
      <c r="S59" s="99">
        <f t="shared" si="2"/>
        <v>0</v>
      </c>
      <c r="T59" s="100">
        <f>0/1*100</f>
        <v>0</v>
      </c>
      <c r="U59" s="10"/>
      <c r="V59" s="10"/>
      <c r="W59" s="133"/>
    </row>
    <row r="60" spans="1:23" ht="15" customHeight="1" x14ac:dyDescent="0.25">
      <c r="A60" s="10"/>
      <c r="B60" s="10"/>
      <c r="C60" s="10"/>
      <c r="D60" s="10"/>
      <c r="E60" s="10"/>
      <c r="F60" s="54"/>
      <c r="G60" s="54"/>
      <c r="H60" s="54"/>
      <c r="I60" s="48"/>
      <c r="J60" s="55" t="s">
        <v>35</v>
      </c>
      <c r="K60" s="73" t="s">
        <v>61</v>
      </c>
      <c r="L60" s="10"/>
      <c r="M60" s="97">
        <v>13000000</v>
      </c>
      <c r="N60" s="94">
        <f>Oktober!R60</f>
        <v>9785000</v>
      </c>
      <c r="O60" s="99">
        <f t="shared" si="0"/>
        <v>75.269230769230759</v>
      </c>
      <c r="P60" s="98"/>
      <c r="Q60" s="99">
        <f t="shared" si="1"/>
        <v>0</v>
      </c>
      <c r="R60" s="98">
        <f t="shared" ref="R60:R62" si="5">N60+P60</f>
        <v>9785000</v>
      </c>
      <c r="S60" s="99">
        <f t="shared" si="2"/>
        <v>75.269230769230759</v>
      </c>
      <c r="T60" s="100">
        <f>0/1*100</f>
        <v>0</v>
      </c>
      <c r="U60" s="10"/>
      <c r="V60" s="10"/>
      <c r="W60" s="133"/>
    </row>
    <row r="61" spans="1:23" ht="15" customHeight="1" x14ac:dyDescent="0.25">
      <c r="A61" s="10"/>
      <c r="B61" s="10"/>
      <c r="C61" s="10"/>
      <c r="D61" s="10"/>
      <c r="E61" s="10"/>
      <c r="F61" s="57"/>
      <c r="G61" s="57"/>
      <c r="H61" s="57"/>
      <c r="I61" s="129"/>
      <c r="J61" s="62" t="s">
        <v>50</v>
      </c>
      <c r="K61" s="89" t="s">
        <v>62</v>
      </c>
      <c r="L61" s="10"/>
      <c r="M61" s="97">
        <v>5000000</v>
      </c>
      <c r="N61" s="94">
        <f>Oktober!R61</f>
        <v>996000</v>
      </c>
      <c r="O61" s="99">
        <f t="shared" si="0"/>
        <v>19.919999999999998</v>
      </c>
      <c r="P61" s="98"/>
      <c r="Q61" s="99">
        <f t="shared" si="1"/>
        <v>0</v>
      </c>
      <c r="R61" s="98">
        <f t="shared" si="5"/>
        <v>996000</v>
      </c>
      <c r="S61" s="99">
        <f t="shared" si="2"/>
        <v>19.919999999999998</v>
      </c>
      <c r="T61" s="100">
        <f>0/2*100</f>
        <v>0</v>
      </c>
      <c r="U61" s="10"/>
      <c r="V61" s="10"/>
      <c r="W61" s="133"/>
    </row>
    <row r="62" spans="1:23" ht="15" customHeight="1" x14ac:dyDescent="0.25">
      <c r="A62" s="10"/>
      <c r="B62" s="10"/>
      <c r="C62" s="10"/>
      <c r="D62" s="10"/>
      <c r="E62" s="10"/>
      <c r="F62" s="57"/>
      <c r="G62" s="57"/>
      <c r="H62" s="57"/>
      <c r="I62" s="129"/>
      <c r="J62" s="62" t="s">
        <v>36</v>
      </c>
      <c r="K62" s="89" t="s">
        <v>80</v>
      </c>
      <c r="L62" s="10"/>
      <c r="M62" s="97">
        <v>5000000</v>
      </c>
      <c r="N62" s="94">
        <f>Oktober!R62</f>
        <v>4042000</v>
      </c>
      <c r="O62" s="99">
        <v>0</v>
      </c>
      <c r="P62" s="98"/>
      <c r="Q62" s="99">
        <v>0</v>
      </c>
      <c r="R62" s="98">
        <f t="shared" si="5"/>
        <v>4042000</v>
      </c>
      <c r="S62" s="99">
        <f t="shared" si="2"/>
        <v>80.84</v>
      </c>
      <c r="T62" s="100">
        <f>0/1*100</f>
        <v>0</v>
      </c>
      <c r="U62" s="10"/>
      <c r="V62" s="10"/>
      <c r="W62" s="133"/>
    </row>
    <row r="63" spans="1:23" x14ac:dyDescent="0.25">
      <c r="A63" s="10"/>
      <c r="B63" s="10"/>
      <c r="C63" s="10"/>
      <c r="D63" s="10"/>
      <c r="E63" s="10"/>
      <c r="F63" s="48"/>
      <c r="G63" s="48"/>
      <c r="H63" s="48"/>
      <c r="I63" s="53"/>
      <c r="J63" s="53"/>
      <c r="K63" s="78"/>
      <c r="L63" s="10"/>
      <c r="M63" s="97"/>
      <c r="N63" s="94">
        <f>Oktober!R63</f>
        <v>0</v>
      </c>
      <c r="O63" s="99"/>
      <c r="P63" s="98"/>
      <c r="Q63" s="99"/>
      <c r="R63" s="98"/>
      <c r="S63" s="99"/>
      <c r="T63" s="63"/>
      <c r="U63" s="10"/>
      <c r="V63" s="10"/>
      <c r="W63" s="133"/>
    </row>
    <row r="64" spans="1:23" ht="20.100000000000001" customHeight="1" x14ac:dyDescent="0.25">
      <c r="A64" s="127">
        <v>1</v>
      </c>
      <c r="B64" s="127" t="s">
        <v>17</v>
      </c>
      <c r="C64" s="127" t="s">
        <v>18</v>
      </c>
      <c r="D64" s="127">
        <v>38</v>
      </c>
      <c r="E64" s="127">
        <v>14</v>
      </c>
      <c r="F64" s="42" t="s">
        <v>21</v>
      </c>
      <c r="G64" s="42" t="s">
        <v>22</v>
      </c>
      <c r="H64" s="42" t="s">
        <v>22</v>
      </c>
      <c r="I64" s="42" t="s">
        <v>78</v>
      </c>
      <c r="J64" s="42"/>
      <c r="K64" s="79" t="s">
        <v>76</v>
      </c>
      <c r="L64" s="127"/>
      <c r="M64" s="103">
        <f>SUM(M65:M66)</f>
        <v>10000000</v>
      </c>
      <c r="N64" s="94">
        <f>Oktober!R64</f>
        <v>2000000</v>
      </c>
      <c r="O64" s="95">
        <f t="shared" ref="O64:O66" si="6">N64/M64*100</f>
        <v>20</v>
      </c>
      <c r="P64" s="104">
        <f>SUM(P65:P66)</f>
        <v>0</v>
      </c>
      <c r="Q64" s="95">
        <f t="shared" ref="Q64:Q66" si="7">P64/M64*100</f>
        <v>0</v>
      </c>
      <c r="R64" s="104">
        <f>SUM(R65:R66)</f>
        <v>2000000</v>
      </c>
      <c r="S64" s="95">
        <f t="shared" ref="S64:S66" si="8">R64/M64*100</f>
        <v>20</v>
      </c>
      <c r="T64" s="96">
        <f>SUM(T65:T66)/2</f>
        <v>0</v>
      </c>
      <c r="U64" s="10"/>
      <c r="V64" s="10"/>
      <c r="W64" s="133"/>
    </row>
    <row r="65" spans="1:23" ht="15" customHeight="1" x14ac:dyDescent="0.25">
      <c r="A65" s="10"/>
      <c r="B65" s="10"/>
      <c r="C65" s="10"/>
      <c r="D65" s="10"/>
      <c r="E65" s="10"/>
      <c r="F65" s="48"/>
      <c r="G65" s="48"/>
      <c r="H65" s="48"/>
      <c r="I65" s="48"/>
      <c r="J65" s="62" t="s">
        <v>34</v>
      </c>
      <c r="K65" s="89" t="s">
        <v>107</v>
      </c>
      <c r="L65" s="10"/>
      <c r="M65" s="97">
        <v>7000000</v>
      </c>
      <c r="N65" s="94">
        <f>Oktober!R65</f>
        <v>0</v>
      </c>
      <c r="O65" s="95">
        <f t="shared" si="6"/>
        <v>0</v>
      </c>
      <c r="P65" s="98"/>
      <c r="Q65" s="95">
        <f t="shared" si="7"/>
        <v>0</v>
      </c>
      <c r="R65" s="98">
        <f>N65+P65</f>
        <v>0</v>
      </c>
      <c r="S65" s="95">
        <f t="shared" si="8"/>
        <v>0</v>
      </c>
      <c r="T65" s="100">
        <f>0/1*100</f>
        <v>0</v>
      </c>
      <c r="U65" s="10"/>
      <c r="V65" s="10"/>
      <c r="W65" s="133"/>
    </row>
    <row r="66" spans="1:23" ht="15" customHeight="1" x14ac:dyDescent="0.25">
      <c r="A66" s="10"/>
      <c r="B66" s="10"/>
      <c r="C66" s="10"/>
      <c r="D66" s="10"/>
      <c r="E66" s="10"/>
      <c r="F66" s="48"/>
      <c r="G66" s="48"/>
      <c r="H66" s="48"/>
      <c r="I66" s="48"/>
      <c r="J66" s="48" t="s">
        <v>30</v>
      </c>
      <c r="K66" s="78" t="s">
        <v>77</v>
      </c>
      <c r="L66" s="10"/>
      <c r="M66" s="97">
        <v>3000000</v>
      </c>
      <c r="N66" s="94">
        <f>Oktober!R66</f>
        <v>2000000</v>
      </c>
      <c r="O66" s="99">
        <f t="shared" si="6"/>
        <v>66.666666666666657</v>
      </c>
      <c r="P66" s="98"/>
      <c r="Q66" s="99">
        <f t="shared" si="7"/>
        <v>0</v>
      </c>
      <c r="R66" s="98">
        <f>N66+P66</f>
        <v>2000000</v>
      </c>
      <c r="S66" s="99">
        <f t="shared" si="8"/>
        <v>66.666666666666657</v>
      </c>
      <c r="T66" s="100">
        <f>0/1*100</f>
        <v>0</v>
      </c>
      <c r="U66" s="10"/>
      <c r="V66" s="10"/>
      <c r="W66" s="133"/>
    </row>
    <row r="67" spans="1:23" x14ac:dyDescent="0.25">
      <c r="A67" s="10"/>
      <c r="B67" s="10"/>
      <c r="C67" s="10"/>
      <c r="D67" s="10"/>
      <c r="E67" s="10"/>
      <c r="F67" s="48"/>
      <c r="G67" s="48"/>
      <c r="H67" s="48"/>
      <c r="I67" s="53"/>
      <c r="J67" s="53"/>
      <c r="K67" s="78"/>
      <c r="L67" s="10"/>
      <c r="M67" s="97"/>
      <c r="N67" s="94">
        <f>Oktober!R67</f>
        <v>0</v>
      </c>
      <c r="O67" s="99"/>
      <c r="P67" s="98"/>
      <c r="Q67" s="99"/>
      <c r="R67" s="98"/>
      <c r="S67" s="99"/>
      <c r="T67" s="63"/>
      <c r="U67" s="10"/>
      <c r="V67" s="10"/>
      <c r="W67" s="133"/>
    </row>
    <row r="68" spans="1:23" ht="30" customHeight="1" x14ac:dyDescent="0.25">
      <c r="A68" s="8">
        <v>1</v>
      </c>
      <c r="B68" s="9" t="s">
        <v>17</v>
      </c>
      <c r="C68" s="9" t="s">
        <v>18</v>
      </c>
      <c r="D68" s="8">
        <v>38</v>
      </c>
      <c r="E68" s="8">
        <v>14</v>
      </c>
      <c r="F68" s="61" t="s">
        <v>21</v>
      </c>
      <c r="G68" s="61" t="s">
        <v>22</v>
      </c>
      <c r="H68" s="61" t="s">
        <v>22</v>
      </c>
      <c r="I68" s="131" t="s">
        <v>49</v>
      </c>
      <c r="J68" s="61"/>
      <c r="K68" s="88" t="s">
        <v>63</v>
      </c>
      <c r="L68" s="10"/>
      <c r="M68" s="105">
        <f>SUM(M69:M70)</f>
        <v>19450000</v>
      </c>
      <c r="N68" s="94">
        <f>Oktober!R68</f>
        <v>9050000</v>
      </c>
      <c r="O68" s="99">
        <f t="shared" si="0"/>
        <v>46.529562982005139</v>
      </c>
      <c r="P68" s="106">
        <f>SUM(P69:P70)</f>
        <v>0</v>
      </c>
      <c r="Q68" s="95">
        <f t="shared" si="1"/>
        <v>0</v>
      </c>
      <c r="R68" s="106">
        <f>SUM(R69:R70)</f>
        <v>9050000</v>
      </c>
      <c r="S68" s="95">
        <f t="shared" si="2"/>
        <v>46.529562982005139</v>
      </c>
      <c r="T68" s="96">
        <f>SUM(T69:T70)/2</f>
        <v>0</v>
      </c>
      <c r="U68" s="10"/>
      <c r="V68" s="10"/>
      <c r="W68" s="133"/>
    </row>
    <row r="69" spans="1:23" ht="15" customHeight="1" x14ac:dyDescent="0.25">
      <c r="A69" s="10"/>
      <c r="B69" s="10"/>
      <c r="C69" s="10"/>
      <c r="D69" s="10"/>
      <c r="E69" s="10"/>
      <c r="F69" s="57"/>
      <c r="G69" s="57"/>
      <c r="H69" s="57"/>
      <c r="I69" s="129"/>
      <c r="J69" s="62" t="s">
        <v>17</v>
      </c>
      <c r="K69" s="89" t="s">
        <v>66</v>
      </c>
      <c r="L69" s="10"/>
      <c r="M69" s="107">
        <v>7200000</v>
      </c>
      <c r="N69" s="94">
        <f>Oktober!R69</f>
        <v>1800000</v>
      </c>
      <c r="O69" s="99">
        <f t="shared" si="0"/>
        <v>25</v>
      </c>
      <c r="P69" s="26"/>
      <c r="Q69" s="99">
        <f t="shared" si="1"/>
        <v>0</v>
      </c>
      <c r="R69" s="108">
        <f>N69+P69</f>
        <v>1800000</v>
      </c>
      <c r="S69" s="99">
        <f t="shared" si="2"/>
        <v>25</v>
      </c>
      <c r="T69" s="100">
        <f>0/24*100</f>
        <v>0</v>
      </c>
      <c r="U69" s="10"/>
      <c r="V69" s="10"/>
      <c r="W69" s="133"/>
    </row>
    <row r="70" spans="1:23" ht="15" customHeight="1" x14ac:dyDescent="0.25">
      <c r="A70" s="10"/>
      <c r="B70" s="10"/>
      <c r="C70" s="10"/>
      <c r="D70" s="10"/>
      <c r="E70" s="10"/>
      <c r="F70" s="57"/>
      <c r="G70" s="57"/>
      <c r="H70" s="57"/>
      <c r="I70" s="129"/>
      <c r="J70" s="62" t="s">
        <v>34</v>
      </c>
      <c r="K70" s="89" t="s">
        <v>81</v>
      </c>
      <c r="L70" s="10"/>
      <c r="M70" s="107">
        <v>12250000</v>
      </c>
      <c r="N70" s="94">
        <f>Oktober!R70</f>
        <v>7250000</v>
      </c>
      <c r="O70" s="99">
        <f t="shared" si="0"/>
        <v>59.183673469387756</v>
      </c>
      <c r="P70" s="26"/>
      <c r="Q70" s="95">
        <f t="shared" si="1"/>
        <v>0</v>
      </c>
      <c r="R70" s="108">
        <f>N70+P70</f>
        <v>7250000</v>
      </c>
      <c r="S70" s="95">
        <f t="shared" si="2"/>
        <v>59.183673469387756</v>
      </c>
      <c r="T70" s="100">
        <f>0/9*100</f>
        <v>0</v>
      </c>
      <c r="U70" s="10"/>
      <c r="V70" s="10"/>
      <c r="W70" s="133"/>
    </row>
    <row r="71" spans="1:23" x14ac:dyDescent="0.25">
      <c r="A71" s="10"/>
      <c r="B71" s="10"/>
      <c r="C71" s="10"/>
      <c r="D71" s="10"/>
      <c r="E71" s="10"/>
      <c r="F71" s="48"/>
      <c r="G71" s="48"/>
      <c r="H71" s="48"/>
      <c r="I71" s="53"/>
      <c r="J71" s="53"/>
      <c r="K71" s="78"/>
      <c r="L71" s="10"/>
      <c r="M71" s="97"/>
      <c r="N71" s="94">
        <f>Oktober!R71</f>
        <v>0</v>
      </c>
      <c r="O71" s="99"/>
      <c r="P71" s="98"/>
      <c r="Q71" s="99"/>
      <c r="R71" s="98"/>
      <c r="S71" s="99"/>
      <c r="T71" s="63"/>
      <c r="U71" s="10"/>
      <c r="V71" s="10"/>
      <c r="W71" s="133"/>
    </row>
    <row r="72" spans="1:23" ht="25.5" x14ac:dyDescent="0.25">
      <c r="A72" s="8">
        <v>1</v>
      </c>
      <c r="B72" s="9" t="s">
        <v>17</v>
      </c>
      <c r="C72" s="9" t="s">
        <v>18</v>
      </c>
      <c r="D72" s="8">
        <v>38</v>
      </c>
      <c r="E72" s="8">
        <v>14</v>
      </c>
      <c r="F72" s="42" t="s">
        <v>21</v>
      </c>
      <c r="G72" s="42" t="s">
        <v>22</v>
      </c>
      <c r="H72" s="42" t="s">
        <v>22</v>
      </c>
      <c r="I72" s="42" t="s">
        <v>108</v>
      </c>
      <c r="J72" s="44"/>
      <c r="K72" s="79" t="s">
        <v>109</v>
      </c>
      <c r="L72" s="10"/>
      <c r="M72" s="103">
        <f>M73</f>
        <v>500000</v>
      </c>
      <c r="N72" s="94">
        <f>Oktober!R72</f>
        <v>0</v>
      </c>
      <c r="O72" s="99">
        <f t="shared" si="0"/>
        <v>0</v>
      </c>
      <c r="P72" s="104">
        <f>P73</f>
        <v>0</v>
      </c>
      <c r="Q72" s="95">
        <f t="shared" si="1"/>
        <v>0</v>
      </c>
      <c r="R72" s="104">
        <f>R73</f>
        <v>0</v>
      </c>
      <c r="S72" s="95">
        <f t="shared" si="2"/>
        <v>0</v>
      </c>
      <c r="T72" s="96">
        <v>0</v>
      </c>
      <c r="U72" s="10"/>
      <c r="V72" s="10"/>
      <c r="W72" s="133"/>
    </row>
    <row r="73" spans="1:23" ht="25.5" x14ac:dyDescent="0.25">
      <c r="A73" s="10"/>
      <c r="B73" s="10"/>
      <c r="C73" s="10"/>
      <c r="D73" s="10"/>
      <c r="E73" s="10"/>
      <c r="F73" s="48"/>
      <c r="G73" s="48"/>
      <c r="H73" s="48"/>
      <c r="I73" s="53"/>
      <c r="J73" s="55" t="s">
        <v>17</v>
      </c>
      <c r="K73" s="73" t="s">
        <v>110</v>
      </c>
      <c r="L73" s="10"/>
      <c r="M73" s="97">
        <v>500000</v>
      </c>
      <c r="N73" s="94">
        <f>Oktober!R73</f>
        <v>0</v>
      </c>
      <c r="O73" s="99">
        <f t="shared" si="0"/>
        <v>0</v>
      </c>
      <c r="P73" s="26"/>
      <c r="Q73" s="99">
        <f t="shared" si="1"/>
        <v>0</v>
      </c>
      <c r="R73" s="98">
        <f>N73+P73</f>
        <v>0</v>
      </c>
      <c r="S73" s="99">
        <f t="shared" si="2"/>
        <v>0</v>
      </c>
      <c r="T73" s="100">
        <f>0/1*100</f>
        <v>0</v>
      </c>
      <c r="U73" s="10"/>
      <c r="V73" s="160"/>
      <c r="W73" s="133"/>
    </row>
    <row r="74" spans="1:23" x14ac:dyDescent="0.25">
      <c r="A74" s="10"/>
      <c r="B74" s="10"/>
      <c r="C74" s="10"/>
      <c r="D74" s="10"/>
      <c r="E74" s="10"/>
      <c r="F74" s="48"/>
      <c r="G74" s="48"/>
      <c r="H74" s="48"/>
      <c r="I74" s="53"/>
      <c r="J74" s="59"/>
      <c r="K74" s="91"/>
      <c r="L74" s="166"/>
      <c r="M74" s="115"/>
      <c r="N74" s="94">
        <f>Oktober!R74</f>
        <v>0</v>
      </c>
      <c r="O74" s="99"/>
      <c r="P74" s="117"/>
      <c r="Q74" s="99"/>
      <c r="R74" s="117"/>
      <c r="S74" s="99"/>
      <c r="T74" s="63"/>
      <c r="U74" s="10"/>
      <c r="V74" s="10"/>
      <c r="W74" s="133"/>
    </row>
    <row r="75" spans="1:23" ht="20.100000000000001" customHeight="1" x14ac:dyDescent="0.25">
      <c r="A75" s="8">
        <v>1</v>
      </c>
      <c r="B75" s="9" t="s">
        <v>17</v>
      </c>
      <c r="C75" s="9" t="s">
        <v>18</v>
      </c>
      <c r="D75" s="8">
        <v>38</v>
      </c>
      <c r="E75" s="8">
        <v>14</v>
      </c>
      <c r="F75" s="42" t="s">
        <v>21</v>
      </c>
      <c r="G75" s="42" t="s">
        <v>22</v>
      </c>
      <c r="H75" s="42" t="s">
        <v>24</v>
      </c>
      <c r="I75" s="42"/>
      <c r="J75" s="44"/>
      <c r="K75" s="79" t="s">
        <v>25</v>
      </c>
      <c r="L75" s="10"/>
      <c r="M75" s="105">
        <f>M79+M76+M83+M86+M89</f>
        <v>68700000</v>
      </c>
      <c r="N75" s="94">
        <f>Oktober!R75</f>
        <v>36110000</v>
      </c>
      <c r="O75" s="99">
        <f t="shared" si="0"/>
        <v>52.561863173216885</v>
      </c>
      <c r="P75" s="106">
        <f>P79+P76+P83+P86+P89</f>
        <v>0</v>
      </c>
      <c r="Q75" s="95">
        <f t="shared" si="1"/>
        <v>0</v>
      </c>
      <c r="R75" s="106">
        <f>R79+R76+R83+R86+R89</f>
        <v>36110000</v>
      </c>
      <c r="S75" s="95">
        <f t="shared" si="2"/>
        <v>52.561863173216885</v>
      </c>
      <c r="T75" s="96">
        <f>(T79+T76+T83+T86+T89)/5</f>
        <v>0</v>
      </c>
      <c r="U75" s="10"/>
      <c r="V75" s="10"/>
      <c r="W75" s="133"/>
    </row>
    <row r="76" spans="1:23" ht="30" customHeight="1" x14ac:dyDescent="0.25">
      <c r="A76" s="8">
        <v>1</v>
      </c>
      <c r="B76" s="9" t="s">
        <v>17</v>
      </c>
      <c r="C76" s="9" t="s">
        <v>18</v>
      </c>
      <c r="D76" s="8">
        <v>38</v>
      </c>
      <c r="E76" s="8">
        <v>14</v>
      </c>
      <c r="F76" s="42" t="s">
        <v>21</v>
      </c>
      <c r="G76" s="42" t="s">
        <v>22</v>
      </c>
      <c r="H76" s="42" t="s">
        <v>24</v>
      </c>
      <c r="I76" s="42" t="s">
        <v>44</v>
      </c>
      <c r="J76" s="44"/>
      <c r="K76" s="80" t="s">
        <v>111</v>
      </c>
      <c r="L76" s="10"/>
      <c r="M76" s="103">
        <f>M77</f>
        <v>7500000</v>
      </c>
      <c r="N76" s="94">
        <f>Oktober!R76</f>
        <v>7500000</v>
      </c>
      <c r="O76" s="99">
        <f t="shared" si="0"/>
        <v>100</v>
      </c>
      <c r="P76" s="104">
        <f>P77</f>
        <v>0</v>
      </c>
      <c r="Q76" s="95">
        <f t="shared" si="1"/>
        <v>0</v>
      </c>
      <c r="R76" s="104">
        <f>R77</f>
        <v>7500000</v>
      </c>
      <c r="S76" s="95">
        <f t="shared" si="2"/>
        <v>100</v>
      </c>
      <c r="T76" s="96">
        <f>T77</f>
        <v>0</v>
      </c>
      <c r="U76" s="10"/>
      <c r="V76" s="10"/>
      <c r="W76" s="133"/>
    </row>
    <row r="77" spans="1:23" ht="20.100000000000001" customHeight="1" x14ac:dyDescent="0.25">
      <c r="A77" s="8"/>
      <c r="B77" s="9"/>
      <c r="C77" s="9"/>
      <c r="D77" s="8"/>
      <c r="E77" s="8"/>
      <c r="F77" s="42"/>
      <c r="G77" s="42"/>
      <c r="H77" s="42"/>
      <c r="I77" s="48"/>
      <c r="J77" s="55" t="s">
        <v>35</v>
      </c>
      <c r="K77" s="73" t="s">
        <v>112</v>
      </c>
      <c r="L77" s="10"/>
      <c r="M77" s="97">
        <v>7500000</v>
      </c>
      <c r="N77" s="94">
        <f>Oktober!R77</f>
        <v>7500000</v>
      </c>
      <c r="O77" s="99">
        <f t="shared" ref="O77:O90" si="9">N77/M77*100</f>
        <v>100</v>
      </c>
      <c r="P77" s="98"/>
      <c r="Q77" s="99">
        <f t="shared" ref="Q77:Q90" si="10">P77/M77*100</f>
        <v>0</v>
      </c>
      <c r="R77" s="98">
        <f>N77+P77</f>
        <v>7500000</v>
      </c>
      <c r="S77" s="99">
        <f t="shared" ref="S77:S90" si="11">R77/M77*100</f>
        <v>100</v>
      </c>
      <c r="T77" s="100">
        <f>0/3*100</f>
        <v>0</v>
      </c>
      <c r="U77" s="10"/>
      <c r="V77" s="10"/>
      <c r="W77" s="133"/>
    </row>
    <row r="78" spans="1:23" ht="9.9499999999999993" customHeight="1" x14ac:dyDescent="0.25">
      <c r="A78" s="8"/>
      <c r="B78" s="9"/>
      <c r="C78" s="9"/>
      <c r="D78" s="8"/>
      <c r="E78" s="8"/>
      <c r="F78" s="42"/>
      <c r="G78" s="42"/>
      <c r="H78" s="42"/>
      <c r="I78" s="55"/>
      <c r="J78" s="55"/>
      <c r="K78" s="78"/>
      <c r="L78" s="10"/>
      <c r="M78" s="97"/>
      <c r="N78" s="94">
        <f>Oktober!R78</f>
        <v>0</v>
      </c>
      <c r="O78" s="99"/>
      <c r="P78" s="26"/>
      <c r="Q78" s="95"/>
      <c r="R78" s="98"/>
      <c r="S78" s="95"/>
      <c r="T78" s="100"/>
      <c r="U78" s="10"/>
      <c r="V78" s="10"/>
      <c r="W78" s="133"/>
    </row>
    <row r="79" spans="1:23" s="174" customFormat="1" ht="30" customHeight="1" x14ac:dyDescent="0.25">
      <c r="A79" s="8">
        <v>1</v>
      </c>
      <c r="B79" s="9" t="s">
        <v>17</v>
      </c>
      <c r="C79" s="9" t="s">
        <v>18</v>
      </c>
      <c r="D79" s="8">
        <v>38</v>
      </c>
      <c r="E79" s="8">
        <v>14</v>
      </c>
      <c r="F79" s="42" t="s">
        <v>21</v>
      </c>
      <c r="G79" s="42" t="s">
        <v>22</v>
      </c>
      <c r="H79" s="42" t="s">
        <v>24</v>
      </c>
      <c r="I79" s="60" t="s">
        <v>113</v>
      </c>
      <c r="J79" s="60"/>
      <c r="K79" s="79" t="s">
        <v>45</v>
      </c>
      <c r="L79" s="127"/>
      <c r="M79" s="103">
        <f>SUM(M80:M81)</f>
        <v>12200000</v>
      </c>
      <c r="N79" s="94">
        <f>Oktober!R79</f>
        <v>8690000</v>
      </c>
      <c r="O79" s="95">
        <f t="shared" si="9"/>
        <v>71.229508196721312</v>
      </c>
      <c r="P79" s="147">
        <f>SUM(P80:P81)</f>
        <v>0</v>
      </c>
      <c r="Q79" s="95">
        <f t="shared" si="10"/>
        <v>0</v>
      </c>
      <c r="R79" s="104">
        <f>SUM(R80:R81)</f>
        <v>8690000</v>
      </c>
      <c r="S79" s="95">
        <f t="shared" si="11"/>
        <v>71.229508196721312</v>
      </c>
      <c r="T79" s="96">
        <f>SUM(T80:T81)/2</f>
        <v>0</v>
      </c>
      <c r="U79" s="127"/>
      <c r="V79" s="127"/>
      <c r="W79" s="173"/>
    </row>
    <row r="80" spans="1:23" ht="20.100000000000001" customHeight="1" x14ac:dyDescent="0.25">
      <c r="A80" s="6"/>
      <c r="B80" s="7"/>
      <c r="C80" s="7"/>
      <c r="D80" s="6"/>
      <c r="E80" s="6"/>
      <c r="F80" s="48"/>
      <c r="G80" s="48"/>
      <c r="H80" s="48"/>
      <c r="I80" s="55"/>
      <c r="J80" s="55" t="s">
        <v>18</v>
      </c>
      <c r="K80" s="78" t="s">
        <v>114</v>
      </c>
      <c r="L80" s="10"/>
      <c r="M80" s="97">
        <v>11200000</v>
      </c>
      <c r="N80" s="94">
        <f>Oktober!R80</f>
        <v>8690000</v>
      </c>
      <c r="O80" s="99">
        <f t="shared" si="9"/>
        <v>77.589285714285722</v>
      </c>
      <c r="P80" s="26"/>
      <c r="Q80" s="99">
        <f t="shared" si="10"/>
        <v>0</v>
      </c>
      <c r="R80" s="98">
        <f>N80+P80</f>
        <v>8690000</v>
      </c>
      <c r="S80" s="99">
        <f t="shared" si="11"/>
        <v>77.589285714285722</v>
      </c>
      <c r="T80" s="100">
        <f>0/4*100</f>
        <v>0</v>
      </c>
      <c r="U80" s="10"/>
      <c r="V80" s="10"/>
      <c r="W80" s="133"/>
    </row>
    <row r="81" spans="1:23" ht="20.100000000000001" customHeight="1" x14ac:dyDescent="0.25">
      <c r="A81" s="6"/>
      <c r="B81" s="7"/>
      <c r="C81" s="7"/>
      <c r="D81" s="6"/>
      <c r="E81" s="6"/>
      <c r="F81" s="48"/>
      <c r="G81" s="48"/>
      <c r="H81" s="48"/>
      <c r="I81" s="55"/>
      <c r="J81" s="55" t="s">
        <v>17</v>
      </c>
      <c r="K81" s="78" t="s">
        <v>115</v>
      </c>
      <c r="L81" s="10"/>
      <c r="M81" s="97">
        <v>1000000</v>
      </c>
      <c r="N81" s="94">
        <f>Oktober!R81</f>
        <v>0</v>
      </c>
      <c r="O81" s="99">
        <f t="shared" si="9"/>
        <v>0</v>
      </c>
      <c r="P81" s="26"/>
      <c r="Q81" s="95">
        <f t="shared" si="10"/>
        <v>0</v>
      </c>
      <c r="R81" s="98">
        <f>N81+P81</f>
        <v>0</v>
      </c>
      <c r="S81" s="95">
        <f t="shared" si="11"/>
        <v>0</v>
      </c>
      <c r="T81" s="100">
        <f>0/1*100</f>
        <v>0</v>
      </c>
      <c r="U81" s="10"/>
      <c r="V81" s="10"/>
      <c r="W81" s="133"/>
    </row>
    <row r="82" spans="1:23" ht="9.9499999999999993" customHeight="1" x14ac:dyDescent="0.25">
      <c r="A82" s="8"/>
      <c r="B82" s="9"/>
      <c r="C82" s="9"/>
      <c r="D82" s="8"/>
      <c r="E82" s="8"/>
      <c r="F82" s="42"/>
      <c r="G82" s="42"/>
      <c r="H82" s="42"/>
      <c r="I82" s="55"/>
      <c r="J82" s="55"/>
      <c r="K82" s="78"/>
      <c r="L82" s="10"/>
      <c r="M82" s="97"/>
      <c r="N82" s="94">
        <f>Oktober!R82</f>
        <v>0</v>
      </c>
      <c r="O82" s="99"/>
      <c r="P82" s="26"/>
      <c r="Q82" s="95"/>
      <c r="R82" s="98"/>
      <c r="S82" s="95"/>
      <c r="T82" s="100"/>
      <c r="U82" s="10"/>
      <c r="V82" s="10"/>
      <c r="W82" s="133"/>
    </row>
    <row r="83" spans="1:23" s="174" customFormat="1" ht="30" customHeight="1" x14ac:dyDescent="0.25">
      <c r="A83" s="8">
        <v>1</v>
      </c>
      <c r="B83" s="9" t="s">
        <v>17</v>
      </c>
      <c r="C83" s="9" t="s">
        <v>18</v>
      </c>
      <c r="D83" s="8">
        <v>38</v>
      </c>
      <c r="E83" s="8">
        <v>14</v>
      </c>
      <c r="F83" s="42" t="s">
        <v>21</v>
      </c>
      <c r="G83" s="42" t="s">
        <v>22</v>
      </c>
      <c r="H83" s="42" t="s">
        <v>24</v>
      </c>
      <c r="I83" s="60" t="s">
        <v>78</v>
      </c>
      <c r="J83" s="60"/>
      <c r="K83" s="79" t="s">
        <v>116</v>
      </c>
      <c r="L83" s="127"/>
      <c r="M83" s="103">
        <f>M84</f>
        <v>26000000</v>
      </c>
      <c r="N83" s="94">
        <f>Oktober!R83</f>
        <v>0</v>
      </c>
      <c r="O83" s="95">
        <f t="shared" si="9"/>
        <v>0</v>
      </c>
      <c r="P83" s="147">
        <f>P84</f>
        <v>0</v>
      </c>
      <c r="Q83" s="95">
        <f t="shared" si="10"/>
        <v>0</v>
      </c>
      <c r="R83" s="104">
        <f>R84</f>
        <v>0</v>
      </c>
      <c r="S83" s="95">
        <f t="shared" si="11"/>
        <v>0</v>
      </c>
      <c r="T83" s="96">
        <f>T84</f>
        <v>0</v>
      </c>
      <c r="U83" s="127"/>
      <c r="V83" s="127"/>
      <c r="W83" s="173"/>
    </row>
    <row r="84" spans="1:23" ht="20.100000000000001" customHeight="1" x14ac:dyDescent="0.25">
      <c r="A84" s="6"/>
      <c r="B84" s="7"/>
      <c r="C84" s="7"/>
      <c r="D84" s="6"/>
      <c r="E84" s="6"/>
      <c r="F84" s="48"/>
      <c r="G84" s="48"/>
      <c r="H84" s="48"/>
      <c r="I84" s="55"/>
      <c r="J84" s="55" t="s">
        <v>117</v>
      </c>
      <c r="K84" s="78" t="s">
        <v>118</v>
      </c>
      <c r="L84" s="10"/>
      <c r="M84" s="97">
        <v>26000000</v>
      </c>
      <c r="N84" s="94">
        <f>Oktober!R84</f>
        <v>0</v>
      </c>
      <c r="O84" s="99">
        <f t="shared" si="9"/>
        <v>0</v>
      </c>
      <c r="P84" s="26"/>
      <c r="Q84" s="95">
        <f t="shared" si="10"/>
        <v>0</v>
      </c>
      <c r="R84" s="98">
        <f>N84+P84</f>
        <v>0</v>
      </c>
      <c r="S84" s="95">
        <f t="shared" si="11"/>
        <v>0</v>
      </c>
      <c r="T84" s="100">
        <f>0/2*100</f>
        <v>0</v>
      </c>
      <c r="U84" s="10"/>
      <c r="V84" s="10"/>
      <c r="W84" s="133"/>
    </row>
    <row r="85" spans="1:23" ht="9.9499999999999993" customHeight="1" x14ac:dyDescent="0.25">
      <c r="A85" s="8"/>
      <c r="B85" s="9"/>
      <c r="C85" s="9"/>
      <c r="D85" s="8"/>
      <c r="E85" s="8"/>
      <c r="F85" s="42"/>
      <c r="G85" s="42"/>
      <c r="H85" s="42"/>
      <c r="I85" s="55"/>
      <c r="J85" s="55"/>
      <c r="K85" s="78"/>
      <c r="L85" s="10"/>
      <c r="M85" s="97"/>
      <c r="N85" s="94">
        <f>Oktober!R85</f>
        <v>0</v>
      </c>
      <c r="O85" s="99"/>
      <c r="P85" s="26"/>
      <c r="Q85" s="95"/>
      <c r="R85" s="98"/>
      <c r="S85" s="95"/>
      <c r="T85" s="100"/>
      <c r="U85" s="10"/>
      <c r="V85" s="10"/>
      <c r="W85" s="133"/>
    </row>
    <row r="86" spans="1:23" s="174" customFormat="1" ht="30" customHeight="1" x14ac:dyDescent="0.25">
      <c r="A86" s="8">
        <v>1</v>
      </c>
      <c r="B86" s="9" t="s">
        <v>17</v>
      </c>
      <c r="C86" s="9" t="s">
        <v>18</v>
      </c>
      <c r="D86" s="8">
        <v>38</v>
      </c>
      <c r="E86" s="8">
        <v>14</v>
      </c>
      <c r="F86" s="42" t="s">
        <v>21</v>
      </c>
      <c r="G86" s="42" t="s">
        <v>22</v>
      </c>
      <c r="H86" s="42" t="s">
        <v>24</v>
      </c>
      <c r="I86" s="60" t="s">
        <v>119</v>
      </c>
      <c r="J86" s="60"/>
      <c r="K86" s="79" t="s">
        <v>120</v>
      </c>
      <c r="L86" s="127"/>
      <c r="M86" s="103">
        <f>M87</f>
        <v>14000000</v>
      </c>
      <c r="N86" s="94">
        <f>Oktober!R86</f>
        <v>12180000</v>
      </c>
      <c r="O86" s="95">
        <f t="shared" si="9"/>
        <v>87</v>
      </c>
      <c r="P86" s="147">
        <f>P87</f>
        <v>0</v>
      </c>
      <c r="Q86" s="95">
        <f t="shared" si="10"/>
        <v>0</v>
      </c>
      <c r="R86" s="104">
        <f>R87</f>
        <v>12180000</v>
      </c>
      <c r="S86" s="95">
        <f t="shared" si="11"/>
        <v>87</v>
      </c>
      <c r="T86" s="96">
        <f>T87</f>
        <v>0</v>
      </c>
      <c r="U86" s="127"/>
      <c r="V86" s="127"/>
      <c r="W86" s="173"/>
    </row>
    <row r="87" spans="1:23" ht="20.100000000000001" customHeight="1" x14ac:dyDescent="0.25">
      <c r="A87" s="6"/>
      <c r="B87" s="7"/>
      <c r="C87" s="7"/>
      <c r="D87" s="6"/>
      <c r="E87" s="6"/>
      <c r="F87" s="157"/>
      <c r="G87" s="157"/>
      <c r="H87" s="157"/>
      <c r="I87" s="48"/>
      <c r="J87" s="48" t="s">
        <v>17</v>
      </c>
      <c r="K87" s="78" t="s">
        <v>121</v>
      </c>
      <c r="L87" s="10"/>
      <c r="M87" s="107">
        <v>14000000</v>
      </c>
      <c r="N87" s="94">
        <f>Oktober!R87</f>
        <v>12180000</v>
      </c>
      <c r="O87" s="99">
        <f t="shared" si="9"/>
        <v>87</v>
      </c>
      <c r="P87" s="108"/>
      <c r="Q87" s="99">
        <f t="shared" si="10"/>
        <v>0</v>
      </c>
      <c r="R87" s="108">
        <f>N87+P87</f>
        <v>12180000</v>
      </c>
      <c r="S87" s="99">
        <f t="shared" si="11"/>
        <v>87</v>
      </c>
      <c r="T87" s="100">
        <f>0/2*100</f>
        <v>0</v>
      </c>
      <c r="U87" s="10"/>
      <c r="V87" s="10"/>
      <c r="W87" s="133"/>
    </row>
    <row r="88" spans="1:23" ht="9.9499999999999993" customHeight="1" x14ac:dyDescent="0.25">
      <c r="A88" s="63"/>
      <c r="B88" s="63"/>
      <c r="C88" s="63"/>
      <c r="D88" s="63"/>
      <c r="E88" s="63"/>
      <c r="F88" s="42"/>
      <c r="G88" s="42"/>
      <c r="H88" s="42"/>
      <c r="I88" s="42"/>
      <c r="J88" s="65"/>
      <c r="K88" s="92"/>
      <c r="L88" s="10"/>
      <c r="M88" s="107"/>
      <c r="N88" s="94">
        <f>Oktober!R88</f>
        <v>0</v>
      </c>
      <c r="O88" s="99"/>
      <c r="P88" s="26"/>
      <c r="Q88" s="95"/>
      <c r="R88" s="108"/>
      <c r="S88" s="95"/>
      <c r="T88" s="100"/>
      <c r="U88" s="10"/>
      <c r="V88" s="10"/>
      <c r="W88" s="133"/>
    </row>
    <row r="89" spans="1:23" s="174" customFormat="1" ht="30" customHeight="1" x14ac:dyDescent="0.25">
      <c r="A89" s="8">
        <v>1</v>
      </c>
      <c r="B89" s="9" t="s">
        <v>17</v>
      </c>
      <c r="C89" s="9" t="s">
        <v>18</v>
      </c>
      <c r="D89" s="8">
        <v>38</v>
      </c>
      <c r="E89" s="8">
        <v>14</v>
      </c>
      <c r="F89" s="42" t="s">
        <v>21</v>
      </c>
      <c r="G89" s="42" t="s">
        <v>22</v>
      </c>
      <c r="H89" s="42" t="s">
        <v>24</v>
      </c>
      <c r="I89" s="42" t="s">
        <v>122</v>
      </c>
      <c r="J89" s="71"/>
      <c r="K89" s="150" t="s">
        <v>123</v>
      </c>
      <c r="L89" s="127"/>
      <c r="M89" s="105">
        <f>M90</f>
        <v>9000000</v>
      </c>
      <c r="N89" s="94">
        <f>Oktober!R89</f>
        <v>7740000</v>
      </c>
      <c r="O89" s="95">
        <f t="shared" si="9"/>
        <v>86</v>
      </c>
      <c r="P89" s="147">
        <f>P90</f>
        <v>0</v>
      </c>
      <c r="Q89" s="95">
        <f t="shared" si="10"/>
        <v>0</v>
      </c>
      <c r="R89" s="106">
        <f>R90</f>
        <v>7740000</v>
      </c>
      <c r="S89" s="95">
        <f t="shared" si="11"/>
        <v>86</v>
      </c>
      <c r="T89" s="96">
        <f>T90</f>
        <v>0</v>
      </c>
      <c r="U89" s="127"/>
      <c r="V89" s="127"/>
      <c r="W89" s="173"/>
    </row>
    <row r="90" spans="1:23" ht="20.100000000000001" customHeight="1" x14ac:dyDescent="0.25">
      <c r="A90" s="63"/>
      <c r="B90" s="63"/>
      <c r="C90" s="63"/>
      <c r="D90" s="63"/>
      <c r="E90" s="63"/>
      <c r="F90" s="48"/>
      <c r="G90" s="48"/>
      <c r="H90" s="48"/>
      <c r="I90" s="48"/>
      <c r="J90" s="65" t="s">
        <v>34</v>
      </c>
      <c r="K90" s="92" t="s">
        <v>124</v>
      </c>
      <c r="L90" s="10"/>
      <c r="M90" s="107">
        <v>9000000</v>
      </c>
      <c r="N90" s="94">
        <f>Oktober!R90</f>
        <v>7740000</v>
      </c>
      <c r="O90" s="99">
        <f t="shared" si="9"/>
        <v>86</v>
      </c>
      <c r="P90" s="26"/>
      <c r="Q90" s="99">
        <f t="shared" si="10"/>
        <v>0</v>
      </c>
      <c r="R90" s="108">
        <f>N90+P90</f>
        <v>7740000</v>
      </c>
      <c r="S90" s="99">
        <f t="shared" si="11"/>
        <v>86</v>
      </c>
      <c r="T90" s="100">
        <f>0/3*100</f>
        <v>0</v>
      </c>
      <c r="U90" s="10"/>
      <c r="V90" s="10"/>
      <c r="W90" s="133"/>
    </row>
    <row r="91" spans="1:23" ht="9.9499999999999993" customHeight="1" x14ac:dyDescent="0.25">
      <c r="A91" s="63"/>
      <c r="B91" s="63"/>
      <c r="C91" s="63"/>
      <c r="D91" s="63"/>
      <c r="E91" s="63"/>
      <c r="F91" s="42"/>
      <c r="G91" s="42"/>
      <c r="H91" s="42"/>
      <c r="I91" s="42"/>
      <c r="J91" s="65"/>
      <c r="K91" s="92"/>
      <c r="L91" s="10"/>
      <c r="M91" s="107"/>
      <c r="N91" s="94"/>
      <c r="O91" s="99"/>
      <c r="P91" s="26"/>
      <c r="Q91" s="99"/>
      <c r="R91" s="108"/>
      <c r="S91" s="99"/>
      <c r="T91" s="100"/>
      <c r="U91" s="10"/>
      <c r="V91" s="10"/>
      <c r="W91" s="133"/>
    </row>
    <row r="92" spans="1:23" x14ac:dyDescent="0.25">
      <c r="A92" s="171"/>
      <c r="B92" s="171"/>
      <c r="C92" s="171"/>
      <c r="D92" s="171"/>
      <c r="E92" s="171"/>
      <c r="F92" s="171"/>
      <c r="G92" s="171"/>
      <c r="H92" s="171"/>
      <c r="I92" s="171"/>
      <c r="J92" s="171"/>
      <c r="K92" s="171"/>
      <c r="L92" s="171"/>
      <c r="M92" s="175"/>
      <c r="N92" s="171"/>
      <c r="O92" s="171"/>
      <c r="P92" s="171"/>
      <c r="Q92" s="171"/>
      <c r="R92" s="171"/>
      <c r="S92" s="171"/>
      <c r="T92" s="171"/>
      <c r="U92" s="171"/>
      <c r="V92" s="171"/>
      <c r="W92" s="171"/>
    </row>
    <row r="93" spans="1:23" x14ac:dyDescent="0.25">
      <c r="A93" s="171"/>
      <c r="B93" s="171"/>
      <c r="C93" s="171"/>
      <c r="D93" s="171"/>
      <c r="E93" s="171"/>
      <c r="F93" s="171"/>
      <c r="G93" s="171"/>
      <c r="H93" s="171"/>
      <c r="I93" s="171"/>
      <c r="J93" s="171"/>
      <c r="K93" s="171"/>
      <c r="L93" s="171"/>
      <c r="M93" s="175"/>
      <c r="N93" s="171"/>
      <c r="O93" s="171"/>
      <c r="P93" s="171"/>
      <c r="Q93" s="171"/>
      <c r="R93" s="171"/>
      <c r="S93" s="171"/>
      <c r="T93" s="171"/>
      <c r="U93" s="171"/>
      <c r="V93" s="171"/>
      <c r="W93" s="171"/>
    </row>
    <row r="94" spans="1:23" x14ac:dyDescent="0.25">
      <c r="A94" s="171"/>
      <c r="B94" s="171"/>
      <c r="C94" s="171"/>
      <c r="D94" s="171"/>
      <c r="E94" s="171"/>
      <c r="F94" s="171"/>
      <c r="G94" s="171"/>
      <c r="H94" s="171"/>
      <c r="I94" s="171"/>
      <c r="J94" s="171"/>
      <c r="K94" s="171"/>
      <c r="L94" s="171"/>
      <c r="M94" s="175"/>
      <c r="N94" s="171"/>
      <c r="O94" s="171"/>
      <c r="P94" s="171"/>
      <c r="Q94" s="171"/>
      <c r="R94" s="171"/>
      <c r="S94" s="171"/>
      <c r="T94" s="171"/>
      <c r="U94" s="171"/>
      <c r="V94" s="171"/>
      <c r="W94" s="171"/>
    </row>
    <row r="95" spans="1:23" x14ac:dyDescent="0.25">
      <c r="A95" s="171"/>
      <c r="B95" s="171"/>
      <c r="C95" s="171"/>
      <c r="D95" s="171"/>
      <c r="E95" s="171"/>
      <c r="F95" s="171"/>
      <c r="G95" s="171"/>
      <c r="H95" s="171"/>
      <c r="I95" s="171"/>
      <c r="J95" s="171"/>
      <c r="K95" s="171"/>
      <c r="L95" s="171"/>
      <c r="M95" s="175"/>
      <c r="N95" s="171"/>
      <c r="O95" s="171"/>
      <c r="P95" s="171"/>
      <c r="Q95" s="171"/>
      <c r="R95" s="171"/>
      <c r="S95" s="171"/>
      <c r="T95" s="171"/>
      <c r="U95" s="171"/>
      <c r="V95" s="171"/>
      <c r="W95" s="171"/>
    </row>
    <row r="96" spans="1:23" x14ac:dyDescent="0.25">
      <c r="A96" s="171"/>
      <c r="B96" s="171"/>
      <c r="C96" s="171"/>
      <c r="D96" s="171"/>
      <c r="E96" s="171"/>
      <c r="F96" s="171"/>
      <c r="G96" s="171"/>
      <c r="H96" s="171"/>
      <c r="I96" s="171"/>
      <c r="J96" s="171"/>
      <c r="K96" s="171"/>
      <c r="L96" s="171"/>
      <c r="M96" s="175"/>
      <c r="N96" s="171"/>
      <c r="O96" s="171"/>
      <c r="P96" s="171"/>
      <c r="Q96" s="171"/>
      <c r="R96" s="171"/>
      <c r="S96" s="171"/>
      <c r="T96" s="171"/>
      <c r="U96" s="171"/>
      <c r="V96" s="171"/>
      <c r="W96" s="171"/>
    </row>
    <row r="97" spans="1:23" x14ac:dyDescent="0.25">
      <c r="A97" s="171"/>
      <c r="B97" s="171"/>
      <c r="C97" s="171"/>
      <c r="D97" s="171"/>
      <c r="E97" s="171"/>
      <c r="F97" s="171"/>
      <c r="G97" s="171"/>
      <c r="H97" s="171"/>
      <c r="I97" s="171"/>
      <c r="J97" s="171"/>
      <c r="K97" s="171"/>
      <c r="L97" s="171"/>
      <c r="M97" s="175"/>
      <c r="N97" s="171"/>
      <c r="O97" s="171"/>
      <c r="P97" s="192" t="s">
        <v>86</v>
      </c>
      <c r="Q97" s="192"/>
      <c r="R97" s="192"/>
      <c r="S97" s="192"/>
      <c r="T97" s="192"/>
      <c r="U97" s="192"/>
      <c r="V97" s="192"/>
      <c r="W97" s="176"/>
    </row>
    <row r="98" spans="1:23" x14ac:dyDescent="0.25">
      <c r="A98" s="171"/>
      <c r="B98" s="171"/>
      <c r="C98" s="171"/>
      <c r="D98" s="171"/>
      <c r="E98" s="171"/>
      <c r="F98" s="171"/>
      <c r="G98" s="171"/>
      <c r="H98" s="171"/>
      <c r="I98" s="171"/>
      <c r="J98" s="171"/>
      <c r="K98" s="171"/>
      <c r="L98" s="171"/>
      <c r="M98" s="175"/>
      <c r="N98" s="171"/>
      <c r="O98" s="171"/>
      <c r="P98" s="192" t="s">
        <v>46</v>
      </c>
      <c r="Q98" s="192"/>
      <c r="R98" s="192"/>
      <c r="S98" s="192"/>
      <c r="T98" s="192"/>
      <c r="U98" s="192"/>
      <c r="V98" s="192"/>
      <c r="W98" s="176"/>
    </row>
    <row r="99" spans="1:23" x14ac:dyDescent="0.25">
      <c r="A99" s="171"/>
      <c r="B99" s="171"/>
      <c r="C99" s="171"/>
      <c r="D99" s="171"/>
      <c r="E99" s="171"/>
      <c r="F99" s="171"/>
      <c r="G99" s="171"/>
      <c r="H99" s="171"/>
      <c r="I99" s="171"/>
      <c r="J99" s="171"/>
      <c r="K99" s="171"/>
      <c r="L99" s="171"/>
      <c r="M99" s="175"/>
      <c r="N99" s="171"/>
      <c r="O99" s="171"/>
      <c r="P99" s="177"/>
      <c r="Q99" s="177"/>
      <c r="R99" s="177"/>
      <c r="S99" s="177"/>
      <c r="T99" s="177"/>
      <c r="U99" s="177"/>
      <c r="V99" s="177"/>
      <c r="W99" s="171"/>
    </row>
    <row r="100" spans="1:23" x14ac:dyDescent="0.25">
      <c r="A100" s="171"/>
      <c r="B100" s="171"/>
      <c r="C100" s="171"/>
      <c r="D100" s="171"/>
      <c r="E100" s="171"/>
      <c r="F100" s="171"/>
      <c r="G100" s="171"/>
      <c r="H100" s="171"/>
      <c r="I100" s="171"/>
      <c r="J100" s="171"/>
      <c r="K100" s="171"/>
      <c r="L100" s="171"/>
      <c r="M100" s="175"/>
      <c r="N100" s="171"/>
      <c r="O100" s="171"/>
      <c r="P100" s="177"/>
      <c r="Q100" s="177"/>
      <c r="R100" s="177"/>
      <c r="S100" s="177"/>
      <c r="T100" s="177"/>
      <c r="U100" s="177"/>
      <c r="V100" s="177"/>
      <c r="W100" s="171"/>
    </row>
    <row r="101" spans="1:23" x14ac:dyDescent="0.25">
      <c r="A101" s="171"/>
      <c r="B101" s="171"/>
      <c r="C101" s="171"/>
      <c r="D101" s="171"/>
      <c r="E101" s="171"/>
      <c r="F101" s="171"/>
      <c r="G101" s="171"/>
      <c r="H101" s="171"/>
      <c r="I101" s="171"/>
      <c r="J101" s="171"/>
      <c r="K101" s="171"/>
      <c r="L101" s="171"/>
      <c r="M101" s="175"/>
      <c r="N101" s="171"/>
      <c r="O101" s="171"/>
      <c r="P101" s="177"/>
      <c r="Q101" s="177"/>
      <c r="R101" s="177"/>
      <c r="S101" s="177"/>
      <c r="T101" s="177"/>
      <c r="U101" s="177"/>
      <c r="V101" s="177"/>
      <c r="W101" s="171"/>
    </row>
    <row r="102" spans="1:23" x14ac:dyDescent="0.25">
      <c r="A102" s="171"/>
      <c r="B102" s="171"/>
      <c r="C102" s="171"/>
      <c r="D102" s="171"/>
      <c r="E102" s="171"/>
      <c r="F102" s="171"/>
      <c r="G102" s="171"/>
      <c r="H102" s="171"/>
      <c r="I102" s="171"/>
      <c r="J102" s="171"/>
      <c r="K102" s="171"/>
      <c r="L102" s="171"/>
      <c r="M102" s="175"/>
      <c r="N102" s="171"/>
      <c r="O102" s="171"/>
      <c r="P102" s="177"/>
      <c r="Q102" s="177"/>
      <c r="R102" s="177"/>
      <c r="S102" s="177"/>
      <c r="T102" s="177"/>
      <c r="U102" s="177"/>
      <c r="V102" s="177"/>
      <c r="W102" s="171"/>
    </row>
    <row r="103" spans="1:23" x14ac:dyDescent="0.25">
      <c r="A103" s="171"/>
      <c r="B103" s="171"/>
      <c r="C103" s="171"/>
      <c r="D103" s="171"/>
      <c r="E103" s="171"/>
      <c r="F103" s="171"/>
      <c r="G103" s="171"/>
      <c r="H103" s="171"/>
      <c r="I103" s="171"/>
      <c r="J103" s="171"/>
      <c r="K103" s="171"/>
      <c r="L103" s="171"/>
      <c r="M103" s="175"/>
      <c r="N103" s="171"/>
      <c r="O103" s="171"/>
      <c r="P103" s="193" t="s">
        <v>70</v>
      </c>
      <c r="Q103" s="193"/>
      <c r="R103" s="193"/>
      <c r="S103" s="193"/>
      <c r="T103" s="193"/>
      <c r="U103" s="193"/>
      <c r="V103" s="193"/>
      <c r="W103" s="178"/>
    </row>
    <row r="104" spans="1:23" x14ac:dyDescent="0.25">
      <c r="A104" s="171"/>
      <c r="B104" s="171"/>
      <c r="C104" s="171"/>
      <c r="D104" s="171"/>
      <c r="E104" s="171"/>
      <c r="F104" s="171"/>
      <c r="G104" s="171"/>
      <c r="H104" s="171"/>
      <c r="I104" s="171"/>
      <c r="J104" s="171"/>
      <c r="K104" s="171"/>
      <c r="L104" s="171"/>
      <c r="M104" s="175"/>
      <c r="N104" s="171"/>
      <c r="O104" s="171"/>
      <c r="P104" s="189" t="s">
        <v>71</v>
      </c>
      <c r="Q104" s="189"/>
      <c r="R104" s="189"/>
      <c r="S104" s="189"/>
      <c r="T104" s="189"/>
      <c r="U104" s="189"/>
      <c r="V104" s="189"/>
      <c r="W104" s="179"/>
    </row>
  </sheetData>
  <mergeCells count="24">
    <mergeCell ref="R8:S8"/>
    <mergeCell ref="P104:V104"/>
    <mergeCell ref="A10:J10"/>
    <mergeCell ref="L10:L11"/>
    <mergeCell ref="A11:J11"/>
    <mergeCell ref="P97:V97"/>
    <mergeCell ref="P98:V98"/>
    <mergeCell ref="P103:V103"/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T7"/>
    <mergeCell ref="N8:O8"/>
    <mergeCell ref="P8:Q8"/>
  </mergeCells>
  <pageMargins left="0.51181102362204722" right="0.39370078740157483" top="0.59055118110236227" bottom="0.59055118110236227" header="0.31496062992125984" footer="0.31496062992125984"/>
  <pageSetup paperSize="10000" scale="7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W104"/>
  <sheetViews>
    <sheetView topLeftCell="A7" workbookViewId="0">
      <selection activeCell="T19" sqref="T19"/>
    </sheetView>
  </sheetViews>
  <sheetFormatPr defaultRowHeight="15" x14ac:dyDescent="0.2"/>
  <cols>
    <col min="1" max="8" width="2.7109375" style="1" customWidth="1"/>
    <col min="9" max="9" width="3.140625" style="1" customWidth="1"/>
    <col min="10" max="10" width="3.5703125" style="1" customWidth="1"/>
    <col min="11" max="11" width="44.5703125" style="1" customWidth="1"/>
    <col min="12" max="12" width="11" style="1" customWidth="1"/>
    <col min="13" max="13" width="14.5703125" style="31" customWidth="1"/>
    <col min="14" max="14" width="13" style="1" customWidth="1"/>
    <col min="15" max="15" width="7.5703125" style="1" customWidth="1"/>
    <col min="16" max="16" width="13.28515625" style="1" customWidth="1"/>
    <col min="17" max="17" width="8" style="1" customWidth="1"/>
    <col min="18" max="18" width="13" style="1" customWidth="1"/>
    <col min="19" max="19" width="9.42578125" style="1" customWidth="1"/>
    <col min="20" max="20" width="11.140625" style="1" customWidth="1"/>
    <col min="21" max="21" width="15.5703125" style="1" customWidth="1"/>
    <col min="22" max="22" width="22.42578125" style="1" customWidth="1"/>
    <col min="23" max="23" width="18.28515625" style="1" customWidth="1"/>
    <col min="24" max="24" width="15.5703125" style="1" bestFit="1" customWidth="1"/>
    <col min="25" max="25" width="12.85546875" style="1" bestFit="1" customWidth="1"/>
    <col min="26" max="16384" width="9.140625" style="1"/>
  </cols>
  <sheetData>
    <row r="1" spans="1:23" ht="16.5" x14ac:dyDescent="0.25">
      <c r="A1" s="211" t="s">
        <v>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37"/>
    </row>
    <row r="2" spans="1:23" ht="16.5" x14ac:dyDescent="0.25">
      <c r="A2" s="211" t="s">
        <v>72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37"/>
    </row>
    <row r="3" spans="1:23" ht="16.5" x14ac:dyDescent="0.25">
      <c r="A3" s="211" t="s">
        <v>73</v>
      </c>
      <c r="B3" s="211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37"/>
    </row>
    <row r="4" spans="1:23" ht="16.5" x14ac:dyDescent="0.25">
      <c r="A4" s="211" t="s">
        <v>98</v>
      </c>
      <c r="B4" s="211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  <c r="S4" s="211"/>
      <c r="T4" s="211"/>
      <c r="U4" s="211"/>
      <c r="V4" s="211"/>
      <c r="W4" s="37"/>
    </row>
    <row r="5" spans="1:23" ht="18" x14ac:dyDescent="0.25">
      <c r="A5" s="2"/>
      <c r="B5" s="2"/>
      <c r="C5" s="2"/>
      <c r="D5" s="2"/>
      <c r="E5" s="2"/>
    </row>
    <row r="6" spans="1:23" x14ac:dyDescent="0.2">
      <c r="A6" s="195" t="s">
        <v>1</v>
      </c>
      <c r="B6" s="195"/>
      <c r="C6" s="195"/>
      <c r="D6" s="195"/>
      <c r="E6" s="195"/>
      <c r="F6" s="195"/>
      <c r="G6" s="195"/>
      <c r="H6" s="195"/>
      <c r="I6" s="195"/>
      <c r="J6" s="195"/>
      <c r="K6" s="195" t="s">
        <v>2</v>
      </c>
      <c r="L6" s="188" t="s">
        <v>3</v>
      </c>
      <c r="M6" s="196" t="s">
        <v>4</v>
      </c>
      <c r="N6" s="195" t="s">
        <v>5</v>
      </c>
      <c r="O6" s="195"/>
      <c r="P6" s="195"/>
      <c r="Q6" s="195"/>
      <c r="R6" s="195"/>
      <c r="S6" s="195"/>
      <c r="T6" s="195"/>
      <c r="U6" s="188" t="s">
        <v>6</v>
      </c>
      <c r="V6" s="188" t="s">
        <v>7</v>
      </c>
      <c r="W6" s="21"/>
    </row>
    <row r="7" spans="1:23" x14ac:dyDescent="0.2">
      <c r="A7" s="195"/>
      <c r="B7" s="195"/>
      <c r="C7" s="195"/>
      <c r="D7" s="195"/>
      <c r="E7" s="195"/>
      <c r="F7" s="195"/>
      <c r="G7" s="195"/>
      <c r="H7" s="195"/>
      <c r="I7" s="195"/>
      <c r="J7" s="195"/>
      <c r="K7" s="195"/>
      <c r="L7" s="188"/>
      <c r="M7" s="196"/>
      <c r="N7" s="200" t="s">
        <v>8</v>
      </c>
      <c r="O7" s="201"/>
      <c r="P7" s="200" t="s">
        <v>9</v>
      </c>
      <c r="Q7" s="201"/>
      <c r="R7" s="202" t="s">
        <v>10</v>
      </c>
      <c r="S7" s="203"/>
      <c r="T7" s="204"/>
      <c r="U7" s="188"/>
      <c r="V7" s="188"/>
      <c r="W7" s="21"/>
    </row>
    <row r="8" spans="1:23" x14ac:dyDescent="0.2">
      <c r="A8" s="195"/>
      <c r="B8" s="195"/>
      <c r="C8" s="195"/>
      <c r="D8" s="195"/>
      <c r="E8" s="195"/>
      <c r="F8" s="195"/>
      <c r="G8" s="195"/>
      <c r="H8" s="195"/>
      <c r="I8" s="195"/>
      <c r="J8" s="195"/>
      <c r="K8" s="195"/>
      <c r="L8" s="188"/>
      <c r="M8" s="196"/>
      <c r="N8" s="188" t="s">
        <v>11</v>
      </c>
      <c r="O8" s="188"/>
      <c r="P8" s="188" t="s">
        <v>11</v>
      </c>
      <c r="Q8" s="188"/>
      <c r="R8" s="188" t="s">
        <v>11</v>
      </c>
      <c r="S8" s="188"/>
      <c r="T8" s="151" t="s">
        <v>12</v>
      </c>
      <c r="U8" s="188"/>
      <c r="V8" s="188"/>
      <c r="W8" s="21"/>
    </row>
    <row r="9" spans="1:23" x14ac:dyDescent="0.2">
      <c r="A9" s="195"/>
      <c r="B9" s="195"/>
      <c r="C9" s="195"/>
      <c r="D9" s="195"/>
      <c r="E9" s="195"/>
      <c r="F9" s="195"/>
      <c r="G9" s="195"/>
      <c r="H9" s="195"/>
      <c r="I9" s="195"/>
      <c r="J9" s="195"/>
      <c r="K9" s="195"/>
      <c r="L9" s="188"/>
      <c r="M9" s="196"/>
      <c r="N9" s="151" t="s">
        <v>13</v>
      </c>
      <c r="O9" s="151" t="s">
        <v>14</v>
      </c>
      <c r="P9" s="151" t="s">
        <v>13</v>
      </c>
      <c r="Q9" s="151" t="s">
        <v>14</v>
      </c>
      <c r="R9" s="151" t="s">
        <v>13</v>
      </c>
      <c r="S9" s="151" t="s">
        <v>14</v>
      </c>
      <c r="T9" s="151" t="s">
        <v>14</v>
      </c>
      <c r="U9" s="188"/>
      <c r="V9" s="188"/>
      <c r="W9" s="21"/>
    </row>
    <row r="10" spans="1:23" s="4" customFormat="1" ht="25.5" x14ac:dyDescent="0.2">
      <c r="A10" s="190" t="s">
        <v>74</v>
      </c>
      <c r="B10" s="190"/>
      <c r="C10" s="190"/>
      <c r="D10" s="190"/>
      <c r="E10" s="190"/>
      <c r="F10" s="190"/>
      <c r="G10" s="190"/>
      <c r="H10" s="190"/>
      <c r="I10" s="190"/>
      <c r="J10" s="190"/>
      <c r="K10" s="76" t="s">
        <v>72</v>
      </c>
      <c r="L10" s="198" t="s">
        <v>15</v>
      </c>
      <c r="M10" s="32"/>
      <c r="N10" s="3"/>
      <c r="O10" s="153"/>
      <c r="P10" s="153"/>
      <c r="Q10" s="153"/>
      <c r="R10" s="153"/>
      <c r="S10" s="153"/>
      <c r="T10" s="153"/>
      <c r="U10" s="153"/>
      <c r="V10" s="153"/>
      <c r="W10" s="22"/>
    </row>
    <row r="11" spans="1:23" s="4" customFormat="1" ht="39.950000000000003" customHeight="1" x14ac:dyDescent="0.2">
      <c r="A11" s="190" t="s">
        <v>75</v>
      </c>
      <c r="B11" s="190"/>
      <c r="C11" s="190"/>
      <c r="D11" s="190"/>
      <c r="E11" s="190"/>
      <c r="F11" s="190"/>
      <c r="G11" s="190"/>
      <c r="H11" s="190"/>
      <c r="I11" s="190"/>
      <c r="J11" s="190"/>
      <c r="K11" s="76" t="s">
        <v>16</v>
      </c>
      <c r="L11" s="199"/>
      <c r="M11" s="33">
        <f>M12</f>
        <v>908784000</v>
      </c>
      <c r="N11" s="3"/>
      <c r="O11" s="153"/>
      <c r="P11" s="153"/>
      <c r="Q11" s="153"/>
      <c r="R11" s="5"/>
      <c r="S11" s="153"/>
      <c r="T11" s="153"/>
      <c r="U11" s="158"/>
      <c r="V11" s="153"/>
      <c r="W11" s="22"/>
    </row>
    <row r="12" spans="1:23" ht="20.100000000000001" customHeight="1" x14ac:dyDescent="0.2">
      <c r="A12" s="8">
        <v>1</v>
      </c>
      <c r="B12" s="9" t="s">
        <v>17</v>
      </c>
      <c r="C12" s="9" t="s">
        <v>18</v>
      </c>
      <c r="D12" s="8">
        <v>38</v>
      </c>
      <c r="E12" s="8">
        <v>14</v>
      </c>
      <c r="F12" s="38">
        <v>5</v>
      </c>
      <c r="G12" s="38">
        <v>2</v>
      </c>
      <c r="H12" s="38"/>
      <c r="I12" s="39"/>
      <c r="J12" s="40"/>
      <c r="K12" s="77" t="s">
        <v>19</v>
      </c>
      <c r="L12" s="159"/>
      <c r="M12" s="93">
        <f>M13+M14+M15</f>
        <v>908784000</v>
      </c>
      <c r="N12" s="94">
        <f>Nopember!R12</f>
        <v>512926720</v>
      </c>
      <c r="O12" s="95">
        <f>N12/M12*100</f>
        <v>56.440993679466189</v>
      </c>
      <c r="P12" s="94">
        <f>P13+P14+P15</f>
        <v>0</v>
      </c>
      <c r="Q12" s="95">
        <f>P12/M12*100</f>
        <v>0</v>
      </c>
      <c r="R12" s="94">
        <f>R13+R14+R15</f>
        <v>512926720</v>
      </c>
      <c r="S12" s="95">
        <f>R12/M12*100</f>
        <v>56.440993679466189</v>
      </c>
      <c r="T12" s="96">
        <f>SUM(T13:T15)/3</f>
        <v>2.7777777777777772</v>
      </c>
      <c r="U12" s="10"/>
      <c r="V12" s="160"/>
      <c r="W12" s="27"/>
    </row>
    <row r="13" spans="1:23" ht="20.100000000000001" customHeight="1" x14ac:dyDescent="0.2">
      <c r="A13" s="8">
        <v>1</v>
      </c>
      <c r="B13" s="9" t="s">
        <v>17</v>
      </c>
      <c r="C13" s="9" t="s">
        <v>18</v>
      </c>
      <c r="D13" s="8">
        <v>38</v>
      </c>
      <c r="E13" s="8">
        <v>14</v>
      </c>
      <c r="F13" s="41">
        <v>5</v>
      </c>
      <c r="G13" s="41">
        <v>2</v>
      </c>
      <c r="H13" s="41">
        <v>1</v>
      </c>
      <c r="I13" s="42"/>
      <c r="J13" s="43"/>
      <c r="K13" s="73" t="s">
        <v>20</v>
      </c>
      <c r="L13" s="159"/>
      <c r="M13" s="97">
        <f>M17</f>
        <v>545270400</v>
      </c>
      <c r="N13" s="94">
        <f>Nopember!R13</f>
        <v>326963520</v>
      </c>
      <c r="O13" s="99">
        <f t="shared" ref="O13:O76" si="0">N13/M13*100</f>
        <v>59.963555696403105</v>
      </c>
      <c r="P13" s="98">
        <f>P17</f>
        <v>0</v>
      </c>
      <c r="Q13" s="99">
        <f t="shared" ref="Q13:Q76" si="1">P13/M13*100</f>
        <v>0</v>
      </c>
      <c r="R13" s="98">
        <f>N13+P13</f>
        <v>326963520</v>
      </c>
      <c r="S13" s="99">
        <f t="shared" ref="S13:S76" si="2">R13/M13*100</f>
        <v>59.963555696403105</v>
      </c>
      <c r="T13" s="100">
        <f>T17</f>
        <v>8.3333333333333321</v>
      </c>
      <c r="U13" s="10"/>
      <c r="V13" s="10"/>
      <c r="W13" s="23"/>
    </row>
    <row r="14" spans="1:23" ht="20.100000000000001" customHeight="1" x14ac:dyDescent="0.2">
      <c r="A14" s="8">
        <v>1</v>
      </c>
      <c r="B14" s="9" t="s">
        <v>17</v>
      </c>
      <c r="C14" s="9" t="s">
        <v>18</v>
      </c>
      <c r="D14" s="8">
        <v>38</v>
      </c>
      <c r="E14" s="8">
        <v>14</v>
      </c>
      <c r="F14" s="42" t="s">
        <v>21</v>
      </c>
      <c r="G14" s="42" t="s">
        <v>22</v>
      </c>
      <c r="H14" s="42" t="s">
        <v>22</v>
      </c>
      <c r="I14" s="44"/>
      <c r="J14" s="45"/>
      <c r="K14" s="78" t="s">
        <v>23</v>
      </c>
      <c r="L14" s="11"/>
      <c r="M14" s="97">
        <f>M21</f>
        <v>294813600</v>
      </c>
      <c r="N14" s="94">
        <f>Nopember!R14</f>
        <v>149853200</v>
      </c>
      <c r="O14" s="99">
        <f t="shared" si="0"/>
        <v>50.829812464553868</v>
      </c>
      <c r="P14" s="98">
        <f>P21</f>
        <v>0</v>
      </c>
      <c r="Q14" s="99">
        <f t="shared" si="1"/>
        <v>0</v>
      </c>
      <c r="R14" s="98">
        <f>N14+P14</f>
        <v>149853200</v>
      </c>
      <c r="S14" s="99">
        <f t="shared" si="2"/>
        <v>50.829812464553868</v>
      </c>
      <c r="T14" s="100">
        <f>T21</f>
        <v>0</v>
      </c>
      <c r="U14" s="10"/>
      <c r="V14" s="10"/>
      <c r="W14" s="23"/>
    </row>
    <row r="15" spans="1:23" ht="20.100000000000001" customHeight="1" x14ac:dyDescent="0.2">
      <c r="A15" s="8">
        <v>1</v>
      </c>
      <c r="B15" s="9" t="s">
        <v>17</v>
      </c>
      <c r="C15" s="9" t="s">
        <v>18</v>
      </c>
      <c r="D15" s="8">
        <v>38</v>
      </c>
      <c r="E15" s="8">
        <v>14</v>
      </c>
      <c r="F15" s="42" t="s">
        <v>21</v>
      </c>
      <c r="G15" s="42" t="s">
        <v>22</v>
      </c>
      <c r="H15" s="42" t="s">
        <v>24</v>
      </c>
      <c r="I15" s="44"/>
      <c r="J15" s="45"/>
      <c r="K15" s="78" t="s">
        <v>25</v>
      </c>
      <c r="L15" s="11"/>
      <c r="M15" s="97">
        <f>M75</f>
        <v>68700000</v>
      </c>
      <c r="N15" s="94">
        <f>Nopember!R15</f>
        <v>36110000</v>
      </c>
      <c r="O15" s="99">
        <f t="shared" si="0"/>
        <v>52.561863173216885</v>
      </c>
      <c r="P15" s="98">
        <f>P75</f>
        <v>0</v>
      </c>
      <c r="Q15" s="99">
        <f t="shared" si="1"/>
        <v>0</v>
      </c>
      <c r="R15" s="98">
        <f>N15+P15</f>
        <v>36110000</v>
      </c>
      <c r="S15" s="99">
        <f t="shared" si="2"/>
        <v>52.561863173216885</v>
      </c>
      <c r="T15" s="100">
        <f>T75</f>
        <v>0</v>
      </c>
      <c r="U15" s="10"/>
      <c r="V15" s="10"/>
      <c r="W15" s="23"/>
    </row>
    <row r="16" spans="1:23" x14ac:dyDescent="0.2">
      <c r="A16" s="8"/>
      <c r="B16" s="9"/>
      <c r="C16" s="9"/>
      <c r="D16" s="8"/>
      <c r="E16" s="8"/>
      <c r="F16" s="42"/>
      <c r="G16" s="42"/>
      <c r="H16" s="42"/>
      <c r="I16" s="44"/>
      <c r="J16" s="45"/>
      <c r="K16" s="78"/>
      <c r="L16" s="11"/>
      <c r="M16" s="97"/>
      <c r="N16" s="94">
        <f>Nopember!R16</f>
        <v>0</v>
      </c>
      <c r="O16" s="99"/>
      <c r="P16" s="101"/>
      <c r="Q16" s="99"/>
      <c r="R16" s="101"/>
      <c r="S16" s="99"/>
      <c r="T16" s="102"/>
      <c r="U16" s="10"/>
      <c r="V16" s="10"/>
      <c r="W16" s="23"/>
    </row>
    <row r="17" spans="1:23" ht="20.100000000000001" customHeight="1" x14ac:dyDescent="0.2">
      <c r="A17" s="8">
        <v>1</v>
      </c>
      <c r="B17" s="9" t="s">
        <v>17</v>
      </c>
      <c r="C17" s="9" t="s">
        <v>18</v>
      </c>
      <c r="D17" s="8">
        <v>38</v>
      </c>
      <c r="E17" s="8">
        <v>14</v>
      </c>
      <c r="F17" s="42" t="s">
        <v>21</v>
      </c>
      <c r="G17" s="42" t="s">
        <v>22</v>
      </c>
      <c r="H17" s="42" t="s">
        <v>26</v>
      </c>
      <c r="I17" s="42"/>
      <c r="J17" s="46"/>
      <c r="K17" s="79" t="s">
        <v>20</v>
      </c>
      <c r="L17" s="11"/>
      <c r="M17" s="103">
        <f>M18</f>
        <v>545270400</v>
      </c>
      <c r="N17" s="94">
        <f>Nopember!R17</f>
        <v>326963520</v>
      </c>
      <c r="O17" s="99">
        <f t="shared" si="0"/>
        <v>59.963555696403105</v>
      </c>
      <c r="P17" s="104">
        <f>P18</f>
        <v>0</v>
      </c>
      <c r="Q17" s="95">
        <f t="shared" si="1"/>
        <v>0</v>
      </c>
      <c r="R17" s="104">
        <f>R18</f>
        <v>326963520</v>
      </c>
      <c r="S17" s="95">
        <f t="shared" si="2"/>
        <v>59.963555696403105</v>
      </c>
      <c r="T17" s="96">
        <f>T18</f>
        <v>8.3333333333333321</v>
      </c>
      <c r="U17" s="10"/>
      <c r="V17" s="10"/>
      <c r="W17" s="23"/>
    </row>
    <row r="18" spans="1:23" ht="20.100000000000001" customHeight="1" x14ac:dyDescent="0.2">
      <c r="A18" s="8">
        <v>1</v>
      </c>
      <c r="B18" s="9" t="s">
        <v>17</v>
      </c>
      <c r="C18" s="9" t="s">
        <v>18</v>
      </c>
      <c r="D18" s="8">
        <v>38</v>
      </c>
      <c r="E18" s="8">
        <v>14</v>
      </c>
      <c r="F18" s="41">
        <v>5</v>
      </c>
      <c r="G18" s="41">
        <v>2</v>
      </c>
      <c r="H18" s="41">
        <v>1</v>
      </c>
      <c r="I18" s="42" t="s">
        <v>30</v>
      </c>
      <c r="J18" s="47"/>
      <c r="K18" s="80" t="s">
        <v>31</v>
      </c>
      <c r="L18" s="159"/>
      <c r="M18" s="105">
        <f>M19</f>
        <v>545270400</v>
      </c>
      <c r="N18" s="94">
        <f>Nopember!R18</f>
        <v>326963520</v>
      </c>
      <c r="O18" s="99">
        <f t="shared" si="0"/>
        <v>59.963555696403105</v>
      </c>
      <c r="P18" s="106">
        <f>P19</f>
        <v>0</v>
      </c>
      <c r="Q18" s="95">
        <f t="shared" si="1"/>
        <v>0</v>
      </c>
      <c r="R18" s="106">
        <f>R19</f>
        <v>326963520</v>
      </c>
      <c r="S18" s="95">
        <f t="shared" si="2"/>
        <v>59.963555696403105</v>
      </c>
      <c r="T18" s="96">
        <f>T19</f>
        <v>8.3333333333333321</v>
      </c>
      <c r="U18" s="10"/>
      <c r="V18" s="10"/>
      <c r="W18" s="23"/>
    </row>
    <row r="19" spans="1:23" ht="15" customHeight="1" x14ac:dyDescent="0.2">
      <c r="A19" s="6"/>
      <c r="B19" s="7"/>
      <c r="C19" s="7"/>
      <c r="D19" s="6"/>
      <c r="E19" s="6"/>
      <c r="F19" s="41"/>
      <c r="G19" s="41"/>
      <c r="H19" s="41"/>
      <c r="I19" s="42"/>
      <c r="J19" s="43" t="s">
        <v>18</v>
      </c>
      <c r="K19" s="73" t="s">
        <v>32</v>
      </c>
      <c r="L19" s="161"/>
      <c r="M19" s="107">
        <v>545270400</v>
      </c>
      <c r="N19" s="94">
        <f>Nopember!R19</f>
        <v>326963520</v>
      </c>
      <c r="O19" s="99">
        <f t="shared" si="0"/>
        <v>59.963555696403105</v>
      </c>
      <c r="P19" s="26"/>
      <c r="Q19" s="99">
        <f t="shared" si="1"/>
        <v>0</v>
      </c>
      <c r="R19" s="108">
        <f>N19+P19</f>
        <v>326963520</v>
      </c>
      <c r="S19" s="99">
        <f>R19/M19*100</f>
        <v>59.963555696403105</v>
      </c>
      <c r="T19" s="100">
        <f>1/12*100</f>
        <v>8.3333333333333321</v>
      </c>
      <c r="U19" s="10"/>
      <c r="V19" s="10"/>
      <c r="W19" s="23"/>
    </row>
    <row r="20" spans="1:23" x14ac:dyDescent="0.2">
      <c r="A20" s="10"/>
      <c r="B20" s="10"/>
      <c r="C20" s="10"/>
      <c r="D20" s="10"/>
      <c r="E20" s="10"/>
      <c r="F20" s="121"/>
      <c r="G20" s="121"/>
      <c r="H20" s="121"/>
      <c r="I20" s="122"/>
      <c r="J20" s="123"/>
      <c r="K20" s="73"/>
      <c r="L20" s="78"/>
      <c r="M20" s="107"/>
      <c r="N20" s="94">
        <f>Nopember!R20</f>
        <v>0</v>
      </c>
      <c r="O20" s="99"/>
      <c r="P20" s="101"/>
      <c r="Q20" s="99"/>
      <c r="R20" s="101"/>
      <c r="S20" s="99"/>
      <c r="T20" s="109"/>
      <c r="U20" s="10"/>
      <c r="V20" s="10"/>
      <c r="W20" s="23"/>
    </row>
    <row r="21" spans="1:23" ht="20.100000000000001" customHeight="1" x14ac:dyDescent="0.2">
      <c r="A21" s="8">
        <v>1</v>
      </c>
      <c r="B21" s="9" t="s">
        <v>17</v>
      </c>
      <c r="C21" s="9" t="s">
        <v>18</v>
      </c>
      <c r="D21" s="8">
        <v>38</v>
      </c>
      <c r="E21" s="8">
        <v>14</v>
      </c>
      <c r="F21" s="42" t="s">
        <v>21</v>
      </c>
      <c r="G21" s="42" t="s">
        <v>22</v>
      </c>
      <c r="H21" s="42" t="s">
        <v>22</v>
      </c>
      <c r="I21" s="48"/>
      <c r="J21" s="49"/>
      <c r="K21" s="79" t="s">
        <v>23</v>
      </c>
      <c r="L21" s="11"/>
      <c r="M21" s="105">
        <f>M22+M31+M34+M42+M46+M52+M55+M58+M68+M72+M64+M39+M49</f>
        <v>294813600</v>
      </c>
      <c r="N21" s="94">
        <f>Nopember!R21</f>
        <v>145533200</v>
      </c>
      <c r="O21" s="95">
        <f t="shared" si="0"/>
        <v>49.364479793333821</v>
      </c>
      <c r="P21" s="106">
        <f>P22+P31+P34+P42+P46+P52+P55+P58+P68+P72+P39+P49</f>
        <v>0</v>
      </c>
      <c r="Q21" s="95">
        <f t="shared" si="1"/>
        <v>0</v>
      </c>
      <c r="R21" s="106">
        <f>R22+R31+R34+R42+R46+R52+R55+R58+R68+R72+R39+R49</f>
        <v>145533200</v>
      </c>
      <c r="S21" s="95">
        <f>R21/M21*100</f>
        <v>49.364479793333821</v>
      </c>
      <c r="T21" s="110">
        <f>(T22+T31+T34+T42+T46+T52+T55+T58+T68+T72+T39+T49)/13</f>
        <v>0</v>
      </c>
      <c r="U21" s="160"/>
      <c r="V21" s="10"/>
      <c r="W21" s="23"/>
    </row>
    <row r="22" spans="1:23" ht="20.100000000000001" customHeight="1" x14ac:dyDescent="0.2">
      <c r="A22" s="6">
        <v>1</v>
      </c>
      <c r="B22" s="9" t="s">
        <v>17</v>
      </c>
      <c r="C22" s="9" t="s">
        <v>18</v>
      </c>
      <c r="D22" s="8">
        <v>38</v>
      </c>
      <c r="E22" s="8">
        <v>14</v>
      </c>
      <c r="F22" s="42" t="s">
        <v>21</v>
      </c>
      <c r="G22" s="42" t="s">
        <v>22</v>
      </c>
      <c r="H22" s="42" t="s">
        <v>22</v>
      </c>
      <c r="I22" s="42" t="s">
        <v>18</v>
      </c>
      <c r="J22" s="43"/>
      <c r="K22" s="79" t="s">
        <v>33</v>
      </c>
      <c r="L22" s="17"/>
      <c r="M22" s="105">
        <f>SUM(M23:M29)</f>
        <v>119064100</v>
      </c>
      <c r="N22" s="94">
        <f>Nopember!R22</f>
        <v>53241300</v>
      </c>
      <c r="O22" s="95">
        <f t="shared" si="0"/>
        <v>44.716501447539599</v>
      </c>
      <c r="P22" s="111">
        <f>SUM(P23:P29)</f>
        <v>0</v>
      </c>
      <c r="Q22" s="95">
        <f t="shared" si="1"/>
        <v>0</v>
      </c>
      <c r="R22" s="111">
        <f>SUM(R23:R29)</f>
        <v>53241300</v>
      </c>
      <c r="S22" s="95">
        <f t="shared" si="2"/>
        <v>44.716501447539599</v>
      </c>
      <c r="T22" s="96">
        <f>SUM(T23:T29)/9</f>
        <v>0</v>
      </c>
      <c r="U22" s="10"/>
      <c r="V22" s="160"/>
      <c r="W22" s="23"/>
    </row>
    <row r="23" spans="1:23" ht="15" customHeight="1" x14ac:dyDescent="0.2">
      <c r="A23" s="10"/>
      <c r="B23" s="10"/>
      <c r="C23" s="10"/>
      <c r="D23" s="10"/>
      <c r="E23" s="10"/>
      <c r="F23" s="48"/>
      <c r="G23" s="48"/>
      <c r="H23" s="48"/>
      <c r="I23" s="48"/>
      <c r="J23" s="50" t="s">
        <v>18</v>
      </c>
      <c r="K23" s="81" t="s">
        <v>99</v>
      </c>
      <c r="L23" s="73"/>
      <c r="M23" s="97">
        <v>14306500</v>
      </c>
      <c r="N23" s="94">
        <f>Nopember!R23</f>
        <v>10860900</v>
      </c>
      <c r="O23" s="99">
        <f t="shared" si="0"/>
        <v>75.915842449236365</v>
      </c>
      <c r="P23" s="26"/>
      <c r="Q23" s="99">
        <f t="shared" si="1"/>
        <v>0</v>
      </c>
      <c r="R23" s="112">
        <f>N23+P23</f>
        <v>10860900</v>
      </c>
      <c r="S23" s="99">
        <f t="shared" si="2"/>
        <v>75.915842449236365</v>
      </c>
      <c r="T23" s="100">
        <f>0/23*100</f>
        <v>0</v>
      </c>
      <c r="U23" s="10"/>
      <c r="V23" s="10"/>
      <c r="W23" s="23"/>
    </row>
    <row r="24" spans="1:23" ht="30" customHeight="1" x14ac:dyDescent="0.2">
      <c r="A24" s="6"/>
      <c r="B24" s="7"/>
      <c r="C24" s="7"/>
      <c r="D24" s="6"/>
      <c r="E24" s="6"/>
      <c r="F24" s="48"/>
      <c r="G24" s="48"/>
      <c r="H24" s="48"/>
      <c r="I24" s="48"/>
      <c r="J24" s="50" t="s">
        <v>35</v>
      </c>
      <c r="K24" s="74" t="s">
        <v>100</v>
      </c>
      <c r="L24" s="12"/>
      <c r="M24" s="97">
        <v>780000</v>
      </c>
      <c r="N24" s="94">
        <f>Nopember!R24</f>
        <v>780000</v>
      </c>
      <c r="O24" s="99">
        <f t="shared" si="0"/>
        <v>100</v>
      </c>
      <c r="P24" s="101"/>
      <c r="Q24" s="99">
        <f t="shared" si="1"/>
        <v>0</v>
      </c>
      <c r="R24" s="112">
        <f>N24+P24</f>
        <v>780000</v>
      </c>
      <c r="S24" s="99">
        <f t="shared" si="2"/>
        <v>100</v>
      </c>
      <c r="T24" s="100">
        <f>0/2*100</f>
        <v>0</v>
      </c>
      <c r="U24" s="10"/>
      <c r="V24" s="10"/>
      <c r="W24" s="23"/>
    </row>
    <row r="25" spans="1:23" ht="15" customHeight="1" x14ac:dyDescent="0.2">
      <c r="A25" s="6"/>
      <c r="B25" s="7"/>
      <c r="C25" s="7"/>
      <c r="D25" s="6"/>
      <c r="E25" s="6"/>
      <c r="F25" s="48"/>
      <c r="G25" s="48"/>
      <c r="H25" s="48"/>
      <c r="I25" s="48"/>
      <c r="J25" s="43" t="s">
        <v>28</v>
      </c>
      <c r="K25" s="81" t="s">
        <v>101</v>
      </c>
      <c r="L25" s="12"/>
      <c r="M25" s="97">
        <v>2000000</v>
      </c>
      <c r="N25" s="94">
        <f>Nopember!R25</f>
        <v>150000</v>
      </c>
      <c r="O25" s="99">
        <f t="shared" si="0"/>
        <v>7.5</v>
      </c>
      <c r="P25" s="101"/>
      <c r="Q25" s="99">
        <f t="shared" si="1"/>
        <v>0</v>
      </c>
      <c r="R25" s="112">
        <f t="shared" ref="R25:R29" si="3">N25+P25</f>
        <v>150000</v>
      </c>
      <c r="S25" s="99">
        <f t="shared" si="2"/>
        <v>7.5</v>
      </c>
      <c r="T25" s="100">
        <f>0/10*100</f>
        <v>0</v>
      </c>
      <c r="U25" s="10"/>
      <c r="V25" s="10"/>
      <c r="W25" s="23"/>
    </row>
    <row r="26" spans="1:23" ht="15" customHeight="1" x14ac:dyDescent="0.2">
      <c r="A26" s="6"/>
      <c r="B26" s="7"/>
      <c r="C26" s="7"/>
      <c r="D26" s="6"/>
      <c r="E26" s="6"/>
      <c r="F26" s="48"/>
      <c r="G26" s="48"/>
      <c r="H26" s="48"/>
      <c r="I26" s="51"/>
      <c r="J26" s="43" t="s">
        <v>50</v>
      </c>
      <c r="K26" s="81" t="s">
        <v>102</v>
      </c>
      <c r="L26" s="12"/>
      <c r="M26" s="97">
        <v>800000</v>
      </c>
      <c r="N26" s="94">
        <f>Nopember!R26</f>
        <v>0</v>
      </c>
      <c r="O26" s="99">
        <f t="shared" si="0"/>
        <v>0</v>
      </c>
      <c r="P26" s="101"/>
      <c r="Q26" s="99">
        <f t="shared" si="1"/>
        <v>0</v>
      </c>
      <c r="R26" s="112">
        <f t="shared" si="3"/>
        <v>0</v>
      </c>
      <c r="S26" s="99">
        <f t="shared" si="2"/>
        <v>0</v>
      </c>
      <c r="T26" s="100">
        <f>0/2*100</f>
        <v>0</v>
      </c>
      <c r="U26" s="10"/>
      <c r="V26" s="10"/>
      <c r="W26" s="23"/>
    </row>
    <row r="27" spans="1:23" ht="15" customHeight="1" x14ac:dyDescent="0.2">
      <c r="A27" s="6"/>
      <c r="B27" s="7"/>
      <c r="C27" s="7"/>
      <c r="D27" s="6"/>
      <c r="E27" s="6"/>
      <c r="F27" s="121"/>
      <c r="G27" s="122"/>
      <c r="H27" s="122"/>
      <c r="I27" s="124"/>
      <c r="J27" s="52" t="s">
        <v>30</v>
      </c>
      <c r="K27" s="82" t="s">
        <v>103</v>
      </c>
      <c r="L27" s="12"/>
      <c r="M27" s="97">
        <v>2610000</v>
      </c>
      <c r="N27" s="94">
        <f>Nopember!R27</f>
        <v>1450000</v>
      </c>
      <c r="O27" s="99">
        <f t="shared" si="0"/>
        <v>55.555555555555557</v>
      </c>
      <c r="P27" s="132"/>
      <c r="Q27" s="99">
        <f t="shared" si="1"/>
        <v>0</v>
      </c>
      <c r="R27" s="112">
        <f t="shared" si="3"/>
        <v>1450000</v>
      </c>
      <c r="S27" s="113">
        <f t="shared" si="2"/>
        <v>55.555555555555557</v>
      </c>
      <c r="T27" s="100">
        <f>0/24*100</f>
        <v>0</v>
      </c>
      <c r="U27" s="10"/>
      <c r="V27" s="10"/>
      <c r="W27" s="23"/>
    </row>
    <row r="28" spans="1:23" ht="15" customHeight="1" x14ac:dyDescent="0.2">
      <c r="A28" s="6"/>
      <c r="B28" s="7"/>
      <c r="C28" s="7"/>
      <c r="D28" s="6"/>
      <c r="E28" s="6"/>
      <c r="F28" s="48"/>
      <c r="G28" s="48"/>
      <c r="H28" s="48"/>
      <c r="I28" s="53"/>
      <c r="J28" s="43" t="s">
        <v>37</v>
      </c>
      <c r="K28" s="74" t="s">
        <v>38</v>
      </c>
      <c r="L28" s="162"/>
      <c r="M28" s="97">
        <v>98117600</v>
      </c>
      <c r="N28" s="94">
        <f>Nopember!R28</f>
        <v>40000400</v>
      </c>
      <c r="O28" s="99">
        <f t="shared" si="0"/>
        <v>40.767813317896071</v>
      </c>
      <c r="P28" s="26"/>
      <c r="Q28" s="99">
        <f t="shared" si="1"/>
        <v>0</v>
      </c>
      <c r="R28" s="112">
        <f t="shared" si="3"/>
        <v>40000400</v>
      </c>
      <c r="S28" s="99">
        <f t="shared" si="2"/>
        <v>40.767813317896071</v>
      </c>
      <c r="T28" s="100">
        <f>0/2*100</f>
        <v>0</v>
      </c>
      <c r="U28" s="10"/>
      <c r="V28" s="10"/>
      <c r="W28" s="23"/>
    </row>
    <row r="29" spans="1:23" ht="15" customHeight="1" x14ac:dyDescent="0.2">
      <c r="A29" s="6"/>
      <c r="B29" s="7"/>
      <c r="C29" s="7"/>
      <c r="D29" s="6"/>
      <c r="E29" s="6"/>
      <c r="F29" s="48"/>
      <c r="G29" s="48"/>
      <c r="H29" s="48"/>
      <c r="I29" s="48"/>
      <c r="J29" s="43" t="s">
        <v>44</v>
      </c>
      <c r="K29" s="74" t="s">
        <v>104</v>
      </c>
      <c r="L29" s="161"/>
      <c r="M29" s="97">
        <v>450000</v>
      </c>
      <c r="N29" s="94">
        <f>Nopember!R29</f>
        <v>0</v>
      </c>
      <c r="O29" s="99">
        <f t="shared" si="0"/>
        <v>0</v>
      </c>
      <c r="P29" s="101"/>
      <c r="Q29" s="99">
        <f t="shared" si="1"/>
        <v>0</v>
      </c>
      <c r="R29" s="112">
        <f t="shared" si="3"/>
        <v>0</v>
      </c>
      <c r="S29" s="99">
        <f t="shared" si="2"/>
        <v>0</v>
      </c>
      <c r="T29" s="100">
        <f>0/3*100</f>
        <v>0</v>
      </c>
      <c r="U29" s="10"/>
      <c r="V29" s="10"/>
      <c r="W29" s="23"/>
    </row>
    <row r="30" spans="1:23" x14ac:dyDescent="0.2">
      <c r="A30" s="6"/>
      <c r="B30" s="7"/>
      <c r="C30" s="7"/>
      <c r="D30" s="6"/>
      <c r="E30" s="6"/>
      <c r="F30" s="54"/>
      <c r="G30" s="54"/>
      <c r="H30" s="54"/>
      <c r="I30" s="55"/>
      <c r="J30" s="56"/>
      <c r="K30" s="83"/>
      <c r="L30" s="163"/>
      <c r="M30" s="115"/>
      <c r="N30" s="94">
        <f>Nopember!R30</f>
        <v>0</v>
      </c>
      <c r="O30" s="99"/>
      <c r="P30" s="101"/>
      <c r="Q30" s="99"/>
      <c r="R30" s="101"/>
      <c r="S30" s="99"/>
      <c r="T30" s="101"/>
      <c r="U30" s="10"/>
      <c r="V30" s="10"/>
      <c r="W30" s="23"/>
    </row>
    <row r="31" spans="1:23" ht="20.100000000000001" customHeight="1" x14ac:dyDescent="0.2">
      <c r="A31" s="8">
        <v>1</v>
      </c>
      <c r="B31" s="9" t="s">
        <v>17</v>
      </c>
      <c r="C31" s="9" t="s">
        <v>18</v>
      </c>
      <c r="D31" s="8">
        <v>38</v>
      </c>
      <c r="E31" s="8">
        <v>14</v>
      </c>
      <c r="F31" s="41">
        <v>5</v>
      </c>
      <c r="G31" s="41">
        <v>2</v>
      </c>
      <c r="H31" s="41">
        <v>2</v>
      </c>
      <c r="I31" s="42" t="s">
        <v>17</v>
      </c>
      <c r="J31" s="46"/>
      <c r="K31" s="80" t="s">
        <v>39</v>
      </c>
      <c r="L31" s="14"/>
      <c r="M31" s="105">
        <f>M32</f>
        <v>2400000</v>
      </c>
      <c r="N31" s="94">
        <f>Nopember!R31</f>
        <v>2000000</v>
      </c>
      <c r="O31" s="99">
        <f t="shared" si="0"/>
        <v>83.333333333333343</v>
      </c>
      <c r="P31" s="94">
        <f>P32</f>
        <v>0</v>
      </c>
      <c r="Q31" s="95">
        <f t="shared" si="1"/>
        <v>0</v>
      </c>
      <c r="R31" s="116">
        <f>R32</f>
        <v>2000000</v>
      </c>
      <c r="S31" s="95">
        <f t="shared" si="2"/>
        <v>83.333333333333343</v>
      </c>
      <c r="T31" s="95">
        <f>(T32)/1</f>
        <v>0</v>
      </c>
      <c r="U31" s="10"/>
      <c r="V31" s="10"/>
      <c r="W31" s="23"/>
    </row>
    <row r="32" spans="1:23" ht="15" customHeight="1" x14ac:dyDescent="0.2">
      <c r="A32" s="6"/>
      <c r="B32" s="7"/>
      <c r="C32" s="7"/>
      <c r="D32" s="6"/>
      <c r="E32" s="6"/>
      <c r="F32" s="48"/>
      <c r="G32" s="48"/>
      <c r="H32" s="48"/>
      <c r="I32" s="53"/>
      <c r="J32" s="43" t="s">
        <v>28</v>
      </c>
      <c r="K32" s="74" t="s">
        <v>40</v>
      </c>
      <c r="L32" s="12"/>
      <c r="M32" s="97">
        <v>2400000</v>
      </c>
      <c r="N32" s="94">
        <f>Nopember!R32</f>
        <v>2000000</v>
      </c>
      <c r="O32" s="99">
        <f t="shared" si="0"/>
        <v>83.333333333333343</v>
      </c>
      <c r="P32" s="26"/>
      <c r="Q32" s="99">
        <f t="shared" si="1"/>
        <v>0</v>
      </c>
      <c r="R32" s="101">
        <f t="shared" ref="R32" si="4">N32+P32</f>
        <v>2000000</v>
      </c>
      <c r="S32" s="99">
        <f t="shared" si="2"/>
        <v>83.333333333333343</v>
      </c>
      <c r="T32" s="100">
        <f>0/120*100</f>
        <v>0</v>
      </c>
      <c r="U32" s="10"/>
      <c r="V32" s="10"/>
      <c r="W32" s="23"/>
    </row>
    <row r="33" spans="1:23" x14ac:dyDescent="0.2">
      <c r="A33" s="10"/>
      <c r="B33" s="10"/>
      <c r="C33" s="10"/>
      <c r="D33" s="10"/>
      <c r="E33" s="10"/>
      <c r="F33" s="54"/>
      <c r="G33" s="54"/>
      <c r="H33" s="54"/>
      <c r="I33" s="48"/>
      <c r="J33" s="43"/>
      <c r="K33" s="73"/>
      <c r="L33" s="13"/>
      <c r="M33" s="107"/>
      <c r="N33" s="94">
        <f>Nopember!R33</f>
        <v>0</v>
      </c>
      <c r="O33" s="99"/>
      <c r="P33" s="101"/>
      <c r="Q33" s="99"/>
      <c r="R33" s="101"/>
      <c r="S33" s="99"/>
      <c r="T33" s="101"/>
      <c r="U33" s="10"/>
      <c r="V33" s="10"/>
      <c r="W33" s="23"/>
    </row>
    <row r="34" spans="1:23" ht="20.100000000000001" customHeight="1" x14ac:dyDescent="0.2">
      <c r="A34" s="8">
        <v>1</v>
      </c>
      <c r="B34" s="9" t="s">
        <v>17</v>
      </c>
      <c r="C34" s="9" t="s">
        <v>18</v>
      </c>
      <c r="D34" s="8">
        <v>38</v>
      </c>
      <c r="E34" s="8">
        <v>14</v>
      </c>
      <c r="F34" s="41">
        <v>5</v>
      </c>
      <c r="G34" s="41">
        <v>2</v>
      </c>
      <c r="H34" s="41">
        <v>2</v>
      </c>
      <c r="I34" s="42" t="s">
        <v>34</v>
      </c>
      <c r="J34" s="46"/>
      <c r="K34" s="80" t="s">
        <v>52</v>
      </c>
      <c r="L34" s="14"/>
      <c r="M34" s="103">
        <f>M35+M37+M36</f>
        <v>19800000</v>
      </c>
      <c r="N34" s="94">
        <f>Nopember!R34</f>
        <v>8711300</v>
      </c>
      <c r="O34" s="99">
        <f t="shared" si="0"/>
        <v>43.996464646464645</v>
      </c>
      <c r="P34" s="116">
        <f>P35+P36+P37</f>
        <v>0</v>
      </c>
      <c r="Q34" s="95">
        <f t="shared" si="1"/>
        <v>0</v>
      </c>
      <c r="R34" s="116">
        <f>R35+R36</f>
        <v>8711300</v>
      </c>
      <c r="S34" s="95">
        <f>R34/M34*100</f>
        <v>43.996464646464645</v>
      </c>
      <c r="T34" s="95">
        <f>SUM(T35:T37)/3</f>
        <v>0</v>
      </c>
      <c r="U34" s="10"/>
      <c r="V34" s="10"/>
      <c r="W34" s="23"/>
    </row>
    <row r="35" spans="1:23" ht="15" customHeight="1" x14ac:dyDescent="0.2">
      <c r="A35" s="10"/>
      <c r="B35" s="10"/>
      <c r="C35" s="10"/>
      <c r="D35" s="10"/>
      <c r="E35" s="10"/>
      <c r="F35" s="54"/>
      <c r="G35" s="54"/>
      <c r="H35" s="54"/>
      <c r="I35" s="48"/>
      <c r="J35" s="43" t="s">
        <v>28</v>
      </c>
      <c r="K35" s="73" t="s">
        <v>41</v>
      </c>
      <c r="L35" s="164"/>
      <c r="M35" s="97">
        <v>12000000</v>
      </c>
      <c r="N35" s="94">
        <f>Nopember!R35</f>
        <v>8677000</v>
      </c>
      <c r="O35" s="99">
        <f t="shared" si="0"/>
        <v>72.308333333333337</v>
      </c>
      <c r="P35" s="26"/>
      <c r="Q35" s="99">
        <f t="shared" si="1"/>
        <v>0</v>
      </c>
      <c r="R35" s="101">
        <f>N35+P35</f>
        <v>8677000</v>
      </c>
      <c r="S35" s="99">
        <f>R35/M35*100</f>
        <v>72.308333333333337</v>
      </c>
      <c r="T35" s="99">
        <f>0/12*100</f>
        <v>0</v>
      </c>
      <c r="U35" s="10"/>
      <c r="V35" s="10"/>
      <c r="W35" s="23"/>
    </row>
    <row r="36" spans="1:23" ht="15" customHeight="1" x14ac:dyDescent="0.2">
      <c r="A36" s="6"/>
      <c r="B36" s="7"/>
      <c r="C36" s="7"/>
      <c r="D36" s="6"/>
      <c r="E36" s="6"/>
      <c r="F36" s="54"/>
      <c r="G36" s="54"/>
      <c r="H36" s="54"/>
      <c r="I36" s="48"/>
      <c r="J36" s="43" t="s">
        <v>29</v>
      </c>
      <c r="K36" s="74" t="s">
        <v>42</v>
      </c>
      <c r="L36" s="54"/>
      <c r="M36" s="107">
        <v>600000</v>
      </c>
      <c r="N36" s="94">
        <f>Nopember!R36</f>
        <v>34300</v>
      </c>
      <c r="O36" s="99">
        <f t="shared" si="0"/>
        <v>5.7166666666666668</v>
      </c>
      <c r="P36" s="26"/>
      <c r="Q36" s="99">
        <f t="shared" si="1"/>
        <v>0</v>
      </c>
      <c r="R36" s="101">
        <f>N36+P36</f>
        <v>34300</v>
      </c>
      <c r="S36" s="99">
        <f>R36/M36*100</f>
        <v>5.7166666666666668</v>
      </c>
      <c r="T36" s="100">
        <f>0/12*100</f>
        <v>0</v>
      </c>
      <c r="U36" s="10"/>
      <c r="V36" s="10"/>
      <c r="W36" s="23"/>
    </row>
    <row r="37" spans="1:23" ht="28.5" customHeight="1" x14ac:dyDescent="0.2">
      <c r="A37" s="10"/>
      <c r="B37" s="10"/>
      <c r="C37" s="10"/>
      <c r="D37" s="10"/>
      <c r="E37" s="10"/>
      <c r="F37" s="57"/>
      <c r="G37" s="57"/>
      <c r="H37" s="57"/>
      <c r="I37" s="125"/>
      <c r="J37" s="58" t="s">
        <v>47</v>
      </c>
      <c r="K37" s="75" t="s">
        <v>64</v>
      </c>
      <c r="L37" s="164"/>
      <c r="M37" s="97">
        <v>7200000</v>
      </c>
      <c r="N37" s="94">
        <f>Nopember!R37</f>
        <v>2320000</v>
      </c>
      <c r="O37" s="99">
        <f t="shared" si="0"/>
        <v>32.222222222222221</v>
      </c>
      <c r="P37" s="101"/>
      <c r="Q37" s="99">
        <f t="shared" si="1"/>
        <v>0</v>
      </c>
      <c r="R37" s="101">
        <f>N37+P37</f>
        <v>2320000</v>
      </c>
      <c r="S37" s="99">
        <f t="shared" si="2"/>
        <v>32.222222222222221</v>
      </c>
      <c r="T37" s="100">
        <f>0/3*100</f>
        <v>0</v>
      </c>
      <c r="U37" s="10"/>
      <c r="V37" s="10"/>
      <c r="W37" s="23"/>
    </row>
    <row r="38" spans="1:23" x14ac:dyDescent="0.2">
      <c r="A38" s="10"/>
      <c r="B38" s="10"/>
      <c r="C38" s="10"/>
      <c r="D38" s="10"/>
      <c r="E38" s="10"/>
      <c r="F38" s="57"/>
      <c r="G38" s="57"/>
      <c r="H38" s="57"/>
      <c r="I38" s="125"/>
      <c r="J38" s="126"/>
      <c r="K38" s="84"/>
      <c r="L38" s="165"/>
      <c r="M38" s="115"/>
      <c r="N38" s="94">
        <f>Nopember!R38</f>
        <v>0</v>
      </c>
      <c r="O38" s="99"/>
      <c r="P38" s="101"/>
      <c r="Q38" s="99"/>
      <c r="R38" s="101"/>
      <c r="S38" s="99"/>
      <c r="T38" s="101"/>
      <c r="U38" s="10"/>
      <c r="V38" s="10"/>
      <c r="W38" s="23"/>
    </row>
    <row r="39" spans="1:23" ht="20.100000000000001" customHeight="1" x14ac:dyDescent="0.2">
      <c r="A39" s="8">
        <v>1</v>
      </c>
      <c r="B39" s="9" t="s">
        <v>17</v>
      </c>
      <c r="C39" s="9" t="s">
        <v>18</v>
      </c>
      <c r="D39" s="8">
        <v>38</v>
      </c>
      <c r="E39" s="8">
        <v>14</v>
      </c>
      <c r="F39" s="41">
        <v>5</v>
      </c>
      <c r="G39" s="41">
        <v>2</v>
      </c>
      <c r="H39" s="41">
        <v>2</v>
      </c>
      <c r="I39" s="42" t="s">
        <v>27</v>
      </c>
      <c r="J39" s="155"/>
      <c r="K39" s="154" t="s">
        <v>105</v>
      </c>
      <c r="L39" s="14"/>
      <c r="M39" s="103">
        <f>M40</f>
        <v>900000</v>
      </c>
      <c r="N39" s="94">
        <f>Nopember!R39</f>
        <v>0</v>
      </c>
      <c r="O39" s="99">
        <f t="shared" si="0"/>
        <v>0</v>
      </c>
      <c r="P39" s="101">
        <f>P40</f>
        <v>0</v>
      </c>
      <c r="Q39" s="99">
        <f t="shared" si="1"/>
        <v>0</v>
      </c>
      <c r="R39" s="101">
        <f>R40</f>
        <v>0</v>
      </c>
      <c r="S39" s="99">
        <f t="shared" si="2"/>
        <v>0</v>
      </c>
      <c r="T39" s="96">
        <f>T40</f>
        <v>0</v>
      </c>
      <c r="U39" s="10"/>
      <c r="V39" s="10"/>
      <c r="W39" s="23"/>
    </row>
    <row r="40" spans="1:23" ht="20.100000000000001" customHeight="1" x14ac:dyDescent="0.2">
      <c r="A40" s="63"/>
      <c r="B40" s="63"/>
      <c r="C40" s="63"/>
      <c r="D40" s="63"/>
      <c r="E40" s="63"/>
      <c r="F40" s="57"/>
      <c r="G40" s="57"/>
      <c r="H40" s="57"/>
      <c r="I40" s="67"/>
      <c r="J40" s="43" t="s">
        <v>17</v>
      </c>
      <c r="K40" s="75" t="s">
        <v>106</v>
      </c>
      <c r="L40" s="13"/>
      <c r="M40" s="97">
        <v>900000</v>
      </c>
      <c r="N40" s="94">
        <f>Nopember!R40</f>
        <v>0</v>
      </c>
      <c r="O40" s="99">
        <f t="shared" si="0"/>
        <v>0</v>
      </c>
      <c r="P40" s="101"/>
      <c r="Q40" s="99">
        <f t="shared" si="1"/>
        <v>0</v>
      </c>
      <c r="R40" s="101">
        <f>N40+P40</f>
        <v>0</v>
      </c>
      <c r="S40" s="99">
        <f t="shared" si="2"/>
        <v>0</v>
      </c>
      <c r="T40" s="100">
        <f>0/1*100</f>
        <v>0</v>
      </c>
      <c r="U40" s="10"/>
      <c r="V40" s="10"/>
      <c r="W40" s="23"/>
    </row>
    <row r="41" spans="1:23" ht="9.9499999999999993" customHeight="1" x14ac:dyDescent="0.2">
      <c r="A41" s="63"/>
      <c r="B41" s="63"/>
      <c r="C41" s="63"/>
      <c r="D41" s="63"/>
      <c r="E41" s="63"/>
      <c r="F41" s="57"/>
      <c r="G41" s="57"/>
      <c r="H41" s="57"/>
      <c r="I41" s="67"/>
      <c r="J41" s="68"/>
      <c r="K41" s="84"/>
      <c r="L41" s="165"/>
      <c r="M41" s="115"/>
      <c r="N41" s="94">
        <f>Nopember!R41</f>
        <v>0</v>
      </c>
      <c r="O41" s="99"/>
      <c r="P41" s="101"/>
      <c r="Q41" s="99"/>
      <c r="R41" s="101"/>
      <c r="S41" s="99"/>
      <c r="T41" s="101"/>
      <c r="U41" s="10"/>
      <c r="V41" s="10"/>
      <c r="W41" s="23"/>
    </row>
    <row r="42" spans="1:23" ht="20.100000000000001" customHeight="1" x14ac:dyDescent="0.2">
      <c r="A42" s="8">
        <v>1</v>
      </c>
      <c r="B42" s="9" t="s">
        <v>17</v>
      </c>
      <c r="C42" s="9" t="s">
        <v>18</v>
      </c>
      <c r="D42" s="8">
        <v>38</v>
      </c>
      <c r="E42" s="8">
        <v>14</v>
      </c>
      <c r="F42" s="42" t="s">
        <v>21</v>
      </c>
      <c r="G42" s="42" t="s">
        <v>22</v>
      </c>
      <c r="H42" s="42" t="s">
        <v>22</v>
      </c>
      <c r="I42" s="60" t="s">
        <v>28</v>
      </c>
      <c r="J42" s="56"/>
      <c r="K42" s="85" t="s">
        <v>53</v>
      </c>
      <c r="L42" s="14"/>
      <c r="M42" s="103">
        <f>SUM(M43:M44)</f>
        <v>29487500</v>
      </c>
      <c r="N42" s="94">
        <f>Nopember!R42</f>
        <v>28530800</v>
      </c>
      <c r="O42" s="99">
        <f t="shared" si="0"/>
        <v>96.755574395930481</v>
      </c>
      <c r="P42" s="104">
        <f>P44+P43</f>
        <v>0</v>
      </c>
      <c r="Q42" s="95">
        <f t="shared" si="1"/>
        <v>0</v>
      </c>
      <c r="R42" s="104">
        <f>SUM(R43:R44)</f>
        <v>28530800</v>
      </c>
      <c r="S42" s="95">
        <f t="shared" si="2"/>
        <v>96.755574395930481</v>
      </c>
      <c r="T42" s="95">
        <f>SUM(T43:T44)/3</f>
        <v>0</v>
      </c>
      <c r="U42" s="10"/>
      <c r="V42" s="10"/>
      <c r="W42" s="23"/>
    </row>
    <row r="43" spans="1:23" ht="15" customHeight="1" x14ac:dyDescent="0.2">
      <c r="A43" s="8"/>
      <c r="B43" s="9"/>
      <c r="C43" s="9"/>
      <c r="D43" s="8"/>
      <c r="E43" s="8"/>
      <c r="F43" s="42"/>
      <c r="G43" s="42"/>
      <c r="H43" s="42"/>
      <c r="I43" s="59"/>
      <c r="J43" s="50" t="s">
        <v>18</v>
      </c>
      <c r="K43" s="81" t="s">
        <v>65</v>
      </c>
      <c r="L43" s="14"/>
      <c r="M43" s="97">
        <v>22490000</v>
      </c>
      <c r="N43" s="94">
        <f>Nopember!R43</f>
        <v>22030800</v>
      </c>
      <c r="O43" s="99">
        <f t="shared" si="0"/>
        <v>97.958203646064916</v>
      </c>
      <c r="P43" s="26"/>
      <c r="Q43" s="99">
        <f t="shared" si="1"/>
        <v>0</v>
      </c>
      <c r="R43" s="98">
        <f>N43+P43</f>
        <v>22030800</v>
      </c>
      <c r="S43" s="99">
        <f>R43/M43*100</f>
        <v>97.958203646064916</v>
      </c>
      <c r="T43" s="99">
        <v>0</v>
      </c>
      <c r="U43" s="10"/>
      <c r="V43" s="10"/>
      <c r="W43" s="23"/>
    </row>
    <row r="44" spans="1:23" ht="15" customHeight="1" x14ac:dyDescent="0.2">
      <c r="A44" s="6"/>
      <c r="B44" s="7"/>
      <c r="C44" s="7"/>
      <c r="D44" s="6"/>
      <c r="E44" s="6"/>
      <c r="F44" s="48"/>
      <c r="G44" s="48"/>
      <c r="H44" s="48"/>
      <c r="I44" s="51"/>
      <c r="J44" s="50" t="s">
        <v>17</v>
      </c>
      <c r="K44" s="82" t="s">
        <v>54</v>
      </c>
      <c r="L44" s="162"/>
      <c r="M44" s="97">
        <v>6997500</v>
      </c>
      <c r="N44" s="94">
        <f>Nopember!R44</f>
        <v>6500000</v>
      </c>
      <c r="O44" s="99">
        <f t="shared" si="0"/>
        <v>92.890317970703819</v>
      </c>
      <c r="P44" s="26"/>
      <c r="Q44" s="99">
        <f t="shared" si="1"/>
        <v>0</v>
      </c>
      <c r="R44" s="98">
        <f>N44+P44</f>
        <v>6500000</v>
      </c>
      <c r="S44" s="99">
        <f>R44/M44*100</f>
        <v>92.890317970703819</v>
      </c>
      <c r="T44" s="100">
        <f>0/27990*100</f>
        <v>0</v>
      </c>
      <c r="U44" s="10"/>
      <c r="V44" s="10"/>
      <c r="W44" s="23"/>
    </row>
    <row r="45" spans="1:23" x14ac:dyDescent="0.2">
      <c r="A45" s="10"/>
      <c r="B45" s="10"/>
      <c r="C45" s="10"/>
      <c r="D45" s="10"/>
      <c r="E45" s="10"/>
      <c r="F45" s="48"/>
      <c r="G45" s="48"/>
      <c r="H45" s="48"/>
      <c r="I45" s="53"/>
      <c r="J45" s="56"/>
      <c r="K45" s="86"/>
      <c r="L45" s="165"/>
      <c r="M45" s="115"/>
      <c r="N45" s="94">
        <f>Nopember!R45</f>
        <v>0</v>
      </c>
      <c r="O45" s="99"/>
      <c r="P45" s="117"/>
      <c r="Q45" s="99"/>
      <c r="R45" s="117"/>
      <c r="S45" s="99"/>
      <c r="T45" s="101"/>
      <c r="U45" s="10"/>
      <c r="V45" s="10"/>
      <c r="W45" s="23"/>
    </row>
    <row r="46" spans="1:23" ht="20.100000000000001" customHeight="1" x14ac:dyDescent="0.2">
      <c r="A46" s="8">
        <v>1</v>
      </c>
      <c r="B46" s="9" t="s">
        <v>17</v>
      </c>
      <c r="C46" s="9" t="s">
        <v>18</v>
      </c>
      <c r="D46" s="8">
        <v>38</v>
      </c>
      <c r="E46" s="8">
        <v>14</v>
      </c>
      <c r="F46" s="41">
        <v>5</v>
      </c>
      <c r="G46" s="41">
        <v>2</v>
      </c>
      <c r="H46" s="41">
        <v>2</v>
      </c>
      <c r="I46" s="60" t="s">
        <v>37</v>
      </c>
      <c r="J46" s="46"/>
      <c r="K46" s="85" t="s">
        <v>55</v>
      </c>
      <c r="L46" s="13"/>
      <c r="M46" s="105">
        <f>M47</f>
        <v>30300000</v>
      </c>
      <c r="N46" s="94">
        <f>Nopember!R46</f>
        <v>8550000</v>
      </c>
      <c r="O46" s="99">
        <f t="shared" si="0"/>
        <v>28.217821782178216</v>
      </c>
      <c r="P46" s="106">
        <f>P47</f>
        <v>0</v>
      </c>
      <c r="Q46" s="95">
        <f t="shared" si="1"/>
        <v>0</v>
      </c>
      <c r="R46" s="106">
        <f>R47</f>
        <v>8550000</v>
      </c>
      <c r="S46" s="95">
        <f t="shared" si="2"/>
        <v>28.217821782178216</v>
      </c>
      <c r="T46" s="95">
        <f>T47</f>
        <v>0</v>
      </c>
      <c r="U46" s="10"/>
      <c r="V46" s="10"/>
      <c r="W46" s="23"/>
    </row>
    <row r="47" spans="1:23" ht="15" customHeight="1" x14ac:dyDescent="0.2">
      <c r="A47" s="127"/>
      <c r="B47" s="127"/>
      <c r="C47" s="127"/>
      <c r="D47" s="127"/>
      <c r="E47" s="127"/>
      <c r="F47" s="42"/>
      <c r="G47" s="42"/>
      <c r="H47" s="42"/>
      <c r="I47" s="42"/>
      <c r="J47" s="55" t="s">
        <v>17</v>
      </c>
      <c r="K47" s="78" t="s">
        <v>56</v>
      </c>
      <c r="L47" s="10"/>
      <c r="M47" s="107">
        <v>30300000</v>
      </c>
      <c r="N47" s="94">
        <f>Nopember!R47</f>
        <v>8550000</v>
      </c>
      <c r="O47" s="99">
        <f t="shared" si="0"/>
        <v>28.217821782178216</v>
      </c>
      <c r="P47" s="26"/>
      <c r="Q47" s="99">
        <f t="shared" si="1"/>
        <v>0</v>
      </c>
      <c r="R47" s="108">
        <f>N47+P47</f>
        <v>8550000</v>
      </c>
      <c r="S47" s="99">
        <f>R47/M47*100</f>
        <v>28.217821782178216</v>
      </c>
      <c r="T47" s="100">
        <f>0/1644*100</f>
        <v>0</v>
      </c>
      <c r="U47" s="10"/>
      <c r="V47" s="10"/>
      <c r="W47" s="23"/>
    </row>
    <row r="48" spans="1:23" x14ac:dyDescent="0.2">
      <c r="A48" s="127"/>
      <c r="B48" s="127"/>
      <c r="C48" s="127"/>
      <c r="D48" s="127"/>
      <c r="E48" s="127"/>
      <c r="F48" s="42"/>
      <c r="G48" s="42"/>
      <c r="H48" s="42"/>
      <c r="I48" s="42"/>
      <c r="J48" s="59"/>
      <c r="K48" s="87"/>
      <c r="L48" s="166"/>
      <c r="M48" s="118"/>
      <c r="N48" s="94">
        <f>Nopember!R48</f>
        <v>0</v>
      </c>
      <c r="O48" s="99"/>
      <c r="P48" s="119"/>
      <c r="Q48" s="99"/>
      <c r="R48" s="119"/>
      <c r="S48" s="99"/>
      <c r="T48" s="63"/>
      <c r="U48" s="10"/>
      <c r="V48" s="10"/>
      <c r="W48" s="23"/>
    </row>
    <row r="49" spans="1:23" ht="20.100000000000001" customHeight="1" x14ac:dyDescent="0.2">
      <c r="A49" s="8">
        <v>1</v>
      </c>
      <c r="B49" s="9" t="s">
        <v>17</v>
      </c>
      <c r="C49" s="9" t="s">
        <v>18</v>
      </c>
      <c r="D49" s="8">
        <v>38</v>
      </c>
      <c r="E49" s="8">
        <v>14</v>
      </c>
      <c r="F49" s="61" t="s">
        <v>21</v>
      </c>
      <c r="G49" s="61" t="s">
        <v>22</v>
      </c>
      <c r="H49" s="61" t="s">
        <v>22</v>
      </c>
      <c r="I49" s="42" t="s">
        <v>82</v>
      </c>
      <c r="J49" s="60"/>
      <c r="K49" s="79" t="s">
        <v>83</v>
      </c>
      <c r="L49" s="127"/>
      <c r="M49" s="105">
        <f>M50</f>
        <v>3300000</v>
      </c>
      <c r="N49" s="94">
        <f>Nopember!R49</f>
        <v>0</v>
      </c>
      <c r="O49" s="99">
        <f t="shared" si="0"/>
        <v>0</v>
      </c>
      <c r="P49" s="106">
        <f>P50</f>
        <v>0</v>
      </c>
      <c r="Q49" s="99">
        <f t="shared" si="1"/>
        <v>0</v>
      </c>
      <c r="R49" s="106">
        <f>R50</f>
        <v>0</v>
      </c>
      <c r="S49" s="99">
        <f t="shared" si="2"/>
        <v>0</v>
      </c>
      <c r="T49" s="95">
        <f>T50</f>
        <v>0</v>
      </c>
      <c r="U49" s="10"/>
      <c r="V49" s="10"/>
      <c r="W49" s="23"/>
    </row>
    <row r="50" spans="1:23" ht="15" customHeight="1" x14ac:dyDescent="0.2">
      <c r="A50" s="10"/>
      <c r="B50" s="10"/>
      <c r="C50" s="10"/>
      <c r="D50" s="10"/>
      <c r="E50" s="10"/>
      <c r="F50" s="48"/>
      <c r="G50" s="48"/>
      <c r="H50" s="48"/>
      <c r="I50" s="48"/>
      <c r="J50" s="55" t="s">
        <v>35</v>
      </c>
      <c r="K50" s="78" t="s">
        <v>84</v>
      </c>
      <c r="L50" s="10"/>
      <c r="M50" s="107">
        <v>3300000</v>
      </c>
      <c r="N50" s="94">
        <f>Nopember!R50</f>
        <v>0</v>
      </c>
      <c r="O50" s="99">
        <f t="shared" si="0"/>
        <v>0</v>
      </c>
      <c r="P50" s="108"/>
      <c r="Q50" s="95">
        <f t="shared" si="1"/>
        <v>0</v>
      </c>
      <c r="R50" s="108">
        <f>N50+P50</f>
        <v>0</v>
      </c>
      <c r="S50" s="95">
        <f t="shared" si="2"/>
        <v>0</v>
      </c>
      <c r="T50" s="100">
        <f>0/1*100</f>
        <v>0</v>
      </c>
      <c r="U50" s="10"/>
      <c r="V50" s="10"/>
      <c r="W50" s="23"/>
    </row>
    <row r="51" spans="1:23" x14ac:dyDescent="0.2">
      <c r="A51" s="10"/>
      <c r="B51" s="10"/>
      <c r="C51" s="10"/>
      <c r="D51" s="10"/>
      <c r="E51" s="10"/>
      <c r="F51" s="48"/>
      <c r="G51" s="48"/>
      <c r="H51" s="48"/>
      <c r="I51" s="48"/>
      <c r="J51" s="55"/>
      <c r="K51" s="78"/>
      <c r="L51" s="10"/>
      <c r="M51" s="107"/>
      <c r="N51" s="94">
        <f>Nopember!R51</f>
        <v>0</v>
      </c>
      <c r="O51" s="99"/>
      <c r="P51" s="108"/>
      <c r="Q51" s="95"/>
      <c r="R51" s="108"/>
      <c r="S51" s="95"/>
      <c r="T51" s="63"/>
      <c r="U51" s="10"/>
      <c r="V51" s="10"/>
      <c r="W51" s="23"/>
    </row>
    <row r="52" spans="1:23" ht="20.100000000000001" customHeight="1" x14ac:dyDescent="0.2">
      <c r="A52" s="8">
        <v>1</v>
      </c>
      <c r="B52" s="9" t="s">
        <v>17</v>
      </c>
      <c r="C52" s="9" t="s">
        <v>18</v>
      </c>
      <c r="D52" s="8">
        <v>38</v>
      </c>
      <c r="E52" s="8">
        <v>14</v>
      </c>
      <c r="F52" s="61" t="s">
        <v>21</v>
      </c>
      <c r="G52" s="61" t="s">
        <v>22</v>
      </c>
      <c r="H52" s="61" t="s">
        <v>22</v>
      </c>
      <c r="I52" s="128">
        <v>15</v>
      </c>
      <c r="J52" s="61"/>
      <c r="K52" s="88" t="s">
        <v>79</v>
      </c>
      <c r="L52" s="10"/>
      <c r="M52" s="105">
        <f>M53</f>
        <v>15612000</v>
      </c>
      <c r="N52" s="94">
        <f>Nopember!R52</f>
        <v>5626800</v>
      </c>
      <c r="O52" s="99">
        <f t="shared" si="0"/>
        <v>36.041506533435822</v>
      </c>
      <c r="P52" s="106">
        <f>P53</f>
        <v>0</v>
      </c>
      <c r="Q52" s="95">
        <f t="shared" si="1"/>
        <v>0</v>
      </c>
      <c r="R52" s="106">
        <f>R53</f>
        <v>5626800</v>
      </c>
      <c r="S52" s="95">
        <f t="shared" si="2"/>
        <v>36.041506533435822</v>
      </c>
      <c r="T52" s="96">
        <f>SUM(T53:T53)/2</f>
        <v>0</v>
      </c>
      <c r="U52" s="10"/>
      <c r="V52" s="10"/>
      <c r="W52" s="23"/>
    </row>
    <row r="53" spans="1:23" ht="15" customHeight="1" x14ac:dyDescent="0.2">
      <c r="A53" s="10"/>
      <c r="B53" s="10"/>
      <c r="C53" s="10"/>
      <c r="D53" s="10"/>
      <c r="E53" s="10"/>
      <c r="F53" s="57"/>
      <c r="G53" s="57"/>
      <c r="H53" s="57"/>
      <c r="I53" s="129"/>
      <c r="J53" s="57" t="s">
        <v>17</v>
      </c>
      <c r="K53" s="89" t="s">
        <v>69</v>
      </c>
      <c r="L53" s="10"/>
      <c r="M53" s="107">
        <v>15612000</v>
      </c>
      <c r="N53" s="94">
        <f>Nopember!R53</f>
        <v>5626800</v>
      </c>
      <c r="O53" s="99">
        <f t="shared" si="0"/>
        <v>36.041506533435822</v>
      </c>
      <c r="P53" s="120"/>
      <c r="Q53" s="95">
        <f t="shared" si="1"/>
        <v>0</v>
      </c>
      <c r="R53" s="108">
        <f>N53+P53</f>
        <v>5626800</v>
      </c>
      <c r="S53" s="95">
        <f t="shared" si="2"/>
        <v>36.041506533435822</v>
      </c>
      <c r="T53" s="100">
        <f>0/5*100</f>
        <v>0</v>
      </c>
      <c r="U53" s="10"/>
      <c r="V53" s="10"/>
      <c r="W53" s="23"/>
    </row>
    <row r="54" spans="1:23" x14ac:dyDescent="0.2">
      <c r="A54" s="10"/>
      <c r="B54" s="10"/>
      <c r="C54" s="10"/>
      <c r="D54" s="10"/>
      <c r="E54" s="10"/>
      <c r="F54" s="48"/>
      <c r="G54" s="48"/>
      <c r="H54" s="48"/>
      <c r="I54" s="53"/>
      <c r="J54" s="53"/>
      <c r="K54" s="78"/>
      <c r="L54" s="10"/>
      <c r="M54" s="107"/>
      <c r="N54" s="94">
        <f>Nopember!R54</f>
        <v>0</v>
      </c>
      <c r="O54" s="99"/>
      <c r="P54" s="108"/>
      <c r="Q54" s="99"/>
      <c r="R54" s="108"/>
      <c r="S54" s="99"/>
      <c r="T54" s="63"/>
      <c r="U54" s="10"/>
      <c r="V54" s="10"/>
      <c r="W54" s="23"/>
    </row>
    <row r="55" spans="1:23" ht="30" customHeight="1" x14ac:dyDescent="0.2">
      <c r="A55" s="8">
        <v>1</v>
      </c>
      <c r="B55" s="9" t="s">
        <v>17</v>
      </c>
      <c r="C55" s="9" t="s">
        <v>18</v>
      </c>
      <c r="D55" s="8">
        <v>38</v>
      </c>
      <c r="E55" s="8">
        <v>14</v>
      </c>
      <c r="F55" s="61" t="s">
        <v>21</v>
      </c>
      <c r="G55" s="61" t="s">
        <v>22</v>
      </c>
      <c r="H55" s="61" t="s">
        <v>22</v>
      </c>
      <c r="I55" s="128" t="s">
        <v>48</v>
      </c>
      <c r="J55" s="42"/>
      <c r="K55" s="79" t="s">
        <v>57</v>
      </c>
      <c r="L55" s="10"/>
      <c r="M55" s="105">
        <f>M56</f>
        <v>20000000</v>
      </c>
      <c r="N55" s="94">
        <f>Nopember!R55</f>
        <v>15000000</v>
      </c>
      <c r="O55" s="99">
        <f t="shared" si="0"/>
        <v>75</v>
      </c>
      <c r="P55" s="106">
        <f>P56</f>
        <v>0</v>
      </c>
      <c r="Q55" s="95">
        <f t="shared" si="1"/>
        <v>0</v>
      </c>
      <c r="R55" s="106">
        <f>R56</f>
        <v>15000000</v>
      </c>
      <c r="S55" s="95">
        <f t="shared" si="2"/>
        <v>75</v>
      </c>
      <c r="T55" s="96">
        <f>T56</f>
        <v>0</v>
      </c>
      <c r="U55" s="10"/>
      <c r="V55" s="10"/>
      <c r="W55" s="23"/>
    </row>
    <row r="56" spans="1:23" ht="15" customHeight="1" x14ac:dyDescent="0.2">
      <c r="A56" s="10"/>
      <c r="B56" s="10"/>
      <c r="C56" s="10"/>
      <c r="D56" s="10"/>
      <c r="E56" s="10"/>
      <c r="F56" s="48"/>
      <c r="G56" s="48"/>
      <c r="H56" s="48"/>
      <c r="I56" s="48"/>
      <c r="J56" s="48" t="s">
        <v>18</v>
      </c>
      <c r="K56" s="78" t="s">
        <v>58</v>
      </c>
      <c r="L56" s="10"/>
      <c r="M56" s="107">
        <v>20000000</v>
      </c>
      <c r="N56" s="94">
        <f>Nopember!R56</f>
        <v>15000000</v>
      </c>
      <c r="O56" s="99">
        <f t="shared" si="0"/>
        <v>75</v>
      </c>
      <c r="P56" s="26"/>
      <c r="Q56" s="99">
        <f t="shared" si="1"/>
        <v>0</v>
      </c>
      <c r="R56" s="108">
        <f>N56+P56</f>
        <v>15000000</v>
      </c>
      <c r="S56" s="99">
        <f t="shared" si="2"/>
        <v>75</v>
      </c>
      <c r="T56" s="100">
        <f>0/4*100</f>
        <v>0</v>
      </c>
      <c r="U56" s="10"/>
      <c r="V56" s="10"/>
      <c r="W56" s="23"/>
    </row>
    <row r="57" spans="1:23" x14ac:dyDescent="0.2">
      <c r="A57" s="10"/>
      <c r="B57" s="10"/>
      <c r="C57" s="10"/>
      <c r="D57" s="10"/>
      <c r="E57" s="10"/>
      <c r="F57" s="48"/>
      <c r="G57" s="48"/>
      <c r="H57" s="48"/>
      <c r="I57" s="53"/>
      <c r="J57" s="53"/>
      <c r="K57" s="90"/>
      <c r="L57" s="10"/>
      <c r="M57" s="97"/>
      <c r="N57" s="94">
        <f>Nopember!R57</f>
        <v>0</v>
      </c>
      <c r="O57" s="99"/>
      <c r="P57" s="98"/>
      <c r="Q57" s="99"/>
      <c r="R57" s="98"/>
      <c r="S57" s="99"/>
      <c r="T57" s="63"/>
      <c r="U57" s="10"/>
      <c r="V57" s="10"/>
      <c r="W57" s="23"/>
    </row>
    <row r="58" spans="1:23" ht="20.100000000000001" customHeight="1" x14ac:dyDescent="0.2">
      <c r="A58" s="8">
        <v>1</v>
      </c>
      <c r="B58" s="9" t="s">
        <v>17</v>
      </c>
      <c r="C58" s="9" t="s">
        <v>18</v>
      </c>
      <c r="D58" s="8">
        <v>38</v>
      </c>
      <c r="E58" s="8">
        <v>14</v>
      </c>
      <c r="F58" s="61" t="s">
        <v>21</v>
      </c>
      <c r="G58" s="61" t="s">
        <v>22</v>
      </c>
      <c r="H58" s="61" t="s">
        <v>22</v>
      </c>
      <c r="I58" s="128" t="s">
        <v>51</v>
      </c>
      <c r="J58" s="130"/>
      <c r="K58" s="88" t="s">
        <v>59</v>
      </c>
      <c r="L58" s="10"/>
      <c r="M58" s="103">
        <f>SUM(M59:M62)</f>
        <v>24000000</v>
      </c>
      <c r="N58" s="94">
        <f>Nopember!R58</f>
        <v>14823000</v>
      </c>
      <c r="O58" s="99">
        <f t="shared" si="0"/>
        <v>61.762499999999996</v>
      </c>
      <c r="P58" s="104">
        <f>SUM(P59:P62)</f>
        <v>0</v>
      </c>
      <c r="Q58" s="95">
        <f t="shared" si="1"/>
        <v>0</v>
      </c>
      <c r="R58" s="104">
        <f>SUM(R59:R62)</f>
        <v>14823000</v>
      </c>
      <c r="S58" s="95">
        <f t="shared" si="2"/>
        <v>61.762499999999996</v>
      </c>
      <c r="T58" s="96">
        <f>SUM(T59:T61)/3</f>
        <v>0</v>
      </c>
      <c r="U58" s="10"/>
      <c r="V58" s="10"/>
      <c r="W58" s="23"/>
    </row>
    <row r="59" spans="1:23" ht="15" customHeight="1" x14ac:dyDescent="0.2">
      <c r="A59" s="10"/>
      <c r="B59" s="10"/>
      <c r="C59" s="10"/>
      <c r="D59" s="10"/>
      <c r="E59" s="10"/>
      <c r="F59" s="57"/>
      <c r="G59" s="57"/>
      <c r="H59" s="57"/>
      <c r="I59" s="129"/>
      <c r="J59" s="62" t="s">
        <v>34</v>
      </c>
      <c r="K59" s="89" t="s">
        <v>60</v>
      </c>
      <c r="L59" s="10"/>
      <c r="M59" s="97">
        <v>1000000</v>
      </c>
      <c r="N59" s="94">
        <f>Nopember!R59</f>
        <v>0</v>
      </c>
      <c r="O59" s="99">
        <f t="shared" si="0"/>
        <v>0</v>
      </c>
      <c r="P59" s="98"/>
      <c r="Q59" s="99">
        <f t="shared" si="1"/>
        <v>0</v>
      </c>
      <c r="R59" s="98">
        <f>N59+P59</f>
        <v>0</v>
      </c>
      <c r="S59" s="99">
        <f t="shared" si="2"/>
        <v>0</v>
      </c>
      <c r="T59" s="100">
        <f>0/1*100</f>
        <v>0</v>
      </c>
      <c r="U59" s="10"/>
      <c r="V59" s="10"/>
      <c r="W59" s="23"/>
    </row>
    <row r="60" spans="1:23" ht="15" customHeight="1" x14ac:dyDescent="0.2">
      <c r="A60" s="10"/>
      <c r="B60" s="10"/>
      <c r="C60" s="10"/>
      <c r="D60" s="10"/>
      <c r="E60" s="10"/>
      <c r="F60" s="54"/>
      <c r="G60" s="54"/>
      <c r="H60" s="54"/>
      <c r="I60" s="48"/>
      <c r="J60" s="55" t="s">
        <v>35</v>
      </c>
      <c r="K60" s="73" t="s">
        <v>61</v>
      </c>
      <c r="L60" s="10"/>
      <c r="M60" s="97">
        <v>13000000</v>
      </c>
      <c r="N60" s="94">
        <f>Nopember!R60</f>
        <v>9785000</v>
      </c>
      <c r="O60" s="99">
        <f t="shared" si="0"/>
        <v>75.269230769230759</v>
      </c>
      <c r="P60" s="98"/>
      <c r="Q60" s="99">
        <f t="shared" si="1"/>
        <v>0</v>
      </c>
      <c r="R60" s="98">
        <f t="shared" ref="R60:R62" si="5">N60+P60</f>
        <v>9785000</v>
      </c>
      <c r="S60" s="99">
        <f t="shared" si="2"/>
        <v>75.269230769230759</v>
      </c>
      <c r="T60" s="100">
        <f>0/1*100</f>
        <v>0</v>
      </c>
      <c r="U60" s="10"/>
      <c r="V60" s="10"/>
      <c r="W60" s="23"/>
    </row>
    <row r="61" spans="1:23" ht="15" customHeight="1" x14ac:dyDescent="0.2">
      <c r="A61" s="10"/>
      <c r="B61" s="10"/>
      <c r="C61" s="10"/>
      <c r="D61" s="10"/>
      <c r="E61" s="10"/>
      <c r="F61" s="57"/>
      <c r="G61" s="57"/>
      <c r="H61" s="57"/>
      <c r="I61" s="129"/>
      <c r="J61" s="62" t="s">
        <v>50</v>
      </c>
      <c r="K61" s="89" t="s">
        <v>62</v>
      </c>
      <c r="L61" s="10"/>
      <c r="M61" s="97">
        <v>5000000</v>
      </c>
      <c r="N61" s="94">
        <f>Nopember!R61</f>
        <v>996000</v>
      </c>
      <c r="O61" s="99">
        <f t="shared" si="0"/>
        <v>19.919999999999998</v>
      </c>
      <c r="P61" s="98"/>
      <c r="Q61" s="99">
        <f t="shared" si="1"/>
        <v>0</v>
      </c>
      <c r="R61" s="98">
        <f t="shared" si="5"/>
        <v>996000</v>
      </c>
      <c r="S61" s="99">
        <f t="shared" si="2"/>
        <v>19.919999999999998</v>
      </c>
      <c r="T61" s="100">
        <f>0/2*100</f>
        <v>0</v>
      </c>
      <c r="U61" s="10"/>
      <c r="V61" s="10"/>
      <c r="W61" s="23"/>
    </row>
    <row r="62" spans="1:23" ht="15" customHeight="1" x14ac:dyDescent="0.2">
      <c r="A62" s="10"/>
      <c r="B62" s="10"/>
      <c r="C62" s="10"/>
      <c r="D62" s="10"/>
      <c r="E62" s="10"/>
      <c r="F62" s="57"/>
      <c r="G62" s="57"/>
      <c r="H62" s="57"/>
      <c r="I62" s="129"/>
      <c r="J62" s="62" t="s">
        <v>36</v>
      </c>
      <c r="K62" s="89" t="s">
        <v>80</v>
      </c>
      <c r="L62" s="10"/>
      <c r="M62" s="97">
        <v>5000000</v>
      </c>
      <c r="N62" s="94">
        <f>Nopember!R62</f>
        <v>4042000</v>
      </c>
      <c r="O62" s="99">
        <v>0</v>
      </c>
      <c r="P62" s="98"/>
      <c r="Q62" s="99">
        <v>0</v>
      </c>
      <c r="R62" s="98">
        <f t="shared" si="5"/>
        <v>4042000</v>
      </c>
      <c r="S62" s="99">
        <f t="shared" si="2"/>
        <v>80.84</v>
      </c>
      <c r="T62" s="100">
        <f>0/1*100</f>
        <v>0</v>
      </c>
      <c r="U62" s="10"/>
      <c r="V62" s="10"/>
      <c r="W62" s="23"/>
    </row>
    <row r="63" spans="1:23" x14ac:dyDescent="0.2">
      <c r="A63" s="10"/>
      <c r="B63" s="10"/>
      <c r="C63" s="10"/>
      <c r="D63" s="10"/>
      <c r="E63" s="10"/>
      <c r="F63" s="48"/>
      <c r="G63" s="48"/>
      <c r="H63" s="48"/>
      <c r="I63" s="53"/>
      <c r="J63" s="53"/>
      <c r="K63" s="78"/>
      <c r="L63" s="10"/>
      <c r="M63" s="97"/>
      <c r="N63" s="94">
        <f>Nopember!R63</f>
        <v>0</v>
      </c>
      <c r="O63" s="99"/>
      <c r="P63" s="98"/>
      <c r="Q63" s="99"/>
      <c r="R63" s="98"/>
      <c r="S63" s="99"/>
      <c r="T63" s="100"/>
      <c r="U63" s="10"/>
      <c r="V63" s="10"/>
      <c r="W63" s="23"/>
    </row>
    <row r="64" spans="1:23" ht="20.100000000000001" customHeight="1" x14ac:dyDescent="0.2">
      <c r="A64" s="127">
        <v>1</v>
      </c>
      <c r="B64" s="127" t="s">
        <v>17</v>
      </c>
      <c r="C64" s="127" t="s">
        <v>18</v>
      </c>
      <c r="D64" s="127">
        <v>38</v>
      </c>
      <c r="E64" s="127">
        <v>14</v>
      </c>
      <c r="F64" s="42" t="s">
        <v>21</v>
      </c>
      <c r="G64" s="42" t="s">
        <v>22</v>
      </c>
      <c r="H64" s="42" t="s">
        <v>22</v>
      </c>
      <c r="I64" s="42" t="s">
        <v>78</v>
      </c>
      <c r="J64" s="42"/>
      <c r="K64" s="79" t="s">
        <v>76</v>
      </c>
      <c r="L64" s="127"/>
      <c r="M64" s="103">
        <f>SUM(M65:M66)</f>
        <v>10000000</v>
      </c>
      <c r="N64" s="94">
        <f>Nopember!R64</f>
        <v>2000000</v>
      </c>
      <c r="O64" s="95">
        <f t="shared" ref="O64:O66" si="6">N64/M64*100</f>
        <v>20</v>
      </c>
      <c r="P64" s="104">
        <f>SUM(P65:P66)</f>
        <v>0</v>
      </c>
      <c r="Q64" s="95">
        <f t="shared" ref="Q64:Q66" si="7">P64/M64*100</f>
        <v>0</v>
      </c>
      <c r="R64" s="104">
        <f>SUM(R65:R66)</f>
        <v>2000000</v>
      </c>
      <c r="S64" s="95">
        <f t="shared" ref="S64:S66" si="8">R64/M64*100</f>
        <v>20</v>
      </c>
      <c r="T64" s="96">
        <f>SUM(T65:T66)/2</f>
        <v>0</v>
      </c>
      <c r="U64" s="10"/>
      <c r="V64" s="10"/>
      <c r="W64" s="23"/>
    </row>
    <row r="65" spans="1:23" ht="15" customHeight="1" x14ac:dyDescent="0.2">
      <c r="A65" s="10"/>
      <c r="B65" s="10"/>
      <c r="C65" s="10"/>
      <c r="D65" s="10"/>
      <c r="E65" s="10"/>
      <c r="F65" s="48"/>
      <c r="G65" s="48"/>
      <c r="H65" s="48"/>
      <c r="I65" s="48"/>
      <c r="J65" s="62" t="s">
        <v>34</v>
      </c>
      <c r="K65" s="89" t="s">
        <v>107</v>
      </c>
      <c r="L65" s="10"/>
      <c r="M65" s="97">
        <v>7000000</v>
      </c>
      <c r="N65" s="94">
        <f>Nopember!R65</f>
        <v>0</v>
      </c>
      <c r="O65" s="95">
        <f t="shared" si="6"/>
        <v>0</v>
      </c>
      <c r="P65" s="98"/>
      <c r="Q65" s="95">
        <f t="shared" si="7"/>
        <v>0</v>
      </c>
      <c r="R65" s="98">
        <f>N65+P65</f>
        <v>0</v>
      </c>
      <c r="S65" s="95">
        <f t="shared" si="8"/>
        <v>0</v>
      </c>
      <c r="T65" s="100">
        <f>0/1*100</f>
        <v>0</v>
      </c>
      <c r="U65" s="10"/>
      <c r="V65" s="10"/>
      <c r="W65" s="23"/>
    </row>
    <row r="66" spans="1:23" ht="15" customHeight="1" x14ac:dyDescent="0.2">
      <c r="A66" s="10"/>
      <c r="B66" s="10"/>
      <c r="C66" s="10"/>
      <c r="D66" s="10"/>
      <c r="E66" s="10"/>
      <c r="F66" s="48"/>
      <c r="G66" s="48"/>
      <c r="H66" s="48"/>
      <c r="I66" s="48"/>
      <c r="J66" s="48" t="s">
        <v>30</v>
      </c>
      <c r="K66" s="78" t="s">
        <v>77</v>
      </c>
      <c r="L66" s="10"/>
      <c r="M66" s="97">
        <v>3000000</v>
      </c>
      <c r="N66" s="94">
        <f>Nopember!R66</f>
        <v>2000000</v>
      </c>
      <c r="O66" s="99">
        <f t="shared" si="6"/>
        <v>66.666666666666657</v>
      </c>
      <c r="P66" s="98"/>
      <c r="Q66" s="99">
        <f t="shared" si="7"/>
        <v>0</v>
      </c>
      <c r="R66" s="98">
        <f>N66+P66</f>
        <v>2000000</v>
      </c>
      <c r="S66" s="95">
        <f t="shared" si="8"/>
        <v>66.666666666666657</v>
      </c>
      <c r="T66" s="100">
        <f>0/1*100</f>
        <v>0</v>
      </c>
      <c r="U66" s="10"/>
      <c r="V66" s="10"/>
      <c r="W66" s="23"/>
    </row>
    <row r="67" spans="1:23" x14ac:dyDescent="0.2">
      <c r="A67" s="10"/>
      <c r="B67" s="10"/>
      <c r="C67" s="10"/>
      <c r="D67" s="10"/>
      <c r="E67" s="10"/>
      <c r="F67" s="48"/>
      <c r="G67" s="48"/>
      <c r="H67" s="48"/>
      <c r="I67" s="53"/>
      <c r="J67" s="53"/>
      <c r="K67" s="78"/>
      <c r="L67" s="10"/>
      <c r="M67" s="97"/>
      <c r="N67" s="94">
        <f>Nopember!R67</f>
        <v>0</v>
      </c>
      <c r="O67" s="99"/>
      <c r="P67" s="98"/>
      <c r="Q67" s="99"/>
      <c r="R67" s="98"/>
      <c r="S67" s="99"/>
      <c r="T67" s="63"/>
      <c r="U67" s="10"/>
      <c r="V67" s="10"/>
      <c r="W67" s="23"/>
    </row>
    <row r="68" spans="1:23" ht="30" customHeight="1" x14ac:dyDescent="0.2">
      <c r="A68" s="8">
        <v>1</v>
      </c>
      <c r="B68" s="9" t="s">
        <v>17</v>
      </c>
      <c r="C68" s="9" t="s">
        <v>18</v>
      </c>
      <c r="D68" s="8">
        <v>38</v>
      </c>
      <c r="E68" s="8">
        <v>14</v>
      </c>
      <c r="F68" s="61" t="s">
        <v>21</v>
      </c>
      <c r="G68" s="61" t="s">
        <v>22</v>
      </c>
      <c r="H68" s="61" t="s">
        <v>22</v>
      </c>
      <c r="I68" s="131" t="s">
        <v>49</v>
      </c>
      <c r="J68" s="61"/>
      <c r="K68" s="88" t="s">
        <v>63</v>
      </c>
      <c r="L68" s="10"/>
      <c r="M68" s="105">
        <f>SUM(M69:M70)</f>
        <v>19450000</v>
      </c>
      <c r="N68" s="94">
        <f>Nopember!R68</f>
        <v>9050000</v>
      </c>
      <c r="O68" s="99">
        <f t="shared" si="0"/>
        <v>46.529562982005139</v>
      </c>
      <c r="P68" s="106">
        <f>SUM(P69:P70)</f>
        <v>0</v>
      </c>
      <c r="Q68" s="95">
        <f t="shared" si="1"/>
        <v>0</v>
      </c>
      <c r="R68" s="103">
        <f>SUM(R69:R70)</f>
        <v>9050000</v>
      </c>
      <c r="S68" s="95">
        <f t="shared" si="2"/>
        <v>46.529562982005139</v>
      </c>
      <c r="T68" s="96">
        <f>SUM(T69:T70)/2</f>
        <v>0</v>
      </c>
      <c r="U68" s="10"/>
      <c r="V68" s="10"/>
      <c r="W68" s="23"/>
    </row>
    <row r="69" spans="1:23" ht="15" customHeight="1" x14ac:dyDescent="0.2">
      <c r="A69" s="10"/>
      <c r="B69" s="10"/>
      <c r="C69" s="10"/>
      <c r="D69" s="10"/>
      <c r="E69" s="10"/>
      <c r="F69" s="57"/>
      <c r="G69" s="57"/>
      <c r="H69" s="57"/>
      <c r="I69" s="129"/>
      <c r="J69" s="62" t="s">
        <v>17</v>
      </c>
      <c r="K69" s="89" t="s">
        <v>66</v>
      </c>
      <c r="L69" s="10"/>
      <c r="M69" s="107">
        <v>7200000</v>
      </c>
      <c r="N69" s="94">
        <f>Nopember!R69</f>
        <v>1800000</v>
      </c>
      <c r="O69" s="99">
        <f t="shared" si="0"/>
        <v>25</v>
      </c>
      <c r="P69" s="26"/>
      <c r="Q69" s="99">
        <f t="shared" si="1"/>
        <v>0</v>
      </c>
      <c r="R69" s="108">
        <f>N69+P69</f>
        <v>1800000</v>
      </c>
      <c r="S69" s="99">
        <f t="shared" si="2"/>
        <v>25</v>
      </c>
      <c r="T69" s="100">
        <f>0/24*100</f>
        <v>0</v>
      </c>
      <c r="U69" s="10"/>
      <c r="V69" s="10"/>
      <c r="W69" s="23"/>
    </row>
    <row r="70" spans="1:23" ht="15" customHeight="1" x14ac:dyDescent="0.2">
      <c r="A70" s="10"/>
      <c r="B70" s="10"/>
      <c r="C70" s="10"/>
      <c r="D70" s="10"/>
      <c r="E70" s="10"/>
      <c r="F70" s="57"/>
      <c r="G70" s="57"/>
      <c r="H70" s="57"/>
      <c r="I70" s="129"/>
      <c r="J70" s="62" t="s">
        <v>34</v>
      </c>
      <c r="K70" s="89" t="s">
        <v>81</v>
      </c>
      <c r="L70" s="10"/>
      <c r="M70" s="107">
        <v>12250000</v>
      </c>
      <c r="N70" s="94">
        <f>Nopember!R70</f>
        <v>7250000</v>
      </c>
      <c r="O70" s="99">
        <f t="shared" si="0"/>
        <v>59.183673469387756</v>
      </c>
      <c r="P70" s="26"/>
      <c r="Q70" s="95">
        <f t="shared" si="1"/>
        <v>0</v>
      </c>
      <c r="R70" s="108">
        <f>N70+P70</f>
        <v>7250000</v>
      </c>
      <c r="S70" s="95">
        <f t="shared" si="2"/>
        <v>59.183673469387756</v>
      </c>
      <c r="T70" s="100">
        <f>0/9*100</f>
        <v>0</v>
      </c>
      <c r="U70" s="10"/>
      <c r="V70" s="10"/>
      <c r="W70" s="23"/>
    </row>
    <row r="71" spans="1:23" x14ac:dyDescent="0.2">
      <c r="A71" s="10"/>
      <c r="B71" s="10"/>
      <c r="C71" s="10"/>
      <c r="D71" s="10"/>
      <c r="E71" s="10"/>
      <c r="F71" s="48"/>
      <c r="G71" s="48"/>
      <c r="H71" s="48"/>
      <c r="I71" s="53"/>
      <c r="J71" s="53"/>
      <c r="K71" s="78"/>
      <c r="L71" s="10"/>
      <c r="M71" s="97"/>
      <c r="N71" s="94">
        <f>Nopember!R71</f>
        <v>0</v>
      </c>
      <c r="O71" s="99"/>
      <c r="P71" s="98"/>
      <c r="Q71" s="99"/>
      <c r="R71" s="98"/>
      <c r="S71" s="99"/>
      <c r="T71" s="63"/>
      <c r="U71" s="10"/>
      <c r="V71" s="10"/>
      <c r="W71" s="23"/>
    </row>
    <row r="72" spans="1:23" ht="25.5" x14ac:dyDescent="0.2">
      <c r="A72" s="8">
        <v>1</v>
      </c>
      <c r="B72" s="9" t="s">
        <v>17</v>
      </c>
      <c r="C72" s="9" t="s">
        <v>18</v>
      </c>
      <c r="D72" s="8">
        <v>38</v>
      </c>
      <c r="E72" s="8">
        <v>14</v>
      </c>
      <c r="F72" s="42" t="s">
        <v>21</v>
      </c>
      <c r="G72" s="42" t="s">
        <v>22</v>
      </c>
      <c r="H72" s="42" t="s">
        <v>22</v>
      </c>
      <c r="I72" s="42" t="s">
        <v>108</v>
      </c>
      <c r="J72" s="44"/>
      <c r="K72" s="79" t="s">
        <v>109</v>
      </c>
      <c r="L72" s="10"/>
      <c r="M72" s="103">
        <f>M73</f>
        <v>500000</v>
      </c>
      <c r="N72" s="94">
        <f>Nopember!R72</f>
        <v>0</v>
      </c>
      <c r="O72" s="99">
        <f t="shared" si="0"/>
        <v>0</v>
      </c>
      <c r="P72" s="104">
        <f>P73</f>
        <v>0</v>
      </c>
      <c r="Q72" s="95">
        <f t="shared" si="1"/>
        <v>0</v>
      </c>
      <c r="R72" s="104">
        <f>R73</f>
        <v>0</v>
      </c>
      <c r="S72" s="95">
        <f t="shared" si="2"/>
        <v>0</v>
      </c>
      <c r="T72" s="96">
        <v>0</v>
      </c>
      <c r="U72" s="10"/>
      <c r="V72" s="10"/>
      <c r="W72" s="23"/>
    </row>
    <row r="73" spans="1:23" ht="25.5" x14ac:dyDescent="0.2">
      <c r="A73" s="10"/>
      <c r="B73" s="10"/>
      <c r="C73" s="10"/>
      <c r="D73" s="10"/>
      <c r="E73" s="10"/>
      <c r="F73" s="48"/>
      <c r="G73" s="48"/>
      <c r="H73" s="48"/>
      <c r="I73" s="53"/>
      <c r="J73" s="55" t="s">
        <v>17</v>
      </c>
      <c r="K73" s="73" t="s">
        <v>110</v>
      </c>
      <c r="L73" s="10"/>
      <c r="M73" s="97">
        <v>500000</v>
      </c>
      <c r="N73" s="94">
        <f>Nopember!R73</f>
        <v>0</v>
      </c>
      <c r="O73" s="99">
        <f t="shared" si="0"/>
        <v>0</v>
      </c>
      <c r="P73" s="26"/>
      <c r="Q73" s="99">
        <f t="shared" si="1"/>
        <v>0</v>
      </c>
      <c r="R73" s="98">
        <f>N73+P73</f>
        <v>0</v>
      </c>
      <c r="S73" s="99">
        <f t="shared" si="2"/>
        <v>0</v>
      </c>
      <c r="T73" s="100">
        <f>0/1*100</f>
        <v>0</v>
      </c>
      <c r="U73" s="10"/>
      <c r="V73" s="160"/>
      <c r="W73" s="23"/>
    </row>
    <row r="74" spans="1:23" x14ac:dyDescent="0.2">
      <c r="A74" s="10"/>
      <c r="B74" s="10"/>
      <c r="C74" s="10"/>
      <c r="D74" s="10"/>
      <c r="E74" s="10"/>
      <c r="F74" s="48"/>
      <c r="G74" s="48"/>
      <c r="H74" s="48"/>
      <c r="I74" s="53"/>
      <c r="J74" s="59"/>
      <c r="K74" s="91"/>
      <c r="L74" s="166"/>
      <c r="M74" s="115"/>
      <c r="N74" s="94">
        <f>Nopember!R74</f>
        <v>0</v>
      </c>
      <c r="O74" s="99"/>
      <c r="P74" s="117"/>
      <c r="Q74" s="99"/>
      <c r="R74" s="117"/>
      <c r="S74" s="99"/>
      <c r="T74" s="63"/>
      <c r="U74" s="10"/>
      <c r="V74" s="10"/>
      <c r="W74" s="23"/>
    </row>
    <row r="75" spans="1:23" ht="20.100000000000001" customHeight="1" x14ac:dyDescent="0.2">
      <c r="A75" s="8">
        <v>1</v>
      </c>
      <c r="B75" s="9" t="s">
        <v>17</v>
      </c>
      <c r="C75" s="9" t="s">
        <v>18</v>
      </c>
      <c r="D75" s="8">
        <v>38</v>
      </c>
      <c r="E75" s="8">
        <v>14</v>
      </c>
      <c r="F75" s="42" t="s">
        <v>21</v>
      </c>
      <c r="G75" s="42" t="s">
        <v>22</v>
      </c>
      <c r="H75" s="42" t="s">
        <v>24</v>
      </c>
      <c r="I75" s="42"/>
      <c r="J75" s="44"/>
      <c r="K75" s="79" t="s">
        <v>25</v>
      </c>
      <c r="L75" s="10"/>
      <c r="M75" s="105">
        <f>M79+M76+M83+M86+M89</f>
        <v>68700000</v>
      </c>
      <c r="N75" s="94">
        <f>Nopember!R75</f>
        <v>36110000</v>
      </c>
      <c r="O75" s="99">
        <f t="shared" si="0"/>
        <v>52.561863173216885</v>
      </c>
      <c r="P75" s="106">
        <f>P79+P76+P83+P86+P89</f>
        <v>0</v>
      </c>
      <c r="Q75" s="95">
        <f t="shared" si="1"/>
        <v>0</v>
      </c>
      <c r="R75" s="106">
        <f>R79+R76+R83+R86+R89</f>
        <v>36110000</v>
      </c>
      <c r="S75" s="95">
        <f t="shared" si="2"/>
        <v>52.561863173216885</v>
      </c>
      <c r="T75" s="96">
        <f>(T79+T76+T83+T86+T89)/5</f>
        <v>0</v>
      </c>
      <c r="U75" s="10"/>
      <c r="V75" s="10"/>
      <c r="W75" s="23"/>
    </row>
    <row r="76" spans="1:23" ht="30" customHeight="1" x14ac:dyDescent="0.2">
      <c r="A76" s="8">
        <v>1</v>
      </c>
      <c r="B76" s="9" t="s">
        <v>17</v>
      </c>
      <c r="C76" s="9" t="s">
        <v>18</v>
      </c>
      <c r="D76" s="8">
        <v>38</v>
      </c>
      <c r="E76" s="8">
        <v>14</v>
      </c>
      <c r="F76" s="42" t="s">
        <v>21</v>
      </c>
      <c r="G76" s="42" t="s">
        <v>22</v>
      </c>
      <c r="H76" s="42" t="s">
        <v>24</v>
      </c>
      <c r="I76" s="42" t="s">
        <v>44</v>
      </c>
      <c r="J76" s="44"/>
      <c r="K76" s="80" t="s">
        <v>111</v>
      </c>
      <c r="L76" s="10"/>
      <c r="M76" s="103">
        <f>M77</f>
        <v>7500000</v>
      </c>
      <c r="N76" s="94">
        <f>Nopember!R76</f>
        <v>7500000</v>
      </c>
      <c r="O76" s="99">
        <f t="shared" si="0"/>
        <v>100</v>
      </c>
      <c r="P76" s="104">
        <f>P77</f>
        <v>0</v>
      </c>
      <c r="Q76" s="95">
        <f t="shared" si="1"/>
        <v>0</v>
      </c>
      <c r="R76" s="104">
        <f>R77</f>
        <v>7500000</v>
      </c>
      <c r="S76" s="95">
        <f t="shared" si="2"/>
        <v>100</v>
      </c>
      <c r="T76" s="96">
        <f>T77</f>
        <v>0</v>
      </c>
      <c r="U76" s="10"/>
      <c r="V76" s="10"/>
      <c r="W76" s="23"/>
    </row>
    <row r="77" spans="1:23" ht="20.100000000000001" customHeight="1" x14ac:dyDescent="0.2">
      <c r="A77" s="8"/>
      <c r="B77" s="9"/>
      <c r="C77" s="9"/>
      <c r="D77" s="8"/>
      <c r="E77" s="8"/>
      <c r="F77" s="42"/>
      <c r="G77" s="42"/>
      <c r="H77" s="42"/>
      <c r="I77" s="48"/>
      <c r="J77" s="55" t="s">
        <v>35</v>
      </c>
      <c r="K77" s="73" t="s">
        <v>112</v>
      </c>
      <c r="L77" s="10"/>
      <c r="M77" s="97">
        <v>7500000</v>
      </c>
      <c r="N77" s="94">
        <f>Nopember!R77</f>
        <v>7500000</v>
      </c>
      <c r="O77" s="99">
        <f t="shared" ref="O77:O90" si="9">N77/M77*100</f>
        <v>100</v>
      </c>
      <c r="P77" s="98"/>
      <c r="Q77" s="99">
        <f t="shared" ref="Q77:Q90" si="10">P77/M77*100</f>
        <v>0</v>
      </c>
      <c r="R77" s="98">
        <f>N77+P77</f>
        <v>7500000</v>
      </c>
      <c r="S77" s="99">
        <f t="shared" ref="S77:S90" si="11">R77/M77*100</f>
        <v>100</v>
      </c>
      <c r="T77" s="100">
        <f>0/3*100</f>
        <v>0</v>
      </c>
      <c r="U77" s="10"/>
      <c r="V77" s="10"/>
      <c r="W77" s="23"/>
    </row>
    <row r="78" spans="1:23" ht="9.9499999999999993" customHeight="1" x14ac:dyDescent="0.2">
      <c r="A78" s="8"/>
      <c r="B78" s="9"/>
      <c r="C78" s="9"/>
      <c r="D78" s="8"/>
      <c r="E78" s="8"/>
      <c r="F78" s="42"/>
      <c r="G78" s="42"/>
      <c r="H78" s="42"/>
      <c r="I78" s="55"/>
      <c r="J78" s="55"/>
      <c r="K78" s="78"/>
      <c r="L78" s="10"/>
      <c r="M78" s="97"/>
      <c r="N78" s="94">
        <f>Nopember!R78</f>
        <v>0</v>
      </c>
      <c r="O78" s="99"/>
      <c r="P78" s="26"/>
      <c r="Q78" s="95"/>
      <c r="R78" s="98"/>
      <c r="S78" s="95"/>
      <c r="T78" s="100"/>
      <c r="U78" s="10"/>
      <c r="V78" s="10"/>
      <c r="W78" s="23"/>
    </row>
    <row r="79" spans="1:23" s="149" customFormat="1" ht="30" customHeight="1" x14ac:dyDescent="0.25">
      <c r="A79" s="8">
        <v>1</v>
      </c>
      <c r="B79" s="9" t="s">
        <v>17</v>
      </c>
      <c r="C79" s="9" t="s">
        <v>18</v>
      </c>
      <c r="D79" s="8">
        <v>38</v>
      </c>
      <c r="E79" s="8">
        <v>14</v>
      </c>
      <c r="F79" s="42" t="s">
        <v>21</v>
      </c>
      <c r="G79" s="42" t="s">
        <v>22</v>
      </c>
      <c r="H79" s="42" t="s">
        <v>24</v>
      </c>
      <c r="I79" s="60" t="s">
        <v>113</v>
      </c>
      <c r="J79" s="60"/>
      <c r="K79" s="79" t="s">
        <v>45</v>
      </c>
      <c r="L79" s="127"/>
      <c r="M79" s="103">
        <f>SUM(M80:M81)</f>
        <v>12200000</v>
      </c>
      <c r="N79" s="94">
        <f>Nopember!R79</f>
        <v>8690000</v>
      </c>
      <c r="O79" s="95">
        <f t="shared" si="9"/>
        <v>71.229508196721312</v>
      </c>
      <c r="P79" s="147">
        <f>SUM(P80:P81)</f>
        <v>0</v>
      </c>
      <c r="Q79" s="95">
        <f t="shared" si="10"/>
        <v>0</v>
      </c>
      <c r="R79" s="104">
        <f>SUM(R80:R81)</f>
        <v>8690000</v>
      </c>
      <c r="S79" s="95">
        <f t="shared" si="11"/>
        <v>71.229508196721312</v>
      </c>
      <c r="T79" s="96">
        <f>SUM(T80:T81)/2</f>
        <v>0</v>
      </c>
      <c r="U79" s="127"/>
      <c r="V79" s="127"/>
      <c r="W79" s="148"/>
    </row>
    <row r="80" spans="1:23" ht="20.100000000000001" customHeight="1" x14ac:dyDescent="0.2">
      <c r="A80" s="6"/>
      <c r="B80" s="7"/>
      <c r="C80" s="7"/>
      <c r="D80" s="6"/>
      <c r="E80" s="6"/>
      <c r="F80" s="48"/>
      <c r="G80" s="48"/>
      <c r="H80" s="48"/>
      <c r="I80" s="55"/>
      <c r="J80" s="55" t="s">
        <v>18</v>
      </c>
      <c r="K80" s="78" t="s">
        <v>114</v>
      </c>
      <c r="L80" s="10"/>
      <c r="M80" s="97">
        <v>11200000</v>
      </c>
      <c r="N80" s="94">
        <f>Nopember!R80</f>
        <v>8690000</v>
      </c>
      <c r="O80" s="99">
        <f t="shared" si="9"/>
        <v>77.589285714285722</v>
      </c>
      <c r="P80" s="26"/>
      <c r="Q80" s="99">
        <f t="shared" si="10"/>
        <v>0</v>
      </c>
      <c r="R80" s="98">
        <f>N80+P80</f>
        <v>8690000</v>
      </c>
      <c r="S80" s="99">
        <f t="shared" si="11"/>
        <v>77.589285714285722</v>
      </c>
      <c r="T80" s="100">
        <f>0/4*100</f>
        <v>0</v>
      </c>
      <c r="U80" s="10"/>
      <c r="V80" s="10"/>
      <c r="W80" s="23"/>
    </row>
    <row r="81" spans="1:23" ht="20.100000000000001" customHeight="1" x14ac:dyDescent="0.2">
      <c r="A81" s="6"/>
      <c r="B81" s="7"/>
      <c r="C81" s="7"/>
      <c r="D81" s="6"/>
      <c r="E81" s="6"/>
      <c r="F81" s="48"/>
      <c r="G81" s="48"/>
      <c r="H81" s="48"/>
      <c r="I81" s="55"/>
      <c r="J81" s="55" t="s">
        <v>17</v>
      </c>
      <c r="K81" s="78" t="s">
        <v>115</v>
      </c>
      <c r="L81" s="10"/>
      <c r="M81" s="97">
        <v>1000000</v>
      </c>
      <c r="N81" s="94">
        <f>Nopember!R81</f>
        <v>0</v>
      </c>
      <c r="O81" s="99">
        <f t="shared" si="9"/>
        <v>0</v>
      </c>
      <c r="P81" s="26"/>
      <c r="Q81" s="95">
        <f t="shared" si="10"/>
        <v>0</v>
      </c>
      <c r="R81" s="98">
        <f>N81+P81</f>
        <v>0</v>
      </c>
      <c r="S81" s="95">
        <f t="shared" si="11"/>
        <v>0</v>
      </c>
      <c r="T81" s="100">
        <f>0/1*100</f>
        <v>0</v>
      </c>
      <c r="U81" s="10"/>
      <c r="V81" s="10"/>
      <c r="W81" s="23"/>
    </row>
    <row r="82" spans="1:23" ht="9.9499999999999993" customHeight="1" x14ac:dyDescent="0.2">
      <c r="A82" s="8"/>
      <c r="B82" s="9"/>
      <c r="C82" s="9"/>
      <c r="D82" s="8"/>
      <c r="E82" s="8"/>
      <c r="F82" s="42"/>
      <c r="G82" s="42"/>
      <c r="H82" s="42"/>
      <c r="I82" s="55"/>
      <c r="J82" s="55"/>
      <c r="K82" s="78"/>
      <c r="L82" s="10"/>
      <c r="M82" s="97"/>
      <c r="N82" s="94">
        <f>Nopember!R82</f>
        <v>0</v>
      </c>
      <c r="O82" s="99"/>
      <c r="P82" s="26"/>
      <c r="Q82" s="95"/>
      <c r="R82" s="98"/>
      <c r="S82" s="95"/>
      <c r="T82" s="100"/>
      <c r="U82" s="10"/>
      <c r="V82" s="10"/>
      <c r="W82" s="23"/>
    </row>
    <row r="83" spans="1:23" s="149" customFormat="1" ht="30" customHeight="1" x14ac:dyDescent="0.25">
      <c r="A83" s="8">
        <v>1</v>
      </c>
      <c r="B83" s="9" t="s">
        <v>17</v>
      </c>
      <c r="C83" s="9" t="s">
        <v>18</v>
      </c>
      <c r="D83" s="8">
        <v>38</v>
      </c>
      <c r="E83" s="8">
        <v>14</v>
      </c>
      <c r="F83" s="42" t="s">
        <v>21</v>
      </c>
      <c r="G83" s="42" t="s">
        <v>22</v>
      </c>
      <c r="H83" s="42" t="s">
        <v>24</v>
      </c>
      <c r="I83" s="60" t="s">
        <v>78</v>
      </c>
      <c r="J83" s="60"/>
      <c r="K83" s="79" t="s">
        <v>116</v>
      </c>
      <c r="L83" s="127"/>
      <c r="M83" s="103">
        <f>M84</f>
        <v>26000000</v>
      </c>
      <c r="N83" s="94">
        <f>Nopember!R83</f>
        <v>0</v>
      </c>
      <c r="O83" s="95">
        <f t="shared" si="9"/>
        <v>0</v>
      </c>
      <c r="P83" s="147">
        <f>P84</f>
        <v>0</v>
      </c>
      <c r="Q83" s="95">
        <f t="shared" si="10"/>
        <v>0</v>
      </c>
      <c r="R83" s="104">
        <f>R84</f>
        <v>0</v>
      </c>
      <c r="S83" s="95">
        <f t="shared" si="11"/>
        <v>0</v>
      </c>
      <c r="T83" s="96">
        <f>T84</f>
        <v>0</v>
      </c>
      <c r="U83" s="127"/>
      <c r="V83" s="127"/>
      <c r="W83" s="148"/>
    </row>
    <row r="84" spans="1:23" ht="20.100000000000001" customHeight="1" x14ac:dyDescent="0.2">
      <c r="A84" s="6"/>
      <c r="B84" s="7"/>
      <c r="C84" s="7"/>
      <c r="D84" s="6"/>
      <c r="E84" s="6"/>
      <c r="F84" s="48"/>
      <c r="G84" s="48"/>
      <c r="H84" s="48"/>
      <c r="I84" s="55"/>
      <c r="J84" s="55" t="s">
        <v>117</v>
      </c>
      <c r="K84" s="78" t="s">
        <v>118</v>
      </c>
      <c r="L84" s="10"/>
      <c r="M84" s="97">
        <v>26000000</v>
      </c>
      <c r="N84" s="94">
        <f>Nopember!R84</f>
        <v>0</v>
      </c>
      <c r="O84" s="99">
        <f t="shared" si="9"/>
        <v>0</v>
      </c>
      <c r="P84" s="26"/>
      <c r="Q84" s="95">
        <f t="shared" si="10"/>
        <v>0</v>
      </c>
      <c r="R84" s="98">
        <f>N84+P84</f>
        <v>0</v>
      </c>
      <c r="S84" s="95">
        <f t="shared" si="11"/>
        <v>0</v>
      </c>
      <c r="T84" s="100">
        <f>0/2*100</f>
        <v>0</v>
      </c>
      <c r="U84" s="10"/>
      <c r="V84" s="10"/>
      <c r="W84" s="23"/>
    </row>
    <row r="85" spans="1:23" ht="9.9499999999999993" customHeight="1" x14ac:dyDescent="0.2">
      <c r="A85" s="8"/>
      <c r="B85" s="9"/>
      <c r="C85" s="9"/>
      <c r="D85" s="8"/>
      <c r="E85" s="8"/>
      <c r="F85" s="42"/>
      <c r="G85" s="42"/>
      <c r="H85" s="42"/>
      <c r="I85" s="55"/>
      <c r="J85" s="55"/>
      <c r="K85" s="78"/>
      <c r="L85" s="10"/>
      <c r="M85" s="97"/>
      <c r="N85" s="94">
        <f>Nopember!R85</f>
        <v>0</v>
      </c>
      <c r="O85" s="99"/>
      <c r="P85" s="26"/>
      <c r="Q85" s="95"/>
      <c r="R85" s="98"/>
      <c r="S85" s="95"/>
      <c r="T85" s="100"/>
      <c r="U85" s="10"/>
      <c r="V85" s="10"/>
      <c r="W85" s="23"/>
    </row>
    <row r="86" spans="1:23" s="149" customFormat="1" ht="30" customHeight="1" x14ac:dyDescent="0.25">
      <c r="A86" s="8">
        <v>1</v>
      </c>
      <c r="B86" s="9" t="s">
        <v>17</v>
      </c>
      <c r="C86" s="9" t="s">
        <v>18</v>
      </c>
      <c r="D86" s="8">
        <v>38</v>
      </c>
      <c r="E86" s="8">
        <v>14</v>
      </c>
      <c r="F86" s="42" t="s">
        <v>21</v>
      </c>
      <c r="G86" s="42" t="s">
        <v>22</v>
      </c>
      <c r="H86" s="42" t="s">
        <v>24</v>
      </c>
      <c r="I86" s="60" t="s">
        <v>119</v>
      </c>
      <c r="J86" s="60"/>
      <c r="K86" s="79" t="s">
        <v>120</v>
      </c>
      <c r="L86" s="127"/>
      <c r="M86" s="103">
        <f>M87</f>
        <v>14000000</v>
      </c>
      <c r="N86" s="94">
        <f>Nopember!R86</f>
        <v>12180000</v>
      </c>
      <c r="O86" s="95">
        <f t="shared" si="9"/>
        <v>87</v>
      </c>
      <c r="P86" s="147">
        <f>P87</f>
        <v>0</v>
      </c>
      <c r="Q86" s="95">
        <f t="shared" si="10"/>
        <v>0</v>
      </c>
      <c r="R86" s="104">
        <f>R87</f>
        <v>12180000</v>
      </c>
      <c r="S86" s="95">
        <f t="shared" si="11"/>
        <v>87</v>
      </c>
      <c r="T86" s="96">
        <f>T87</f>
        <v>0</v>
      </c>
      <c r="U86" s="127"/>
      <c r="V86" s="127"/>
      <c r="W86" s="148"/>
    </row>
    <row r="87" spans="1:23" ht="20.100000000000001" customHeight="1" x14ac:dyDescent="0.2">
      <c r="A87" s="6"/>
      <c r="B87" s="7"/>
      <c r="C87" s="7"/>
      <c r="D87" s="6"/>
      <c r="E87" s="6"/>
      <c r="F87" s="157"/>
      <c r="G87" s="157"/>
      <c r="H87" s="157"/>
      <c r="I87" s="48"/>
      <c r="J87" s="48" t="s">
        <v>17</v>
      </c>
      <c r="K87" s="78" t="s">
        <v>121</v>
      </c>
      <c r="L87" s="10"/>
      <c r="M87" s="107">
        <v>14000000</v>
      </c>
      <c r="N87" s="94">
        <f>Nopember!R87</f>
        <v>12180000</v>
      </c>
      <c r="O87" s="99">
        <f t="shared" si="9"/>
        <v>87</v>
      </c>
      <c r="P87" s="108"/>
      <c r="Q87" s="99">
        <f t="shared" si="10"/>
        <v>0</v>
      </c>
      <c r="R87" s="108">
        <f>N87+P87</f>
        <v>12180000</v>
      </c>
      <c r="S87" s="99">
        <f t="shared" si="11"/>
        <v>87</v>
      </c>
      <c r="T87" s="100">
        <f>0/2*100</f>
        <v>0</v>
      </c>
      <c r="U87" s="10"/>
      <c r="V87" s="10"/>
      <c r="W87" s="23"/>
    </row>
    <row r="88" spans="1:23" ht="9.9499999999999993" customHeight="1" x14ac:dyDescent="0.2">
      <c r="A88" s="63"/>
      <c r="B88" s="63"/>
      <c r="C88" s="63"/>
      <c r="D88" s="63"/>
      <c r="E88" s="63"/>
      <c r="F88" s="42"/>
      <c r="G88" s="42"/>
      <c r="H88" s="42"/>
      <c r="I88" s="42"/>
      <c r="J88" s="65"/>
      <c r="K88" s="92"/>
      <c r="L88" s="10"/>
      <c r="M88" s="107"/>
      <c r="N88" s="94">
        <f>Nopember!R88</f>
        <v>0</v>
      </c>
      <c r="O88" s="99"/>
      <c r="P88" s="26"/>
      <c r="Q88" s="95"/>
      <c r="R88" s="108"/>
      <c r="S88" s="95"/>
      <c r="T88" s="100"/>
      <c r="U88" s="10"/>
      <c r="V88" s="10"/>
      <c r="W88" s="23"/>
    </row>
    <row r="89" spans="1:23" s="149" customFormat="1" ht="30" customHeight="1" x14ac:dyDescent="0.25">
      <c r="A89" s="8">
        <v>1</v>
      </c>
      <c r="B89" s="9" t="s">
        <v>17</v>
      </c>
      <c r="C89" s="9" t="s">
        <v>18</v>
      </c>
      <c r="D89" s="8">
        <v>38</v>
      </c>
      <c r="E89" s="8">
        <v>14</v>
      </c>
      <c r="F89" s="42" t="s">
        <v>21</v>
      </c>
      <c r="G89" s="42" t="s">
        <v>22</v>
      </c>
      <c r="H89" s="42" t="s">
        <v>24</v>
      </c>
      <c r="I89" s="42" t="s">
        <v>122</v>
      </c>
      <c r="J89" s="71"/>
      <c r="K89" s="150" t="s">
        <v>123</v>
      </c>
      <c r="L89" s="127"/>
      <c r="M89" s="105">
        <f>M90</f>
        <v>9000000</v>
      </c>
      <c r="N89" s="94">
        <f>Nopember!R89</f>
        <v>7740000</v>
      </c>
      <c r="O89" s="95">
        <f t="shared" si="9"/>
        <v>86</v>
      </c>
      <c r="P89" s="147">
        <f>P90</f>
        <v>0</v>
      </c>
      <c r="Q89" s="95">
        <f t="shared" si="10"/>
        <v>0</v>
      </c>
      <c r="R89" s="106">
        <f>R90</f>
        <v>7740000</v>
      </c>
      <c r="S89" s="95">
        <f t="shared" si="11"/>
        <v>86</v>
      </c>
      <c r="T89" s="96">
        <f>T90</f>
        <v>0</v>
      </c>
      <c r="U89" s="127"/>
      <c r="V89" s="127"/>
      <c r="W89" s="148"/>
    </row>
    <row r="90" spans="1:23" ht="20.100000000000001" customHeight="1" x14ac:dyDescent="0.2">
      <c r="A90" s="63"/>
      <c r="B90" s="63"/>
      <c r="C90" s="63"/>
      <c r="D90" s="63"/>
      <c r="E90" s="63"/>
      <c r="F90" s="48"/>
      <c r="G90" s="48"/>
      <c r="H90" s="48"/>
      <c r="I90" s="48"/>
      <c r="J90" s="65" t="s">
        <v>34</v>
      </c>
      <c r="K90" s="92" t="s">
        <v>124</v>
      </c>
      <c r="L90" s="10"/>
      <c r="M90" s="107">
        <v>9000000</v>
      </c>
      <c r="N90" s="94">
        <f>Nopember!R90</f>
        <v>7740000</v>
      </c>
      <c r="O90" s="99">
        <f t="shared" si="9"/>
        <v>86</v>
      </c>
      <c r="P90" s="26"/>
      <c r="Q90" s="99">
        <f t="shared" si="10"/>
        <v>0</v>
      </c>
      <c r="R90" s="108">
        <f>N90+P90</f>
        <v>7740000</v>
      </c>
      <c r="S90" s="99">
        <f t="shared" si="11"/>
        <v>86</v>
      </c>
      <c r="T90" s="100">
        <f>0/3*100</f>
        <v>0</v>
      </c>
      <c r="U90" s="10"/>
      <c r="V90" s="10"/>
      <c r="W90" s="23"/>
    </row>
    <row r="91" spans="1:23" ht="9.9499999999999993" customHeight="1" x14ac:dyDescent="0.2">
      <c r="A91" s="63"/>
      <c r="B91" s="63"/>
      <c r="C91" s="63"/>
      <c r="D91" s="63"/>
      <c r="E91" s="63"/>
      <c r="F91" s="42"/>
      <c r="G91" s="42"/>
      <c r="H91" s="42"/>
      <c r="I91" s="42"/>
      <c r="J91" s="65"/>
      <c r="K91" s="92"/>
      <c r="L91" s="15"/>
      <c r="M91" s="34"/>
      <c r="N91" s="25"/>
      <c r="O91" s="18"/>
      <c r="P91" s="26"/>
      <c r="Q91" s="18"/>
      <c r="R91" s="20"/>
      <c r="S91" s="18"/>
      <c r="T91" s="19"/>
      <c r="U91" s="15"/>
      <c r="V91" s="15"/>
      <c r="W91" s="23"/>
    </row>
    <row r="92" spans="1:23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35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spans="1:23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35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35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35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35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35"/>
      <c r="N97" s="4"/>
      <c r="O97" s="4"/>
      <c r="P97" s="209" t="s">
        <v>85</v>
      </c>
      <c r="Q97" s="209"/>
      <c r="R97" s="209"/>
      <c r="S97" s="209"/>
      <c r="T97" s="209"/>
      <c r="U97" s="209"/>
      <c r="V97" s="209"/>
      <c r="W97" s="29"/>
    </row>
    <row r="98" spans="1:23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35"/>
      <c r="N98" s="4"/>
      <c r="O98" s="4"/>
      <c r="P98" s="209" t="s">
        <v>46</v>
      </c>
      <c r="Q98" s="209"/>
      <c r="R98" s="209"/>
      <c r="S98" s="209"/>
      <c r="T98" s="209"/>
      <c r="U98" s="209"/>
      <c r="V98" s="209"/>
      <c r="W98" s="29"/>
    </row>
    <row r="99" spans="1:23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35"/>
      <c r="N99" s="4"/>
      <c r="O99" s="4"/>
      <c r="P99" s="24"/>
      <c r="Q99" s="24"/>
      <c r="R99" s="24"/>
      <c r="S99" s="24"/>
      <c r="T99" s="24"/>
      <c r="U99" s="24"/>
      <c r="V99" s="24"/>
      <c r="W99" s="16"/>
    </row>
    <row r="100" spans="1:23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35"/>
      <c r="N100" s="4"/>
      <c r="O100" s="4"/>
      <c r="P100" s="24"/>
      <c r="Q100" s="24"/>
      <c r="R100" s="24"/>
      <c r="S100" s="24"/>
      <c r="T100" s="24"/>
      <c r="U100" s="24"/>
      <c r="V100" s="24"/>
      <c r="W100" s="16"/>
    </row>
    <row r="101" spans="1:23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35"/>
      <c r="N101" s="4"/>
      <c r="O101" s="4"/>
      <c r="P101" s="24"/>
      <c r="Q101" s="24"/>
      <c r="R101" s="24"/>
      <c r="S101" s="24"/>
      <c r="T101" s="24"/>
      <c r="U101" s="24"/>
      <c r="V101" s="24"/>
      <c r="W101" s="16"/>
    </row>
    <row r="102" spans="1:23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35"/>
      <c r="N102" s="4"/>
      <c r="O102" s="4"/>
      <c r="P102" s="24"/>
      <c r="Q102" s="24"/>
      <c r="R102" s="24"/>
      <c r="S102" s="24"/>
      <c r="T102" s="24"/>
      <c r="U102" s="24"/>
      <c r="V102" s="24"/>
      <c r="W102" s="16"/>
    </row>
    <row r="103" spans="1:23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35"/>
      <c r="N103" s="4"/>
      <c r="O103" s="4"/>
      <c r="P103" s="210" t="s">
        <v>70</v>
      </c>
      <c r="Q103" s="210"/>
      <c r="R103" s="210"/>
      <c r="S103" s="210"/>
      <c r="T103" s="210"/>
      <c r="U103" s="210"/>
      <c r="V103" s="210"/>
      <c r="W103" s="30"/>
    </row>
    <row r="104" spans="1:23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35"/>
      <c r="N104" s="4"/>
      <c r="O104" s="4"/>
      <c r="P104" s="208" t="s">
        <v>71</v>
      </c>
      <c r="Q104" s="208"/>
      <c r="R104" s="208"/>
      <c r="S104" s="208"/>
      <c r="T104" s="208"/>
      <c r="U104" s="208"/>
      <c r="V104" s="208"/>
      <c r="W104" s="28"/>
    </row>
  </sheetData>
  <mergeCells count="24"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T7"/>
    <mergeCell ref="N8:O8"/>
    <mergeCell ref="P8:Q8"/>
    <mergeCell ref="R8:S8"/>
    <mergeCell ref="P104:V104"/>
    <mergeCell ref="A10:J10"/>
    <mergeCell ref="L10:L11"/>
    <mergeCell ref="A11:J11"/>
    <mergeCell ref="P97:V97"/>
    <mergeCell ref="P98:V98"/>
    <mergeCell ref="P103:V103"/>
  </mergeCells>
  <pageMargins left="0.49606299199999998" right="0.39370078740157499" top="0.59055118110236204" bottom="0.59055118110236204" header="0.31496062992126" footer="0.31496062992126"/>
  <pageSetup paperSize="10000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C000"/>
  </sheetPr>
  <dimension ref="A1:X100"/>
  <sheetViews>
    <sheetView zoomScaleNormal="100" workbookViewId="0">
      <selection activeCell="A19" sqref="A19:XFD19"/>
    </sheetView>
  </sheetViews>
  <sheetFormatPr defaultRowHeight="15" x14ac:dyDescent="0.25"/>
  <cols>
    <col min="1" max="8" width="2.7109375" style="168" customWidth="1"/>
    <col min="9" max="9" width="3.140625" style="168" customWidth="1"/>
    <col min="10" max="10" width="3.5703125" style="168" customWidth="1"/>
    <col min="11" max="11" width="44.5703125" style="168" customWidth="1"/>
    <col min="12" max="12" width="11" style="168" customWidth="1"/>
    <col min="13" max="13" width="14.5703125" style="170" customWidth="1"/>
    <col min="14" max="14" width="13" style="168" customWidth="1"/>
    <col min="15" max="15" width="7.5703125" style="168" customWidth="1"/>
    <col min="16" max="16" width="13.28515625" style="168" customWidth="1"/>
    <col min="17" max="17" width="8" style="168" customWidth="1"/>
    <col min="18" max="18" width="13" style="168" customWidth="1"/>
    <col min="19" max="19" width="9.42578125" style="168" customWidth="1"/>
    <col min="20" max="20" width="11.140625" style="168" customWidth="1"/>
    <col min="21" max="21" width="15.5703125" style="168" customWidth="1"/>
    <col min="22" max="22" width="22.42578125" style="168" customWidth="1"/>
    <col min="23" max="23" width="18.28515625" style="168" customWidth="1"/>
    <col min="24" max="24" width="15.5703125" style="168" bestFit="1" customWidth="1"/>
    <col min="25" max="25" width="12.85546875" style="168" bestFit="1" customWidth="1"/>
    <col min="26" max="16384" width="9.140625" style="168"/>
  </cols>
  <sheetData>
    <row r="1" spans="1:24" ht="16.5" x14ac:dyDescent="0.25">
      <c r="A1" s="194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67"/>
    </row>
    <row r="2" spans="1:24" ht="16.5" x14ac:dyDescent="0.25">
      <c r="A2" s="194" t="s">
        <v>72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67"/>
    </row>
    <row r="3" spans="1:24" ht="16.5" x14ac:dyDescent="0.25">
      <c r="A3" s="194" t="s">
        <v>73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67"/>
    </row>
    <row r="4" spans="1:24" ht="16.5" x14ac:dyDescent="0.25">
      <c r="A4" s="194" t="s">
        <v>88</v>
      </c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67"/>
    </row>
    <row r="5" spans="1:24" ht="18" x14ac:dyDescent="0.25">
      <c r="A5" s="169"/>
      <c r="B5" s="169"/>
      <c r="C5" s="169"/>
      <c r="D5" s="169"/>
      <c r="E5" s="169"/>
    </row>
    <row r="6" spans="1:24" x14ac:dyDescent="0.25">
      <c r="A6" s="195" t="s">
        <v>1</v>
      </c>
      <c r="B6" s="195"/>
      <c r="C6" s="195"/>
      <c r="D6" s="195"/>
      <c r="E6" s="195"/>
      <c r="F6" s="195"/>
      <c r="G6" s="195"/>
      <c r="H6" s="195"/>
      <c r="I6" s="195"/>
      <c r="J6" s="195"/>
      <c r="K6" s="195" t="s">
        <v>2</v>
      </c>
      <c r="L6" s="188" t="s">
        <v>3</v>
      </c>
      <c r="M6" s="196" t="s">
        <v>4</v>
      </c>
      <c r="N6" s="195" t="s">
        <v>5</v>
      </c>
      <c r="O6" s="195"/>
      <c r="P6" s="195"/>
      <c r="Q6" s="195"/>
      <c r="R6" s="195"/>
      <c r="S6" s="195"/>
      <c r="T6" s="195"/>
      <c r="U6" s="188" t="s">
        <v>6</v>
      </c>
      <c r="V6" s="188" t="s">
        <v>7</v>
      </c>
      <c r="W6" s="21"/>
    </row>
    <row r="7" spans="1:24" x14ac:dyDescent="0.25">
      <c r="A7" s="195"/>
      <c r="B7" s="195"/>
      <c r="C7" s="195"/>
      <c r="D7" s="195"/>
      <c r="E7" s="195"/>
      <c r="F7" s="195"/>
      <c r="G7" s="195"/>
      <c r="H7" s="195"/>
      <c r="I7" s="195"/>
      <c r="J7" s="195"/>
      <c r="K7" s="195"/>
      <c r="L7" s="188"/>
      <c r="M7" s="196"/>
      <c r="N7" s="200" t="s">
        <v>8</v>
      </c>
      <c r="O7" s="201"/>
      <c r="P7" s="200" t="s">
        <v>9</v>
      </c>
      <c r="Q7" s="201"/>
      <c r="R7" s="202" t="s">
        <v>10</v>
      </c>
      <c r="S7" s="203"/>
      <c r="T7" s="204"/>
      <c r="U7" s="188"/>
      <c r="V7" s="188"/>
      <c r="W7" s="21"/>
    </row>
    <row r="8" spans="1:24" x14ac:dyDescent="0.25">
      <c r="A8" s="195"/>
      <c r="B8" s="195"/>
      <c r="C8" s="195"/>
      <c r="D8" s="195"/>
      <c r="E8" s="195"/>
      <c r="F8" s="195"/>
      <c r="G8" s="195"/>
      <c r="H8" s="195"/>
      <c r="I8" s="195"/>
      <c r="J8" s="195"/>
      <c r="K8" s="195"/>
      <c r="L8" s="188"/>
      <c r="M8" s="196"/>
      <c r="N8" s="188" t="s">
        <v>11</v>
      </c>
      <c r="O8" s="188"/>
      <c r="P8" s="188" t="s">
        <v>11</v>
      </c>
      <c r="Q8" s="188"/>
      <c r="R8" s="188" t="s">
        <v>11</v>
      </c>
      <c r="S8" s="188"/>
      <c r="T8" s="151" t="s">
        <v>12</v>
      </c>
      <c r="U8" s="188"/>
      <c r="V8" s="188"/>
      <c r="W8" s="21"/>
    </row>
    <row r="9" spans="1:24" x14ac:dyDescent="0.25">
      <c r="A9" s="195"/>
      <c r="B9" s="195"/>
      <c r="C9" s="195"/>
      <c r="D9" s="195"/>
      <c r="E9" s="195"/>
      <c r="F9" s="195"/>
      <c r="G9" s="195"/>
      <c r="H9" s="195"/>
      <c r="I9" s="195"/>
      <c r="J9" s="195"/>
      <c r="K9" s="195"/>
      <c r="L9" s="188"/>
      <c r="M9" s="196"/>
      <c r="N9" s="151" t="s">
        <v>13</v>
      </c>
      <c r="O9" s="151" t="s">
        <v>14</v>
      </c>
      <c r="P9" s="151" t="s">
        <v>13</v>
      </c>
      <c r="Q9" s="151" t="s">
        <v>14</v>
      </c>
      <c r="R9" s="151" t="s">
        <v>13</v>
      </c>
      <c r="S9" s="151" t="s">
        <v>14</v>
      </c>
      <c r="T9" s="151" t="s">
        <v>14</v>
      </c>
      <c r="U9" s="188"/>
      <c r="V9" s="188"/>
      <c r="W9" s="21"/>
    </row>
    <row r="10" spans="1:24" s="171" customFormat="1" ht="27" customHeight="1" x14ac:dyDescent="0.25">
      <c r="A10" s="190" t="s">
        <v>74</v>
      </c>
      <c r="B10" s="190"/>
      <c r="C10" s="190"/>
      <c r="D10" s="190"/>
      <c r="E10" s="190"/>
      <c r="F10" s="190"/>
      <c r="G10" s="190"/>
      <c r="H10" s="190"/>
      <c r="I10" s="190"/>
      <c r="J10" s="190"/>
      <c r="K10" s="180" t="s">
        <v>72</v>
      </c>
      <c r="L10" s="198" t="s">
        <v>15</v>
      </c>
      <c r="M10" s="32"/>
      <c r="N10" s="3"/>
      <c r="O10" s="153"/>
      <c r="P10" s="153"/>
      <c r="Q10" s="153"/>
      <c r="R10" s="153"/>
      <c r="S10" s="153"/>
      <c r="T10" s="153"/>
      <c r="U10" s="153"/>
      <c r="V10" s="153"/>
      <c r="W10" s="22"/>
    </row>
    <row r="11" spans="1:24" s="171" customFormat="1" ht="39" customHeight="1" x14ac:dyDescent="0.25">
      <c r="A11" s="190" t="s">
        <v>75</v>
      </c>
      <c r="B11" s="190"/>
      <c r="C11" s="190"/>
      <c r="D11" s="190"/>
      <c r="E11" s="190"/>
      <c r="F11" s="190"/>
      <c r="G11" s="190"/>
      <c r="H11" s="190"/>
      <c r="I11" s="190"/>
      <c r="J11" s="190"/>
      <c r="K11" s="180" t="s">
        <v>16</v>
      </c>
      <c r="L11" s="199"/>
      <c r="M11" s="33">
        <f>M12</f>
        <v>908784000</v>
      </c>
      <c r="N11" s="3"/>
      <c r="O11" s="153"/>
      <c r="P11" s="153"/>
      <c r="Q11" s="153"/>
      <c r="R11" s="5"/>
      <c r="S11" s="153"/>
      <c r="T11" s="153"/>
      <c r="U11" s="158"/>
      <c r="V11" s="153"/>
      <c r="W11" s="22"/>
    </row>
    <row r="12" spans="1:24" ht="20.100000000000001" customHeight="1" x14ac:dyDescent="0.25">
      <c r="A12" s="8">
        <v>1</v>
      </c>
      <c r="B12" s="9" t="s">
        <v>17</v>
      </c>
      <c r="C12" s="9" t="s">
        <v>18</v>
      </c>
      <c r="D12" s="8">
        <v>38</v>
      </c>
      <c r="E12" s="8">
        <v>14</v>
      </c>
      <c r="F12" s="38">
        <v>5</v>
      </c>
      <c r="G12" s="38">
        <v>2</v>
      </c>
      <c r="H12" s="38"/>
      <c r="I12" s="39"/>
      <c r="J12" s="40"/>
      <c r="K12" s="77" t="s">
        <v>19</v>
      </c>
      <c r="L12" s="159"/>
      <c r="M12" s="93">
        <f>M13+M14+M15</f>
        <v>908784000</v>
      </c>
      <c r="N12" s="94">
        <f>januari!R12</f>
        <v>43228200</v>
      </c>
      <c r="O12" s="95">
        <f>N12/M12*100</f>
        <v>4.7567078645750804</v>
      </c>
      <c r="P12" s="94">
        <f>P13+P14+P15</f>
        <v>19727100</v>
      </c>
      <c r="Q12" s="95">
        <f>P12/M12*100</f>
        <v>2.1707138329900175</v>
      </c>
      <c r="R12" s="94">
        <f>R13+R14+R15</f>
        <v>62955300</v>
      </c>
      <c r="S12" s="95">
        <f>R12/M12*100</f>
        <v>6.927421697565098</v>
      </c>
      <c r="T12" s="96">
        <f>SUM(T13:T15)/3</f>
        <v>5.4695183661668034</v>
      </c>
      <c r="U12" s="10"/>
      <c r="V12" s="10"/>
      <c r="W12" s="172"/>
    </row>
    <row r="13" spans="1:24" ht="20.100000000000001" customHeight="1" x14ac:dyDescent="0.25">
      <c r="A13" s="8">
        <v>1</v>
      </c>
      <c r="B13" s="9" t="s">
        <v>17</v>
      </c>
      <c r="C13" s="9" t="s">
        <v>18</v>
      </c>
      <c r="D13" s="8">
        <v>38</v>
      </c>
      <c r="E13" s="8">
        <v>14</v>
      </c>
      <c r="F13" s="41">
        <v>5</v>
      </c>
      <c r="G13" s="41">
        <v>2</v>
      </c>
      <c r="H13" s="41">
        <v>1</v>
      </c>
      <c r="I13" s="42"/>
      <c r="J13" s="43"/>
      <c r="K13" s="73" t="s">
        <v>20</v>
      </c>
      <c r="L13" s="159"/>
      <c r="M13" s="97">
        <f>M17</f>
        <v>545270400</v>
      </c>
      <c r="N13" s="94">
        <f>januari!R13</f>
        <v>39672000</v>
      </c>
      <c r="O13" s="99">
        <f t="shared" ref="O13:O76" si="0">N13/M13*100</f>
        <v>7.2756562615539009</v>
      </c>
      <c r="P13" s="98">
        <f>P17</f>
        <v>0</v>
      </c>
      <c r="Q13" s="99">
        <f t="shared" ref="Q13:Q76" si="1">P13/M13*100</f>
        <v>0</v>
      </c>
      <c r="R13" s="98">
        <f>N13+P13</f>
        <v>39672000</v>
      </c>
      <c r="S13" s="99">
        <f t="shared" ref="S13:S76" si="2">R13/M13*100</f>
        <v>7.2756562615539009</v>
      </c>
      <c r="T13" s="100">
        <f>T17</f>
        <v>8.3333333333333321</v>
      </c>
      <c r="U13" s="10"/>
      <c r="V13" s="10"/>
      <c r="W13" s="133"/>
      <c r="X13" s="182"/>
    </row>
    <row r="14" spans="1:24" ht="20.100000000000001" customHeight="1" x14ac:dyDescent="0.25">
      <c r="A14" s="8">
        <v>1</v>
      </c>
      <c r="B14" s="9" t="s">
        <v>17</v>
      </c>
      <c r="C14" s="9" t="s">
        <v>18</v>
      </c>
      <c r="D14" s="8">
        <v>38</v>
      </c>
      <c r="E14" s="8">
        <v>14</v>
      </c>
      <c r="F14" s="42" t="s">
        <v>21</v>
      </c>
      <c r="G14" s="42" t="s">
        <v>22</v>
      </c>
      <c r="H14" s="42" t="s">
        <v>22</v>
      </c>
      <c r="I14" s="44"/>
      <c r="J14" s="45"/>
      <c r="K14" s="78" t="s">
        <v>23</v>
      </c>
      <c r="L14" s="11"/>
      <c r="M14" s="97">
        <f>M21</f>
        <v>294813600</v>
      </c>
      <c r="N14" s="94">
        <f>januari!R14</f>
        <v>3556200</v>
      </c>
      <c r="O14" s="99">
        <f t="shared" si="0"/>
        <v>1.2062537142112848</v>
      </c>
      <c r="P14" s="98">
        <f>P21</f>
        <v>19727100</v>
      </c>
      <c r="Q14" s="99">
        <f t="shared" si="1"/>
        <v>6.6913805875984016</v>
      </c>
      <c r="R14" s="98">
        <f>N14+P14</f>
        <v>23283300</v>
      </c>
      <c r="S14" s="99">
        <f t="shared" si="2"/>
        <v>7.8976343018096866</v>
      </c>
      <c r="T14" s="100">
        <f>T21</f>
        <v>8.075221765167079</v>
      </c>
      <c r="U14" s="10"/>
      <c r="V14" s="10"/>
      <c r="W14" s="133"/>
    </row>
    <row r="15" spans="1:24" ht="20.100000000000001" customHeight="1" x14ac:dyDescent="0.25">
      <c r="A15" s="8">
        <v>1</v>
      </c>
      <c r="B15" s="9" t="s">
        <v>17</v>
      </c>
      <c r="C15" s="9" t="s">
        <v>18</v>
      </c>
      <c r="D15" s="8">
        <v>38</v>
      </c>
      <c r="E15" s="8">
        <v>14</v>
      </c>
      <c r="F15" s="42" t="s">
        <v>21</v>
      </c>
      <c r="G15" s="42" t="s">
        <v>22</v>
      </c>
      <c r="H15" s="42" t="s">
        <v>24</v>
      </c>
      <c r="I15" s="44"/>
      <c r="J15" s="45"/>
      <c r="K15" s="78" t="s">
        <v>25</v>
      </c>
      <c r="L15" s="11"/>
      <c r="M15" s="97">
        <f>M75</f>
        <v>68700000</v>
      </c>
      <c r="N15" s="94">
        <f>januari!R15</f>
        <v>0</v>
      </c>
      <c r="O15" s="99">
        <f t="shared" si="0"/>
        <v>0</v>
      </c>
      <c r="P15" s="98">
        <f>P75</f>
        <v>0</v>
      </c>
      <c r="Q15" s="99">
        <f t="shared" si="1"/>
        <v>0</v>
      </c>
      <c r="R15" s="98">
        <f>N15+P15</f>
        <v>0</v>
      </c>
      <c r="S15" s="99">
        <f t="shared" si="2"/>
        <v>0</v>
      </c>
      <c r="T15" s="100">
        <f>T75</f>
        <v>0</v>
      </c>
      <c r="U15" s="10"/>
      <c r="V15" s="10"/>
      <c r="W15" s="133"/>
    </row>
    <row r="16" spans="1:24" ht="9.9499999999999993" customHeight="1" x14ac:dyDescent="0.25">
      <c r="A16" s="8"/>
      <c r="B16" s="9"/>
      <c r="C16" s="9"/>
      <c r="D16" s="8"/>
      <c r="E16" s="8"/>
      <c r="F16" s="42"/>
      <c r="G16" s="42"/>
      <c r="H16" s="42"/>
      <c r="I16" s="44"/>
      <c r="J16" s="45"/>
      <c r="K16" s="78"/>
      <c r="L16" s="11"/>
      <c r="M16" s="97"/>
      <c r="N16" s="94">
        <f>januari!R16</f>
        <v>0</v>
      </c>
      <c r="O16" s="99"/>
      <c r="P16" s="101"/>
      <c r="Q16" s="99"/>
      <c r="R16" s="101"/>
      <c r="S16" s="99"/>
      <c r="T16" s="102"/>
      <c r="U16" s="10"/>
      <c r="V16" s="10"/>
      <c r="W16" s="133"/>
    </row>
    <row r="17" spans="1:24" ht="20.100000000000001" customHeight="1" x14ac:dyDescent="0.25">
      <c r="A17" s="8">
        <v>1</v>
      </c>
      <c r="B17" s="9" t="s">
        <v>17</v>
      </c>
      <c r="C17" s="9" t="s">
        <v>18</v>
      </c>
      <c r="D17" s="8">
        <v>38</v>
      </c>
      <c r="E17" s="8">
        <v>14</v>
      </c>
      <c r="F17" s="42" t="s">
        <v>21</v>
      </c>
      <c r="G17" s="42" t="s">
        <v>22</v>
      </c>
      <c r="H17" s="42" t="s">
        <v>26</v>
      </c>
      <c r="I17" s="42"/>
      <c r="J17" s="46"/>
      <c r="K17" s="79" t="s">
        <v>20</v>
      </c>
      <c r="L17" s="11"/>
      <c r="M17" s="103">
        <f>M18</f>
        <v>545270400</v>
      </c>
      <c r="N17" s="94">
        <f>januari!R17</f>
        <v>39672000</v>
      </c>
      <c r="O17" s="99">
        <f t="shared" si="0"/>
        <v>7.2756562615539009</v>
      </c>
      <c r="P17" s="104">
        <f>P18</f>
        <v>0</v>
      </c>
      <c r="Q17" s="95">
        <f t="shared" si="1"/>
        <v>0</v>
      </c>
      <c r="R17" s="104">
        <f>R18</f>
        <v>39672000</v>
      </c>
      <c r="S17" s="95">
        <f t="shared" si="2"/>
        <v>7.2756562615539009</v>
      </c>
      <c r="T17" s="96">
        <f>T18</f>
        <v>8.3333333333333321</v>
      </c>
      <c r="U17" s="10"/>
      <c r="V17" s="10"/>
      <c r="W17" s="133"/>
    </row>
    <row r="18" spans="1:24" ht="20.100000000000001" customHeight="1" x14ac:dyDescent="0.25">
      <c r="A18" s="8">
        <v>1</v>
      </c>
      <c r="B18" s="9" t="s">
        <v>17</v>
      </c>
      <c r="C18" s="9" t="s">
        <v>18</v>
      </c>
      <c r="D18" s="8">
        <v>38</v>
      </c>
      <c r="E18" s="8">
        <v>14</v>
      </c>
      <c r="F18" s="41">
        <v>5</v>
      </c>
      <c r="G18" s="41">
        <v>2</v>
      </c>
      <c r="H18" s="41">
        <v>1</v>
      </c>
      <c r="I18" s="42" t="s">
        <v>30</v>
      </c>
      <c r="J18" s="47"/>
      <c r="K18" s="80" t="s">
        <v>31</v>
      </c>
      <c r="L18" s="159"/>
      <c r="M18" s="105">
        <f>M19</f>
        <v>545270400</v>
      </c>
      <c r="N18" s="94">
        <f>januari!R18</f>
        <v>39672000</v>
      </c>
      <c r="O18" s="99">
        <f t="shared" si="0"/>
        <v>7.2756562615539009</v>
      </c>
      <c r="P18" s="106">
        <f>P19</f>
        <v>0</v>
      </c>
      <c r="Q18" s="95">
        <f t="shared" si="1"/>
        <v>0</v>
      </c>
      <c r="R18" s="106">
        <f>R19</f>
        <v>39672000</v>
      </c>
      <c r="S18" s="95">
        <f t="shared" si="2"/>
        <v>7.2756562615539009</v>
      </c>
      <c r="T18" s="96">
        <f>T19</f>
        <v>8.3333333333333321</v>
      </c>
      <c r="U18" s="10"/>
      <c r="V18" s="10"/>
      <c r="W18" s="133"/>
      <c r="X18" s="36">
        <v>40961340</v>
      </c>
    </row>
    <row r="19" spans="1:24" ht="15" customHeight="1" x14ac:dyDescent="0.25">
      <c r="A19" s="6"/>
      <c r="B19" s="7"/>
      <c r="C19" s="7"/>
      <c r="D19" s="6"/>
      <c r="E19" s="6"/>
      <c r="F19" s="41"/>
      <c r="G19" s="41"/>
      <c r="H19" s="41"/>
      <c r="I19" s="42"/>
      <c r="J19" s="43" t="s">
        <v>18</v>
      </c>
      <c r="K19" s="73" t="s">
        <v>32</v>
      </c>
      <c r="L19" s="161"/>
      <c r="M19" s="107">
        <v>545270400</v>
      </c>
      <c r="N19" s="94">
        <f>januari!R19</f>
        <v>39672000</v>
      </c>
      <c r="O19" s="99">
        <f t="shared" si="0"/>
        <v>7.2756562615539009</v>
      </c>
      <c r="P19" s="26"/>
      <c r="Q19" s="99">
        <f t="shared" si="1"/>
        <v>0</v>
      </c>
      <c r="R19" s="108">
        <f>N19+P19</f>
        <v>39672000</v>
      </c>
      <c r="S19" s="99">
        <f>R19/M19*100</f>
        <v>7.2756562615539009</v>
      </c>
      <c r="T19" s="100">
        <f>1/12*100</f>
        <v>8.3333333333333321</v>
      </c>
      <c r="U19" s="10"/>
      <c r="V19" s="10"/>
      <c r="W19" s="133"/>
      <c r="X19" s="168">
        <v>56450640</v>
      </c>
    </row>
    <row r="20" spans="1:24" ht="9.9499999999999993" customHeight="1" x14ac:dyDescent="0.25">
      <c r="A20" s="10"/>
      <c r="B20" s="10"/>
      <c r="C20" s="10"/>
      <c r="D20" s="10"/>
      <c r="E20" s="10"/>
      <c r="F20" s="121"/>
      <c r="G20" s="121"/>
      <c r="H20" s="121"/>
      <c r="I20" s="122"/>
      <c r="J20" s="123"/>
      <c r="K20" s="73"/>
      <c r="L20" s="78"/>
      <c r="M20" s="107"/>
      <c r="N20" s="94">
        <f>januari!R20</f>
        <v>0</v>
      </c>
      <c r="O20" s="99"/>
      <c r="P20" s="101"/>
      <c r="Q20" s="99"/>
      <c r="R20" s="101"/>
      <c r="S20" s="99"/>
      <c r="T20" s="109"/>
      <c r="U20" s="10"/>
      <c r="V20" s="10"/>
      <c r="W20" s="133"/>
    </row>
    <row r="21" spans="1:24" ht="20.100000000000001" customHeight="1" x14ac:dyDescent="0.25">
      <c r="A21" s="8">
        <v>1</v>
      </c>
      <c r="B21" s="9" t="s">
        <v>17</v>
      </c>
      <c r="C21" s="9" t="s">
        <v>18</v>
      </c>
      <c r="D21" s="8">
        <v>38</v>
      </c>
      <c r="E21" s="8">
        <v>14</v>
      </c>
      <c r="F21" s="42" t="s">
        <v>21</v>
      </c>
      <c r="G21" s="42" t="s">
        <v>22</v>
      </c>
      <c r="H21" s="42" t="s">
        <v>22</v>
      </c>
      <c r="I21" s="48"/>
      <c r="J21" s="49"/>
      <c r="K21" s="79" t="s">
        <v>23</v>
      </c>
      <c r="L21" s="11"/>
      <c r="M21" s="105">
        <f>M22+M31+M34+M42+M46+M52+M55+M58+M68+M72+M64+M39+M49</f>
        <v>294813600</v>
      </c>
      <c r="N21" s="94">
        <f>januari!R21</f>
        <v>3556200</v>
      </c>
      <c r="O21" s="95">
        <f t="shared" si="0"/>
        <v>1.2062537142112848</v>
      </c>
      <c r="P21" s="106">
        <f>P22+P31+P34+P42+P46+P52+P55+P58+P68+P72+P39+P49+P64</f>
        <v>19727100</v>
      </c>
      <c r="Q21" s="95">
        <f t="shared" si="1"/>
        <v>6.6913805875984016</v>
      </c>
      <c r="R21" s="106">
        <f>R22+R31+R34+R42+R46+R52+R55+R58+R68+R72+R39+R49</f>
        <v>21283300</v>
      </c>
      <c r="S21" s="95">
        <f>R21/M21*100</f>
        <v>7.2192395466152179</v>
      </c>
      <c r="T21" s="110">
        <f>(T22+T31+T34+T42+T46+T52+T55+T58+T68+T72+T39+T49)/13</f>
        <v>8.075221765167079</v>
      </c>
      <c r="U21" s="10"/>
      <c r="V21" s="160"/>
      <c r="W21" s="183"/>
    </row>
    <row r="22" spans="1:24" ht="20.100000000000001" customHeight="1" x14ac:dyDescent="0.25">
      <c r="A22" s="6">
        <v>1</v>
      </c>
      <c r="B22" s="9" t="s">
        <v>17</v>
      </c>
      <c r="C22" s="9" t="s">
        <v>18</v>
      </c>
      <c r="D22" s="8">
        <v>38</v>
      </c>
      <c r="E22" s="8">
        <v>14</v>
      </c>
      <c r="F22" s="42" t="s">
        <v>21</v>
      </c>
      <c r="G22" s="42" t="s">
        <v>22</v>
      </c>
      <c r="H22" s="42" t="s">
        <v>22</v>
      </c>
      <c r="I22" s="42" t="s">
        <v>18</v>
      </c>
      <c r="J22" s="43"/>
      <c r="K22" s="79" t="s">
        <v>33</v>
      </c>
      <c r="L22" s="17"/>
      <c r="M22" s="105">
        <f>SUM(M23:M29)</f>
        <v>119064100</v>
      </c>
      <c r="N22" s="94">
        <f>januari!R22</f>
        <v>535000</v>
      </c>
      <c r="O22" s="95">
        <f t="shared" si="0"/>
        <v>0.44933779367584353</v>
      </c>
      <c r="P22" s="111">
        <f>SUM(P23:P29)</f>
        <v>7505900</v>
      </c>
      <c r="Q22" s="95">
        <f t="shared" si="1"/>
        <v>6.3040832627131103</v>
      </c>
      <c r="R22" s="111">
        <f>SUM(R23:R29)</f>
        <v>8040900</v>
      </c>
      <c r="S22" s="95">
        <f t="shared" si="2"/>
        <v>6.7534210563889534</v>
      </c>
      <c r="T22" s="96">
        <f>SUM(T23:T29)/7</f>
        <v>15.476190476190476</v>
      </c>
      <c r="U22" s="10"/>
      <c r="V22" s="10"/>
      <c r="W22" s="133"/>
    </row>
    <row r="23" spans="1:24" ht="15" customHeight="1" x14ac:dyDescent="0.25">
      <c r="A23" s="10"/>
      <c r="B23" s="10"/>
      <c r="C23" s="10"/>
      <c r="D23" s="10"/>
      <c r="E23" s="10"/>
      <c r="F23" s="48"/>
      <c r="G23" s="48"/>
      <c r="H23" s="48"/>
      <c r="I23" s="48"/>
      <c r="J23" s="50" t="s">
        <v>18</v>
      </c>
      <c r="K23" s="81" t="s">
        <v>99</v>
      </c>
      <c r="L23" s="73"/>
      <c r="M23" s="97">
        <v>14306500</v>
      </c>
      <c r="N23" s="94">
        <f>januari!R23</f>
        <v>0</v>
      </c>
      <c r="O23" s="99">
        <f t="shared" si="0"/>
        <v>0</v>
      </c>
      <c r="P23" s="26">
        <v>7360900</v>
      </c>
      <c r="Q23" s="99">
        <f t="shared" si="1"/>
        <v>51.451438157480865</v>
      </c>
      <c r="R23" s="112">
        <f>N23+P23</f>
        <v>7360900</v>
      </c>
      <c r="S23" s="99">
        <f t="shared" si="2"/>
        <v>51.451438157480865</v>
      </c>
      <c r="T23" s="100">
        <f>1/2*100</f>
        <v>50</v>
      </c>
      <c r="U23" s="10"/>
      <c r="V23" s="10"/>
      <c r="W23" s="133"/>
    </row>
    <row r="24" spans="1:24" ht="15" customHeight="1" x14ac:dyDescent="0.25">
      <c r="A24" s="6"/>
      <c r="B24" s="7"/>
      <c r="C24" s="7"/>
      <c r="D24" s="6"/>
      <c r="E24" s="6"/>
      <c r="F24" s="48"/>
      <c r="G24" s="48"/>
      <c r="H24" s="48"/>
      <c r="I24" s="48"/>
      <c r="J24" s="50" t="s">
        <v>35</v>
      </c>
      <c r="K24" s="74" t="s">
        <v>100</v>
      </c>
      <c r="L24" s="12"/>
      <c r="M24" s="97">
        <v>780000</v>
      </c>
      <c r="N24" s="94">
        <f>januari!R24</f>
        <v>390000</v>
      </c>
      <c r="O24" s="99">
        <f t="shared" si="0"/>
        <v>50</v>
      </c>
      <c r="P24" s="101"/>
      <c r="Q24" s="99">
        <f t="shared" si="1"/>
        <v>0</v>
      </c>
      <c r="R24" s="112">
        <f>N24+P24</f>
        <v>390000</v>
      </c>
      <c r="S24" s="99">
        <f t="shared" si="2"/>
        <v>50</v>
      </c>
      <c r="T24" s="100">
        <f>1/2*100</f>
        <v>50</v>
      </c>
      <c r="U24" s="10"/>
      <c r="V24" s="10"/>
      <c r="W24" s="133"/>
    </row>
    <row r="25" spans="1:24" ht="15" customHeight="1" x14ac:dyDescent="0.25">
      <c r="A25" s="6"/>
      <c r="B25" s="7"/>
      <c r="C25" s="7"/>
      <c r="D25" s="6"/>
      <c r="E25" s="6"/>
      <c r="F25" s="48"/>
      <c r="G25" s="48"/>
      <c r="H25" s="48"/>
      <c r="I25" s="48"/>
      <c r="J25" s="43" t="s">
        <v>28</v>
      </c>
      <c r="K25" s="81" t="s">
        <v>101</v>
      </c>
      <c r="L25" s="12"/>
      <c r="M25" s="97">
        <v>2000000</v>
      </c>
      <c r="N25" s="94">
        <f>januari!R25</f>
        <v>0</v>
      </c>
      <c r="O25" s="99">
        <f t="shared" si="0"/>
        <v>0</v>
      </c>
      <c r="P25" s="101"/>
      <c r="Q25" s="99">
        <f t="shared" si="1"/>
        <v>0</v>
      </c>
      <c r="R25" s="112">
        <f t="shared" ref="R25:R29" si="3">N25+P25</f>
        <v>0</v>
      </c>
      <c r="S25" s="99">
        <f t="shared" si="2"/>
        <v>0</v>
      </c>
      <c r="T25" s="100">
        <f>0/10*100</f>
        <v>0</v>
      </c>
      <c r="U25" s="10"/>
      <c r="V25" s="10"/>
      <c r="W25" s="133"/>
    </row>
    <row r="26" spans="1:24" ht="15" customHeight="1" x14ac:dyDescent="0.25">
      <c r="A26" s="6"/>
      <c r="B26" s="7"/>
      <c r="C26" s="7"/>
      <c r="D26" s="6"/>
      <c r="E26" s="6"/>
      <c r="F26" s="48"/>
      <c r="G26" s="48"/>
      <c r="H26" s="48"/>
      <c r="I26" s="51"/>
      <c r="J26" s="43" t="s">
        <v>50</v>
      </c>
      <c r="K26" s="81" t="s">
        <v>102</v>
      </c>
      <c r="L26" s="12"/>
      <c r="M26" s="97">
        <v>800000</v>
      </c>
      <c r="N26" s="94">
        <f>januari!R26</f>
        <v>0</v>
      </c>
      <c r="O26" s="99">
        <f t="shared" si="0"/>
        <v>0</v>
      </c>
      <c r="P26" s="101"/>
      <c r="Q26" s="99">
        <f t="shared" si="1"/>
        <v>0</v>
      </c>
      <c r="R26" s="112">
        <f t="shared" si="3"/>
        <v>0</v>
      </c>
      <c r="S26" s="99">
        <f t="shared" si="2"/>
        <v>0</v>
      </c>
      <c r="T26" s="100">
        <f>0/2*100</f>
        <v>0</v>
      </c>
      <c r="U26" s="10"/>
      <c r="V26" s="10"/>
      <c r="W26" s="133"/>
    </row>
    <row r="27" spans="1:24" ht="15" customHeight="1" x14ac:dyDescent="0.25">
      <c r="A27" s="6"/>
      <c r="B27" s="7"/>
      <c r="C27" s="7"/>
      <c r="D27" s="6"/>
      <c r="E27" s="6"/>
      <c r="F27" s="121"/>
      <c r="G27" s="122"/>
      <c r="H27" s="122"/>
      <c r="I27" s="124"/>
      <c r="J27" s="52" t="s">
        <v>30</v>
      </c>
      <c r="K27" s="82" t="s">
        <v>103</v>
      </c>
      <c r="L27" s="12"/>
      <c r="M27" s="97">
        <v>2610000</v>
      </c>
      <c r="N27" s="94">
        <f>januari!R27</f>
        <v>145000</v>
      </c>
      <c r="O27" s="99">
        <f t="shared" si="0"/>
        <v>5.5555555555555554</v>
      </c>
      <c r="P27" s="132">
        <v>145000</v>
      </c>
      <c r="Q27" s="99">
        <f t="shared" si="1"/>
        <v>5.5555555555555554</v>
      </c>
      <c r="R27" s="112">
        <f t="shared" si="3"/>
        <v>290000</v>
      </c>
      <c r="S27" s="99">
        <f t="shared" si="2"/>
        <v>11.111111111111111</v>
      </c>
      <c r="T27" s="100">
        <f>2/24*100</f>
        <v>8.3333333333333321</v>
      </c>
      <c r="U27" s="10"/>
      <c r="V27" s="10"/>
      <c r="W27" s="133"/>
    </row>
    <row r="28" spans="1:24" ht="15" customHeight="1" x14ac:dyDescent="0.25">
      <c r="A28" s="6"/>
      <c r="B28" s="7"/>
      <c r="C28" s="7"/>
      <c r="D28" s="6"/>
      <c r="E28" s="6"/>
      <c r="F28" s="48"/>
      <c r="G28" s="48"/>
      <c r="H28" s="48"/>
      <c r="I28" s="53"/>
      <c r="J28" s="43" t="s">
        <v>37</v>
      </c>
      <c r="K28" s="74" t="s">
        <v>38</v>
      </c>
      <c r="L28" s="162"/>
      <c r="M28" s="97">
        <v>98117600</v>
      </c>
      <c r="N28" s="94">
        <f>januari!R28</f>
        <v>0</v>
      </c>
      <c r="O28" s="99">
        <f t="shared" si="0"/>
        <v>0</v>
      </c>
      <c r="P28" s="26"/>
      <c r="Q28" s="99">
        <f t="shared" si="1"/>
        <v>0</v>
      </c>
      <c r="R28" s="112">
        <f t="shared" si="3"/>
        <v>0</v>
      </c>
      <c r="S28" s="99">
        <f t="shared" si="2"/>
        <v>0</v>
      </c>
      <c r="T28" s="100">
        <f>0/2*100</f>
        <v>0</v>
      </c>
      <c r="U28" s="10"/>
      <c r="V28" s="10"/>
      <c r="W28" s="133"/>
    </row>
    <row r="29" spans="1:24" ht="15" customHeight="1" x14ac:dyDescent="0.25">
      <c r="A29" s="6"/>
      <c r="B29" s="7"/>
      <c r="C29" s="7"/>
      <c r="D29" s="6"/>
      <c r="E29" s="6"/>
      <c r="F29" s="48"/>
      <c r="G29" s="48"/>
      <c r="H29" s="48"/>
      <c r="I29" s="48"/>
      <c r="J29" s="43" t="s">
        <v>44</v>
      </c>
      <c r="K29" s="74" t="s">
        <v>104</v>
      </c>
      <c r="L29" s="161"/>
      <c r="M29" s="97">
        <v>450000</v>
      </c>
      <c r="N29" s="94">
        <f>januari!R29</f>
        <v>0</v>
      </c>
      <c r="O29" s="99">
        <f t="shared" si="0"/>
        <v>0</v>
      </c>
      <c r="P29" s="101"/>
      <c r="Q29" s="99">
        <f t="shared" si="1"/>
        <v>0</v>
      </c>
      <c r="R29" s="112">
        <f t="shared" si="3"/>
        <v>0</v>
      </c>
      <c r="S29" s="99">
        <f t="shared" si="2"/>
        <v>0</v>
      </c>
      <c r="T29" s="100">
        <f>0/3*100</f>
        <v>0</v>
      </c>
      <c r="U29" s="10"/>
      <c r="V29" s="10"/>
      <c r="W29" s="133"/>
    </row>
    <row r="30" spans="1:24" ht="9.9499999999999993" customHeight="1" x14ac:dyDescent="0.25">
      <c r="A30" s="6"/>
      <c r="B30" s="7"/>
      <c r="C30" s="7"/>
      <c r="D30" s="6"/>
      <c r="E30" s="6"/>
      <c r="F30" s="54"/>
      <c r="G30" s="54"/>
      <c r="H30" s="54"/>
      <c r="I30" s="55"/>
      <c r="J30" s="56"/>
      <c r="K30" s="83"/>
      <c r="L30" s="163"/>
      <c r="M30" s="115"/>
      <c r="N30" s="94">
        <f>januari!R30</f>
        <v>0</v>
      </c>
      <c r="O30" s="99"/>
      <c r="P30" s="101"/>
      <c r="Q30" s="99"/>
      <c r="R30" s="101"/>
      <c r="S30" s="99"/>
      <c r="T30" s="101"/>
      <c r="U30" s="10"/>
      <c r="V30" s="10"/>
      <c r="W30" s="133"/>
    </row>
    <row r="31" spans="1:24" ht="20.100000000000001" customHeight="1" x14ac:dyDescent="0.25">
      <c r="A31" s="8">
        <v>1</v>
      </c>
      <c r="B31" s="9" t="s">
        <v>17</v>
      </c>
      <c r="C31" s="9" t="s">
        <v>18</v>
      </c>
      <c r="D31" s="8">
        <v>38</v>
      </c>
      <c r="E31" s="8">
        <v>14</v>
      </c>
      <c r="F31" s="41">
        <v>5</v>
      </c>
      <c r="G31" s="41">
        <v>2</v>
      </c>
      <c r="H31" s="41">
        <v>2</v>
      </c>
      <c r="I31" s="42" t="s">
        <v>17</v>
      </c>
      <c r="J31" s="46"/>
      <c r="K31" s="80" t="s">
        <v>39</v>
      </c>
      <c r="L31" s="14"/>
      <c r="M31" s="105">
        <f>M32</f>
        <v>2400000</v>
      </c>
      <c r="N31" s="94">
        <f>januari!R31</f>
        <v>200000</v>
      </c>
      <c r="O31" s="99">
        <f t="shared" si="0"/>
        <v>8.3333333333333321</v>
      </c>
      <c r="P31" s="94">
        <f>P32</f>
        <v>200000</v>
      </c>
      <c r="Q31" s="95">
        <f t="shared" si="1"/>
        <v>8.3333333333333321</v>
      </c>
      <c r="R31" s="116">
        <f>R32</f>
        <v>400000</v>
      </c>
      <c r="S31" s="95">
        <f t="shared" si="2"/>
        <v>16.666666666666664</v>
      </c>
      <c r="T31" s="95">
        <f>(T32)/1</f>
        <v>16.666666666666664</v>
      </c>
      <c r="U31" s="10"/>
      <c r="V31" s="10"/>
      <c r="W31" s="133"/>
    </row>
    <row r="32" spans="1:24" ht="15" customHeight="1" x14ac:dyDescent="0.25">
      <c r="A32" s="6"/>
      <c r="B32" s="7"/>
      <c r="C32" s="7"/>
      <c r="D32" s="6"/>
      <c r="E32" s="6"/>
      <c r="F32" s="48"/>
      <c r="G32" s="48"/>
      <c r="H32" s="48"/>
      <c r="I32" s="53"/>
      <c r="J32" s="43" t="s">
        <v>28</v>
      </c>
      <c r="K32" s="74" t="s">
        <v>40</v>
      </c>
      <c r="L32" s="12"/>
      <c r="M32" s="97">
        <v>2400000</v>
      </c>
      <c r="N32" s="94">
        <f>januari!R32</f>
        <v>200000</v>
      </c>
      <c r="O32" s="99">
        <f t="shared" si="0"/>
        <v>8.3333333333333321</v>
      </c>
      <c r="P32" s="26">
        <v>200000</v>
      </c>
      <c r="Q32" s="99">
        <f t="shared" si="1"/>
        <v>8.3333333333333321</v>
      </c>
      <c r="R32" s="101">
        <f t="shared" ref="R32" si="4">N32+P32</f>
        <v>400000</v>
      </c>
      <c r="S32" s="99">
        <f t="shared" si="2"/>
        <v>16.666666666666664</v>
      </c>
      <c r="T32" s="100">
        <f>20/120*100</f>
        <v>16.666666666666664</v>
      </c>
      <c r="U32" s="10"/>
      <c r="V32" s="10"/>
      <c r="W32" s="133"/>
    </row>
    <row r="33" spans="1:24" ht="9.9499999999999993" customHeight="1" x14ac:dyDescent="0.25">
      <c r="A33" s="10"/>
      <c r="B33" s="10"/>
      <c r="C33" s="10"/>
      <c r="D33" s="10"/>
      <c r="E33" s="10"/>
      <c r="F33" s="54"/>
      <c r="G33" s="54"/>
      <c r="H33" s="54"/>
      <c r="I33" s="48"/>
      <c r="J33" s="43"/>
      <c r="K33" s="73"/>
      <c r="L33" s="13"/>
      <c r="M33" s="107"/>
      <c r="N33" s="94">
        <f>januari!R33</f>
        <v>0</v>
      </c>
      <c r="O33" s="99"/>
      <c r="P33" s="101"/>
      <c r="Q33" s="99"/>
      <c r="R33" s="101"/>
      <c r="S33" s="99"/>
      <c r="T33" s="101"/>
      <c r="U33" s="10"/>
      <c r="V33" s="10"/>
      <c r="W33" s="133"/>
    </row>
    <row r="34" spans="1:24" ht="20.100000000000001" customHeight="1" x14ac:dyDescent="0.25">
      <c r="A34" s="8">
        <v>1</v>
      </c>
      <c r="B34" s="9" t="s">
        <v>17</v>
      </c>
      <c r="C34" s="9" t="s">
        <v>18</v>
      </c>
      <c r="D34" s="8">
        <v>38</v>
      </c>
      <c r="E34" s="8">
        <v>14</v>
      </c>
      <c r="F34" s="41">
        <v>5</v>
      </c>
      <c r="G34" s="41">
        <v>2</v>
      </c>
      <c r="H34" s="41">
        <v>2</v>
      </c>
      <c r="I34" s="42" t="s">
        <v>34</v>
      </c>
      <c r="J34" s="46"/>
      <c r="K34" s="80" t="s">
        <v>52</v>
      </c>
      <c r="L34" s="14"/>
      <c r="M34" s="103">
        <f>M35+M37+M36</f>
        <v>19800000</v>
      </c>
      <c r="N34" s="94">
        <f>januari!R34</f>
        <v>871200</v>
      </c>
      <c r="O34" s="99">
        <f t="shared" si="0"/>
        <v>4.3999999999999995</v>
      </c>
      <c r="P34" s="116">
        <f>P35+P36+P37</f>
        <v>871200</v>
      </c>
      <c r="Q34" s="95">
        <f t="shared" si="1"/>
        <v>4.3999999999999995</v>
      </c>
      <c r="R34" s="116">
        <f>R35+R36</f>
        <v>1742400</v>
      </c>
      <c r="S34" s="95">
        <f>R34/M34*100</f>
        <v>8.7999999999999989</v>
      </c>
      <c r="T34" s="95">
        <f>SUM(T35:T37)/3</f>
        <v>11.111111111111109</v>
      </c>
      <c r="U34" s="10"/>
      <c r="V34" s="10"/>
      <c r="W34" s="133"/>
    </row>
    <row r="35" spans="1:24" ht="15" customHeight="1" x14ac:dyDescent="0.25">
      <c r="A35" s="10"/>
      <c r="B35" s="10"/>
      <c r="C35" s="10"/>
      <c r="D35" s="10"/>
      <c r="E35" s="10"/>
      <c r="F35" s="54"/>
      <c r="G35" s="54"/>
      <c r="H35" s="54"/>
      <c r="I35" s="48"/>
      <c r="J35" s="43" t="s">
        <v>28</v>
      </c>
      <c r="K35" s="73" t="s">
        <v>41</v>
      </c>
      <c r="L35" s="164"/>
      <c r="M35" s="97">
        <v>12000000</v>
      </c>
      <c r="N35" s="94">
        <f>januari!R35</f>
        <v>867700</v>
      </c>
      <c r="O35" s="99">
        <f t="shared" si="0"/>
        <v>7.2308333333333339</v>
      </c>
      <c r="P35" s="26">
        <v>867700</v>
      </c>
      <c r="Q35" s="99">
        <f t="shared" si="1"/>
        <v>7.2308333333333339</v>
      </c>
      <c r="R35" s="101">
        <f>N35+P35</f>
        <v>1735400</v>
      </c>
      <c r="S35" s="99">
        <f>R35/M35*100</f>
        <v>14.461666666666668</v>
      </c>
      <c r="T35" s="99">
        <f>2/12*100</f>
        <v>16.666666666666664</v>
      </c>
      <c r="U35" s="10"/>
      <c r="V35" s="10"/>
      <c r="W35" s="133"/>
    </row>
    <row r="36" spans="1:24" ht="15" customHeight="1" x14ac:dyDescent="0.25">
      <c r="A36" s="6"/>
      <c r="B36" s="7"/>
      <c r="C36" s="7"/>
      <c r="D36" s="6"/>
      <c r="E36" s="6"/>
      <c r="F36" s="54"/>
      <c r="G36" s="54"/>
      <c r="H36" s="54"/>
      <c r="I36" s="48"/>
      <c r="J36" s="43" t="s">
        <v>29</v>
      </c>
      <c r="K36" s="74" t="s">
        <v>42</v>
      </c>
      <c r="L36" s="54"/>
      <c r="M36" s="107">
        <v>600000</v>
      </c>
      <c r="N36" s="94">
        <f>januari!R36</f>
        <v>3500</v>
      </c>
      <c r="O36" s="99">
        <f t="shared" si="0"/>
        <v>0.58333333333333337</v>
      </c>
      <c r="P36" s="26">
        <v>3500</v>
      </c>
      <c r="Q36" s="99">
        <f t="shared" si="1"/>
        <v>0.58333333333333337</v>
      </c>
      <c r="R36" s="101">
        <f>N36+P36</f>
        <v>7000</v>
      </c>
      <c r="S36" s="99">
        <f>R36/M36*100</f>
        <v>1.1666666666666667</v>
      </c>
      <c r="T36" s="100">
        <f>2/12*100</f>
        <v>16.666666666666664</v>
      </c>
      <c r="U36" s="10"/>
      <c r="V36" s="10"/>
      <c r="W36" s="133"/>
    </row>
    <row r="37" spans="1:24" ht="24.95" customHeight="1" x14ac:dyDescent="0.25">
      <c r="A37" s="10"/>
      <c r="B37" s="10"/>
      <c r="C37" s="10"/>
      <c r="D37" s="10"/>
      <c r="E37" s="10"/>
      <c r="F37" s="57"/>
      <c r="G37" s="57"/>
      <c r="H37" s="57"/>
      <c r="I37" s="125"/>
      <c r="J37" s="58" t="s">
        <v>47</v>
      </c>
      <c r="K37" s="75" t="s">
        <v>64</v>
      </c>
      <c r="L37" s="164"/>
      <c r="M37" s="97">
        <v>7200000</v>
      </c>
      <c r="N37" s="94">
        <f>januari!R37</f>
        <v>0</v>
      </c>
      <c r="O37" s="99">
        <f t="shared" si="0"/>
        <v>0</v>
      </c>
      <c r="P37" s="101"/>
      <c r="Q37" s="99">
        <f t="shared" si="1"/>
        <v>0</v>
      </c>
      <c r="R37" s="101">
        <f>N37+P37</f>
        <v>0</v>
      </c>
      <c r="S37" s="99">
        <f t="shared" si="2"/>
        <v>0</v>
      </c>
      <c r="T37" s="100">
        <f>0/3*100</f>
        <v>0</v>
      </c>
      <c r="U37" s="10"/>
      <c r="V37" s="10"/>
      <c r="W37" s="133"/>
    </row>
    <row r="38" spans="1:24" ht="9.9499999999999993" customHeight="1" x14ac:dyDescent="0.25">
      <c r="A38" s="10"/>
      <c r="B38" s="10"/>
      <c r="C38" s="10"/>
      <c r="D38" s="10"/>
      <c r="E38" s="10"/>
      <c r="F38" s="57"/>
      <c r="G38" s="57"/>
      <c r="H38" s="57"/>
      <c r="I38" s="125"/>
      <c r="J38" s="126"/>
      <c r="K38" s="84"/>
      <c r="L38" s="165"/>
      <c r="M38" s="115"/>
      <c r="N38" s="94">
        <f>januari!R38</f>
        <v>0</v>
      </c>
      <c r="O38" s="99"/>
      <c r="P38" s="101"/>
      <c r="Q38" s="99"/>
      <c r="R38" s="101"/>
      <c r="S38" s="99"/>
      <c r="T38" s="101"/>
      <c r="U38" s="10"/>
      <c r="V38" s="10"/>
      <c r="W38" s="133"/>
    </row>
    <row r="39" spans="1:24" ht="20.100000000000001" customHeight="1" x14ac:dyDescent="0.25">
      <c r="A39" s="8">
        <v>1</v>
      </c>
      <c r="B39" s="9" t="s">
        <v>17</v>
      </c>
      <c r="C39" s="9" t="s">
        <v>18</v>
      </c>
      <c r="D39" s="8">
        <v>38</v>
      </c>
      <c r="E39" s="8">
        <v>14</v>
      </c>
      <c r="F39" s="41">
        <v>5</v>
      </c>
      <c r="G39" s="41">
        <v>2</v>
      </c>
      <c r="H39" s="41">
        <v>2</v>
      </c>
      <c r="I39" s="42" t="s">
        <v>27</v>
      </c>
      <c r="J39" s="155"/>
      <c r="K39" s="154" t="s">
        <v>105</v>
      </c>
      <c r="L39" s="14"/>
      <c r="M39" s="103">
        <f>M40</f>
        <v>900000</v>
      </c>
      <c r="N39" s="94">
        <f>januari!R39</f>
        <v>0</v>
      </c>
      <c r="O39" s="99">
        <f t="shared" si="0"/>
        <v>0</v>
      </c>
      <c r="P39" s="101">
        <f>P40</f>
        <v>0</v>
      </c>
      <c r="Q39" s="99">
        <f t="shared" si="1"/>
        <v>0</v>
      </c>
      <c r="R39" s="101">
        <f>R40</f>
        <v>0</v>
      </c>
      <c r="S39" s="99">
        <f t="shared" si="2"/>
        <v>0</v>
      </c>
      <c r="T39" s="96">
        <f>T40</f>
        <v>0</v>
      </c>
      <c r="U39" s="10"/>
      <c r="V39" s="10"/>
      <c r="W39" s="133"/>
    </row>
    <row r="40" spans="1:24" ht="15" customHeight="1" x14ac:dyDescent="0.25">
      <c r="A40" s="63"/>
      <c r="B40" s="63"/>
      <c r="C40" s="63"/>
      <c r="D40" s="63"/>
      <c r="E40" s="63"/>
      <c r="F40" s="57"/>
      <c r="G40" s="57"/>
      <c r="H40" s="57"/>
      <c r="I40" s="67"/>
      <c r="J40" s="43" t="s">
        <v>17</v>
      </c>
      <c r="K40" s="75" t="s">
        <v>106</v>
      </c>
      <c r="L40" s="13"/>
      <c r="M40" s="97">
        <v>900000</v>
      </c>
      <c r="N40" s="94">
        <f>januari!R40</f>
        <v>0</v>
      </c>
      <c r="O40" s="99">
        <f t="shared" si="0"/>
        <v>0</v>
      </c>
      <c r="P40" s="101"/>
      <c r="Q40" s="99">
        <f t="shared" si="1"/>
        <v>0</v>
      </c>
      <c r="R40" s="101">
        <f>N40+P40</f>
        <v>0</v>
      </c>
      <c r="S40" s="99">
        <f t="shared" si="2"/>
        <v>0</v>
      </c>
      <c r="T40" s="100">
        <f>0/1*100</f>
        <v>0</v>
      </c>
      <c r="U40" s="10"/>
      <c r="V40" s="10"/>
      <c r="W40" s="133"/>
    </row>
    <row r="41" spans="1:24" ht="9.9499999999999993" customHeight="1" x14ac:dyDescent="0.25">
      <c r="A41" s="63"/>
      <c r="B41" s="63"/>
      <c r="C41" s="63"/>
      <c r="D41" s="63"/>
      <c r="E41" s="63"/>
      <c r="F41" s="57"/>
      <c r="G41" s="57"/>
      <c r="H41" s="57"/>
      <c r="I41" s="67"/>
      <c r="J41" s="68"/>
      <c r="K41" s="84"/>
      <c r="L41" s="165"/>
      <c r="M41" s="115"/>
      <c r="N41" s="94">
        <f>januari!R41</f>
        <v>0</v>
      </c>
      <c r="O41" s="99"/>
      <c r="P41" s="101"/>
      <c r="Q41" s="99"/>
      <c r="R41" s="101"/>
      <c r="S41" s="99"/>
      <c r="T41" s="101"/>
      <c r="U41" s="10"/>
      <c r="V41" s="10"/>
      <c r="W41" s="133"/>
    </row>
    <row r="42" spans="1:24" ht="20.100000000000001" customHeight="1" x14ac:dyDescent="0.25">
      <c r="A42" s="8">
        <v>1</v>
      </c>
      <c r="B42" s="9" t="s">
        <v>17</v>
      </c>
      <c r="C42" s="9" t="s">
        <v>18</v>
      </c>
      <c r="D42" s="8">
        <v>38</v>
      </c>
      <c r="E42" s="8">
        <v>14</v>
      </c>
      <c r="F42" s="42" t="s">
        <v>21</v>
      </c>
      <c r="G42" s="42" t="s">
        <v>22</v>
      </c>
      <c r="H42" s="42" t="s">
        <v>22</v>
      </c>
      <c r="I42" s="60" t="s">
        <v>28</v>
      </c>
      <c r="J42" s="56"/>
      <c r="K42" s="85" t="s">
        <v>53</v>
      </c>
      <c r="L42" s="14"/>
      <c r="M42" s="103">
        <f>SUM(M43:M44)</f>
        <v>29487500</v>
      </c>
      <c r="N42" s="94">
        <f>januari!R42</f>
        <v>150000</v>
      </c>
      <c r="O42" s="99">
        <f t="shared" si="0"/>
        <v>0.5086901229334464</v>
      </c>
      <c r="P42" s="104">
        <f>P44+P43</f>
        <v>150000</v>
      </c>
      <c r="Q42" s="95">
        <f t="shared" si="1"/>
        <v>0.5086901229334464</v>
      </c>
      <c r="R42" s="104">
        <f>SUM(R43:R44)</f>
        <v>300000</v>
      </c>
      <c r="S42" s="95">
        <f t="shared" si="2"/>
        <v>1.0173802458668928</v>
      </c>
      <c r="T42" s="95">
        <f>SUM(T43:T44)/2</f>
        <v>2.1436227224008575</v>
      </c>
      <c r="U42" s="10"/>
      <c r="V42" s="10"/>
      <c r="W42" s="133"/>
    </row>
    <row r="43" spans="1:24" ht="15" customHeight="1" x14ac:dyDescent="0.25">
      <c r="A43" s="8"/>
      <c r="B43" s="9"/>
      <c r="C43" s="9"/>
      <c r="D43" s="8"/>
      <c r="E43" s="8"/>
      <c r="F43" s="42"/>
      <c r="G43" s="42"/>
      <c r="H43" s="42"/>
      <c r="I43" s="59"/>
      <c r="J43" s="50" t="s">
        <v>18</v>
      </c>
      <c r="K43" s="81" t="s">
        <v>65</v>
      </c>
      <c r="L43" s="14"/>
      <c r="M43" s="97">
        <v>22490000</v>
      </c>
      <c r="N43" s="94">
        <f>januari!R43</f>
        <v>0</v>
      </c>
      <c r="O43" s="99">
        <f t="shared" si="0"/>
        <v>0</v>
      </c>
      <c r="P43" s="26"/>
      <c r="Q43" s="99">
        <f t="shared" si="1"/>
        <v>0</v>
      </c>
      <c r="R43" s="98">
        <f>N43+P43</f>
        <v>0</v>
      </c>
      <c r="S43" s="99">
        <f>R43/M43*100</f>
        <v>0</v>
      </c>
      <c r="T43" s="99">
        <v>0</v>
      </c>
      <c r="U43" s="10"/>
      <c r="V43" s="10"/>
      <c r="W43" s="133"/>
    </row>
    <row r="44" spans="1:24" ht="15" customHeight="1" x14ac:dyDescent="0.25">
      <c r="A44" s="6"/>
      <c r="B44" s="7"/>
      <c r="C44" s="7"/>
      <c r="D44" s="6"/>
      <c r="E44" s="6"/>
      <c r="F44" s="48"/>
      <c r="G44" s="48"/>
      <c r="H44" s="48"/>
      <c r="I44" s="51"/>
      <c r="J44" s="50" t="s">
        <v>17</v>
      </c>
      <c r="K44" s="82" t="s">
        <v>54</v>
      </c>
      <c r="L44" s="162"/>
      <c r="M44" s="97">
        <v>6997500</v>
      </c>
      <c r="N44" s="94">
        <f>januari!R44</f>
        <v>150000</v>
      </c>
      <c r="O44" s="99">
        <f t="shared" si="0"/>
        <v>2.1436227224008575</v>
      </c>
      <c r="P44" s="26">
        <v>150000</v>
      </c>
      <c r="Q44" s="99">
        <f t="shared" si="1"/>
        <v>2.1436227224008575</v>
      </c>
      <c r="R44" s="98">
        <f>N44+P44</f>
        <v>300000</v>
      </c>
      <c r="S44" s="99">
        <f>R44/M44*100</f>
        <v>4.287245444801715</v>
      </c>
      <c r="T44" s="100">
        <f>1200/27990*100</f>
        <v>4.287245444801715</v>
      </c>
      <c r="U44" s="10"/>
      <c r="V44" s="10"/>
      <c r="W44" s="133"/>
    </row>
    <row r="45" spans="1:24" ht="9.9499999999999993" customHeight="1" x14ac:dyDescent="0.25">
      <c r="A45" s="10"/>
      <c r="B45" s="10"/>
      <c r="C45" s="10"/>
      <c r="D45" s="10"/>
      <c r="E45" s="10"/>
      <c r="F45" s="48"/>
      <c r="G45" s="48"/>
      <c r="H45" s="48"/>
      <c r="I45" s="53"/>
      <c r="J45" s="56"/>
      <c r="K45" s="86"/>
      <c r="L45" s="165"/>
      <c r="M45" s="115"/>
      <c r="N45" s="94">
        <f>januari!R45</f>
        <v>0</v>
      </c>
      <c r="O45" s="99"/>
      <c r="P45" s="117"/>
      <c r="Q45" s="99"/>
      <c r="R45" s="117"/>
      <c r="S45" s="99"/>
      <c r="T45" s="101"/>
      <c r="U45" s="10"/>
      <c r="V45" s="10"/>
      <c r="W45" s="133"/>
    </row>
    <row r="46" spans="1:24" ht="20.100000000000001" customHeight="1" x14ac:dyDescent="0.25">
      <c r="A46" s="8">
        <v>1</v>
      </c>
      <c r="B46" s="9" t="s">
        <v>17</v>
      </c>
      <c r="C46" s="9" t="s">
        <v>18</v>
      </c>
      <c r="D46" s="8">
        <v>38</v>
      </c>
      <c r="E46" s="8">
        <v>14</v>
      </c>
      <c r="F46" s="41">
        <v>5</v>
      </c>
      <c r="G46" s="41">
        <v>2</v>
      </c>
      <c r="H46" s="41">
        <v>2</v>
      </c>
      <c r="I46" s="60" t="s">
        <v>37</v>
      </c>
      <c r="J46" s="46"/>
      <c r="K46" s="85" t="s">
        <v>55</v>
      </c>
      <c r="L46" s="13"/>
      <c r="M46" s="105">
        <f>M47</f>
        <v>30300000</v>
      </c>
      <c r="N46" s="94">
        <f>januari!R46</f>
        <v>1200000</v>
      </c>
      <c r="O46" s="99">
        <f t="shared" si="0"/>
        <v>3.9603960396039604</v>
      </c>
      <c r="P46" s="106">
        <f>P47</f>
        <v>6150000</v>
      </c>
      <c r="Q46" s="95">
        <f t="shared" si="1"/>
        <v>20.297029702970299</v>
      </c>
      <c r="R46" s="106">
        <f>R47</f>
        <v>7350000</v>
      </c>
      <c r="S46" s="95">
        <f t="shared" si="2"/>
        <v>24.257425742574256</v>
      </c>
      <c r="T46" s="95">
        <f>T47</f>
        <v>13.746958637469586</v>
      </c>
      <c r="U46" s="10"/>
      <c r="V46" s="10"/>
      <c r="W46" s="133"/>
    </row>
    <row r="47" spans="1:24" ht="15" customHeight="1" x14ac:dyDescent="0.25">
      <c r="A47" s="127"/>
      <c r="B47" s="127"/>
      <c r="C47" s="127"/>
      <c r="D47" s="127"/>
      <c r="E47" s="127"/>
      <c r="F47" s="42"/>
      <c r="G47" s="42"/>
      <c r="H47" s="42"/>
      <c r="I47" s="42"/>
      <c r="J47" s="55" t="s">
        <v>17</v>
      </c>
      <c r="K47" s="78" t="s">
        <v>56</v>
      </c>
      <c r="L47" s="10"/>
      <c r="M47" s="107">
        <v>30300000</v>
      </c>
      <c r="N47" s="94">
        <f>januari!R47</f>
        <v>1200000</v>
      </c>
      <c r="O47" s="99">
        <f t="shared" si="0"/>
        <v>3.9603960396039604</v>
      </c>
      <c r="P47" s="26">
        <v>6150000</v>
      </c>
      <c r="Q47" s="99">
        <f t="shared" si="1"/>
        <v>20.297029702970299</v>
      </c>
      <c r="R47" s="108">
        <f>N47+P47</f>
        <v>7350000</v>
      </c>
      <c r="S47" s="99">
        <f>R47/M47*100</f>
        <v>24.257425742574256</v>
      </c>
      <c r="T47" s="100">
        <f>226/1644*100</f>
        <v>13.746958637469586</v>
      </c>
      <c r="U47" s="10"/>
      <c r="V47" s="10"/>
      <c r="W47" s="133"/>
      <c r="X47" s="168" t="s">
        <v>68</v>
      </c>
    </row>
    <row r="48" spans="1:24" ht="9.9499999999999993" customHeight="1" x14ac:dyDescent="0.25">
      <c r="A48" s="127"/>
      <c r="B48" s="127"/>
      <c r="C48" s="127"/>
      <c r="D48" s="127"/>
      <c r="E48" s="127"/>
      <c r="F48" s="42"/>
      <c r="G48" s="42"/>
      <c r="H48" s="42"/>
      <c r="I48" s="42"/>
      <c r="J48" s="59"/>
      <c r="K48" s="87"/>
      <c r="L48" s="166"/>
      <c r="M48" s="118"/>
      <c r="N48" s="94">
        <f>januari!R48</f>
        <v>0</v>
      </c>
      <c r="O48" s="99"/>
      <c r="P48" s="119"/>
      <c r="Q48" s="99"/>
      <c r="R48" s="119"/>
      <c r="S48" s="99"/>
      <c r="T48" s="63"/>
      <c r="U48" s="10"/>
      <c r="V48" s="10"/>
      <c r="W48" s="133"/>
    </row>
    <row r="49" spans="1:24" s="174" customFormat="1" ht="20.100000000000001" customHeight="1" x14ac:dyDescent="0.25">
      <c r="A49" s="8">
        <v>1</v>
      </c>
      <c r="B49" s="9" t="s">
        <v>17</v>
      </c>
      <c r="C49" s="9" t="s">
        <v>18</v>
      </c>
      <c r="D49" s="8">
        <v>38</v>
      </c>
      <c r="E49" s="8">
        <v>14</v>
      </c>
      <c r="F49" s="41">
        <v>5</v>
      </c>
      <c r="G49" s="41">
        <v>2</v>
      </c>
      <c r="H49" s="41">
        <v>2</v>
      </c>
      <c r="I49" s="60" t="s">
        <v>82</v>
      </c>
      <c r="J49" s="46"/>
      <c r="K49" s="79" t="s">
        <v>83</v>
      </c>
      <c r="L49" s="127"/>
      <c r="M49" s="105">
        <f>M50</f>
        <v>3300000</v>
      </c>
      <c r="N49" s="94">
        <f>januari!R49</f>
        <v>0</v>
      </c>
      <c r="O49" s="95">
        <f t="shared" si="0"/>
        <v>0</v>
      </c>
      <c r="P49" s="106">
        <f>P50</f>
        <v>0</v>
      </c>
      <c r="Q49" s="95">
        <f t="shared" si="1"/>
        <v>0</v>
      </c>
      <c r="R49" s="106">
        <f>R50</f>
        <v>0</v>
      </c>
      <c r="S49" s="95">
        <f t="shared" si="2"/>
        <v>0</v>
      </c>
      <c r="T49" s="95">
        <f>T50</f>
        <v>0</v>
      </c>
      <c r="U49" s="127"/>
      <c r="V49" s="127"/>
      <c r="W49" s="173"/>
    </row>
    <row r="50" spans="1:24" ht="15" customHeight="1" x14ac:dyDescent="0.25">
      <c r="A50" s="63"/>
      <c r="B50" s="63"/>
      <c r="C50" s="63"/>
      <c r="D50" s="63"/>
      <c r="E50" s="63"/>
      <c r="F50" s="48"/>
      <c r="G50" s="48"/>
      <c r="H50" s="48"/>
      <c r="I50" s="48"/>
      <c r="J50" s="55" t="s">
        <v>35</v>
      </c>
      <c r="K50" s="78" t="s">
        <v>84</v>
      </c>
      <c r="L50" s="10"/>
      <c r="M50" s="107">
        <v>3300000</v>
      </c>
      <c r="N50" s="94">
        <f>januari!R50</f>
        <v>0</v>
      </c>
      <c r="O50" s="99">
        <f t="shared" si="0"/>
        <v>0</v>
      </c>
      <c r="P50" s="108"/>
      <c r="Q50" s="99">
        <f t="shared" si="1"/>
        <v>0</v>
      </c>
      <c r="R50" s="108">
        <f>N50+P50</f>
        <v>0</v>
      </c>
      <c r="S50" s="99">
        <f t="shared" si="2"/>
        <v>0</v>
      </c>
      <c r="T50" s="100">
        <f>0/1*100</f>
        <v>0</v>
      </c>
      <c r="U50" s="10"/>
      <c r="V50" s="10"/>
      <c r="W50" s="133"/>
    </row>
    <row r="51" spans="1:24" ht="9.9499999999999993" customHeight="1" x14ac:dyDescent="0.25">
      <c r="A51" s="152"/>
      <c r="B51" s="152"/>
      <c r="C51" s="152"/>
      <c r="D51" s="152"/>
      <c r="E51" s="152"/>
      <c r="F51" s="42"/>
      <c r="G51" s="42"/>
      <c r="H51" s="42"/>
      <c r="I51" s="42"/>
      <c r="J51" s="59"/>
      <c r="K51" s="87"/>
      <c r="L51" s="166"/>
      <c r="M51" s="118"/>
      <c r="N51" s="94">
        <f>januari!R51</f>
        <v>0</v>
      </c>
      <c r="O51" s="99"/>
      <c r="P51" s="119"/>
      <c r="Q51" s="99"/>
      <c r="R51" s="119"/>
      <c r="S51" s="99"/>
      <c r="T51" s="63"/>
      <c r="U51" s="10"/>
      <c r="V51" s="10"/>
      <c r="W51" s="133"/>
    </row>
    <row r="52" spans="1:24" ht="20.100000000000001" customHeight="1" x14ac:dyDescent="0.25">
      <c r="A52" s="8">
        <v>1</v>
      </c>
      <c r="B52" s="9" t="s">
        <v>17</v>
      </c>
      <c r="C52" s="9" t="s">
        <v>18</v>
      </c>
      <c r="D52" s="8">
        <v>38</v>
      </c>
      <c r="E52" s="8">
        <v>14</v>
      </c>
      <c r="F52" s="61" t="s">
        <v>21</v>
      </c>
      <c r="G52" s="61" t="s">
        <v>22</v>
      </c>
      <c r="H52" s="61" t="s">
        <v>22</v>
      </c>
      <c r="I52" s="128">
        <v>15</v>
      </c>
      <c r="J52" s="61"/>
      <c r="K52" s="88" t="s">
        <v>43</v>
      </c>
      <c r="L52" s="10"/>
      <c r="M52" s="105">
        <f>M53</f>
        <v>15612000</v>
      </c>
      <c r="N52" s="94">
        <f>januari!R52</f>
        <v>0</v>
      </c>
      <c r="O52" s="99">
        <f t="shared" si="0"/>
        <v>0</v>
      </c>
      <c r="P52" s="106">
        <f>P53</f>
        <v>0</v>
      </c>
      <c r="Q52" s="95">
        <f t="shared" si="1"/>
        <v>0</v>
      </c>
      <c r="R52" s="106">
        <f>R53</f>
        <v>0</v>
      </c>
      <c r="S52" s="95">
        <f t="shared" si="2"/>
        <v>0</v>
      </c>
      <c r="T52" s="96">
        <f>SUM(T53:T53)/2</f>
        <v>0</v>
      </c>
      <c r="U52" s="10"/>
      <c r="V52" s="10"/>
      <c r="W52" s="133"/>
    </row>
    <row r="53" spans="1:24" ht="15" customHeight="1" x14ac:dyDescent="0.25">
      <c r="A53" s="10"/>
      <c r="B53" s="10"/>
      <c r="C53" s="10"/>
      <c r="D53" s="10"/>
      <c r="E53" s="10"/>
      <c r="F53" s="57"/>
      <c r="G53" s="57"/>
      <c r="H53" s="57"/>
      <c r="I53" s="129"/>
      <c r="J53" s="57" t="s">
        <v>17</v>
      </c>
      <c r="K53" s="89" t="s">
        <v>69</v>
      </c>
      <c r="L53" s="10"/>
      <c r="M53" s="107">
        <v>15612000</v>
      </c>
      <c r="N53" s="94">
        <f>januari!R53</f>
        <v>0</v>
      </c>
      <c r="O53" s="99">
        <f t="shared" si="0"/>
        <v>0</v>
      </c>
      <c r="P53" s="120"/>
      <c r="Q53" s="99">
        <f t="shared" si="1"/>
        <v>0</v>
      </c>
      <c r="R53" s="108">
        <f>N53+P53</f>
        <v>0</v>
      </c>
      <c r="S53" s="99">
        <f t="shared" si="2"/>
        <v>0</v>
      </c>
      <c r="T53" s="100">
        <f>0/5*100</f>
        <v>0</v>
      </c>
      <c r="U53" s="10"/>
      <c r="V53" s="10"/>
      <c r="W53" s="133"/>
      <c r="X53" s="168" t="s">
        <v>67</v>
      </c>
    </row>
    <row r="54" spans="1:24" ht="9.9499999999999993" customHeight="1" x14ac:dyDescent="0.25">
      <c r="A54" s="10"/>
      <c r="B54" s="10"/>
      <c r="C54" s="10"/>
      <c r="D54" s="10"/>
      <c r="E54" s="10"/>
      <c r="F54" s="48"/>
      <c r="G54" s="48"/>
      <c r="H54" s="48"/>
      <c r="I54" s="53"/>
      <c r="J54" s="53"/>
      <c r="K54" s="78"/>
      <c r="L54" s="10"/>
      <c r="M54" s="107"/>
      <c r="N54" s="94">
        <f>januari!R54</f>
        <v>0</v>
      </c>
      <c r="O54" s="99"/>
      <c r="P54" s="108"/>
      <c r="Q54" s="99"/>
      <c r="R54" s="108"/>
      <c r="S54" s="99"/>
      <c r="T54" s="63"/>
      <c r="U54" s="10"/>
      <c r="V54" s="10"/>
      <c r="W54" s="133"/>
    </row>
    <row r="55" spans="1:24" ht="25.5" x14ac:dyDescent="0.25">
      <c r="A55" s="8">
        <v>1</v>
      </c>
      <c r="B55" s="9" t="s">
        <v>17</v>
      </c>
      <c r="C55" s="9" t="s">
        <v>18</v>
      </c>
      <c r="D55" s="8">
        <v>38</v>
      </c>
      <c r="E55" s="8">
        <v>14</v>
      </c>
      <c r="F55" s="61" t="s">
        <v>21</v>
      </c>
      <c r="G55" s="61" t="s">
        <v>22</v>
      </c>
      <c r="H55" s="61" t="s">
        <v>22</v>
      </c>
      <c r="I55" s="128" t="s">
        <v>48</v>
      </c>
      <c r="J55" s="42"/>
      <c r="K55" s="79" t="s">
        <v>57</v>
      </c>
      <c r="L55" s="10"/>
      <c r="M55" s="105">
        <f>M56</f>
        <v>20000000</v>
      </c>
      <c r="N55" s="94">
        <f>januari!R55</f>
        <v>0</v>
      </c>
      <c r="O55" s="99">
        <f t="shared" si="0"/>
        <v>0</v>
      </c>
      <c r="P55" s="106">
        <f>P56</f>
        <v>0</v>
      </c>
      <c r="Q55" s="95">
        <f t="shared" si="1"/>
        <v>0</v>
      </c>
      <c r="R55" s="106">
        <f>R56</f>
        <v>0</v>
      </c>
      <c r="S55" s="95">
        <f t="shared" si="2"/>
        <v>0</v>
      </c>
      <c r="T55" s="96">
        <f>T56</f>
        <v>0</v>
      </c>
      <c r="U55" s="10"/>
      <c r="V55" s="10"/>
      <c r="W55" s="133"/>
    </row>
    <row r="56" spans="1:24" ht="15" customHeight="1" x14ac:dyDescent="0.25">
      <c r="A56" s="10"/>
      <c r="B56" s="10"/>
      <c r="C56" s="10"/>
      <c r="D56" s="10"/>
      <c r="E56" s="10"/>
      <c r="F56" s="48"/>
      <c r="G56" s="48"/>
      <c r="H56" s="48"/>
      <c r="I56" s="48"/>
      <c r="J56" s="48" t="s">
        <v>18</v>
      </c>
      <c r="K56" s="78" t="s">
        <v>58</v>
      </c>
      <c r="L56" s="10"/>
      <c r="M56" s="107">
        <v>20000000</v>
      </c>
      <c r="N56" s="94">
        <f>januari!R56</f>
        <v>0</v>
      </c>
      <c r="O56" s="99">
        <f t="shared" si="0"/>
        <v>0</v>
      </c>
      <c r="P56" s="26"/>
      <c r="Q56" s="99">
        <f t="shared" si="1"/>
        <v>0</v>
      </c>
      <c r="R56" s="108">
        <f>N56+P56</f>
        <v>0</v>
      </c>
      <c r="S56" s="99">
        <f t="shared" si="2"/>
        <v>0</v>
      </c>
      <c r="T56" s="100">
        <f>0/4*100</f>
        <v>0</v>
      </c>
      <c r="U56" s="10"/>
      <c r="V56" s="10"/>
      <c r="W56" s="133"/>
    </row>
    <row r="57" spans="1:24" ht="9.9499999999999993" customHeight="1" x14ac:dyDescent="0.25">
      <c r="A57" s="10"/>
      <c r="B57" s="10"/>
      <c r="C57" s="10"/>
      <c r="D57" s="10"/>
      <c r="E57" s="10"/>
      <c r="F57" s="48"/>
      <c r="G57" s="48"/>
      <c r="H57" s="48"/>
      <c r="I57" s="53"/>
      <c r="J57" s="53"/>
      <c r="K57" s="90"/>
      <c r="L57" s="10"/>
      <c r="M57" s="97"/>
      <c r="N57" s="94">
        <f>januari!R57</f>
        <v>0</v>
      </c>
      <c r="O57" s="99"/>
      <c r="P57" s="98"/>
      <c r="Q57" s="99"/>
      <c r="R57" s="98"/>
      <c r="S57" s="99"/>
      <c r="T57" s="63"/>
      <c r="U57" s="10"/>
      <c r="V57" s="10"/>
      <c r="W57" s="133"/>
    </row>
    <row r="58" spans="1:24" ht="20.100000000000001" customHeight="1" x14ac:dyDescent="0.25">
      <c r="A58" s="8">
        <v>1</v>
      </c>
      <c r="B58" s="9" t="s">
        <v>17</v>
      </c>
      <c r="C58" s="9" t="s">
        <v>18</v>
      </c>
      <c r="D58" s="8">
        <v>38</v>
      </c>
      <c r="E58" s="8">
        <v>14</v>
      </c>
      <c r="F58" s="61" t="s">
        <v>21</v>
      </c>
      <c r="G58" s="61" t="s">
        <v>22</v>
      </c>
      <c r="H58" s="61" t="s">
        <v>22</v>
      </c>
      <c r="I58" s="128" t="s">
        <v>51</v>
      </c>
      <c r="J58" s="130"/>
      <c r="K58" s="88" t="s">
        <v>59</v>
      </c>
      <c r="L58" s="10"/>
      <c r="M58" s="103">
        <f>SUM(M59:M62)</f>
        <v>24000000</v>
      </c>
      <c r="N58" s="94">
        <f>januari!R58</f>
        <v>0</v>
      </c>
      <c r="O58" s="99">
        <f t="shared" si="0"/>
        <v>0</v>
      </c>
      <c r="P58" s="104">
        <f>SUM(P59:P62)</f>
        <v>0</v>
      </c>
      <c r="Q58" s="95">
        <f t="shared" si="1"/>
        <v>0</v>
      </c>
      <c r="R58" s="104">
        <f>SUM(R59:R62)</f>
        <v>0</v>
      </c>
      <c r="S58" s="95">
        <f t="shared" si="2"/>
        <v>0</v>
      </c>
      <c r="T58" s="96">
        <f>SUM(T59:T61)/3</f>
        <v>0</v>
      </c>
      <c r="U58" s="10"/>
      <c r="V58" s="10"/>
      <c r="W58" s="133"/>
    </row>
    <row r="59" spans="1:24" ht="15" customHeight="1" x14ac:dyDescent="0.25">
      <c r="A59" s="10"/>
      <c r="B59" s="10"/>
      <c r="C59" s="10"/>
      <c r="D59" s="10"/>
      <c r="E59" s="10"/>
      <c r="F59" s="57"/>
      <c r="G59" s="57"/>
      <c r="H59" s="57"/>
      <c r="I59" s="129"/>
      <c r="J59" s="62" t="s">
        <v>34</v>
      </c>
      <c r="K59" s="89" t="s">
        <v>60</v>
      </c>
      <c r="L59" s="10"/>
      <c r="M59" s="97">
        <v>1000000</v>
      </c>
      <c r="N59" s="94">
        <f>januari!R59</f>
        <v>0</v>
      </c>
      <c r="O59" s="99">
        <f t="shared" si="0"/>
        <v>0</v>
      </c>
      <c r="P59" s="98"/>
      <c r="Q59" s="99">
        <f t="shared" si="1"/>
        <v>0</v>
      </c>
      <c r="R59" s="98">
        <f>N59+P59</f>
        <v>0</v>
      </c>
      <c r="S59" s="99">
        <f t="shared" si="2"/>
        <v>0</v>
      </c>
      <c r="T59" s="100">
        <f>0/1*100</f>
        <v>0</v>
      </c>
      <c r="U59" s="10"/>
      <c r="V59" s="10"/>
      <c r="W59" s="133"/>
    </row>
    <row r="60" spans="1:24" ht="15" customHeight="1" x14ac:dyDescent="0.25">
      <c r="A60" s="10"/>
      <c r="B60" s="10"/>
      <c r="C60" s="10"/>
      <c r="D60" s="10"/>
      <c r="E60" s="10"/>
      <c r="F60" s="54"/>
      <c r="G60" s="54"/>
      <c r="H60" s="54"/>
      <c r="I60" s="48"/>
      <c r="J60" s="55" t="s">
        <v>35</v>
      </c>
      <c r="K60" s="73" t="s">
        <v>61</v>
      </c>
      <c r="L60" s="10"/>
      <c r="M60" s="97">
        <v>13000000</v>
      </c>
      <c r="N60" s="94">
        <f>januari!R60</f>
        <v>0</v>
      </c>
      <c r="O60" s="99">
        <f t="shared" si="0"/>
        <v>0</v>
      </c>
      <c r="P60" s="98"/>
      <c r="Q60" s="99">
        <f t="shared" si="1"/>
        <v>0</v>
      </c>
      <c r="R60" s="98">
        <f t="shared" ref="R60:R62" si="5">N60+P60</f>
        <v>0</v>
      </c>
      <c r="S60" s="99">
        <f t="shared" si="2"/>
        <v>0</v>
      </c>
      <c r="T60" s="100">
        <f>0/1*100</f>
        <v>0</v>
      </c>
      <c r="U60" s="10"/>
      <c r="V60" s="10"/>
      <c r="W60" s="133"/>
    </row>
    <row r="61" spans="1:24" ht="15" customHeight="1" x14ac:dyDescent="0.25">
      <c r="A61" s="10"/>
      <c r="B61" s="10"/>
      <c r="C61" s="10"/>
      <c r="D61" s="10"/>
      <c r="E61" s="10"/>
      <c r="F61" s="57"/>
      <c r="G61" s="57"/>
      <c r="H61" s="57"/>
      <c r="I61" s="129"/>
      <c r="J61" s="62" t="s">
        <v>50</v>
      </c>
      <c r="K61" s="89" t="s">
        <v>62</v>
      </c>
      <c r="L61" s="10"/>
      <c r="M61" s="97">
        <v>5000000</v>
      </c>
      <c r="N61" s="94">
        <f>januari!R61</f>
        <v>0</v>
      </c>
      <c r="O61" s="99">
        <f t="shared" si="0"/>
        <v>0</v>
      </c>
      <c r="P61" s="98"/>
      <c r="Q61" s="99">
        <f t="shared" si="1"/>
        <v>0</v>
      </c>
      <c r="R61" s="98">
        <f t="shared" si="5"/>
        <v>0</v>
      </c>
      <c r="S61" s="99">
        <f t="shared" si="2"/>
        <v>0</v>
      </c>
      <c r="T61" s="100">
        <f>0/2*100</f>
        <v>0</v>
      </c>
      <c r="U61" s="10"/>
      <c r="V61" s="10"/>
      <c r="W61" s="133"/>
    </row>
    <row r="62" spans="1:24" ht="15" customHeight="1" x14ac:dyDescent="0.25">
      <c r="A62" s="10"/>
      <c r="B62" s="10"/>
      <c r="C62" s="10"/>
      <c r="D62" s="10"/>
      <c r="E62" s="10"/>
      <c r="F62" s="57"/>
      <c r="G62" s="57"/>
      <c r="H62" s="57"/>
      <c r="I62" s="129"/>
      <c r="J62" s="62" t="s">
        <v>36</v>
      </c>
      <c r="K62" s="89" t="s">
        <v>80</v>
      </c>
      <c r="L62" s="10"/>
      <c r="M62" s="97">
        <v>5000000</v>
      </c>
      <c r="N62" s="94">
        <f>januari!R62</f>
        <v>0</v>
      </c>
      <c r="O62" s="99">
        <v>0</v>
      </c>
      <c r="P62" s="98"/>
      <c r="Q62" s="99">
        <v>0</v>
      </c>
      <c r="R62" s="98">
        <f t="shared" si="5"/>
        <v>0</v>
      </c>
      <c r="S62" s="99">
        <f t="shared" si="2"/>
        <v>0</v>
      </c>
      <c r="T62" s="100">
        <f>0/1*100</f>
        <v>0</v>
      </c>
      <c r="U62" s="10"/>
      <c r="V62" s="10"/>
      <c r="W62" s="133"/>
    </row>
    <row r="63" spans="1:24" ht="9.9499999999999993" customHeight="1" x14ac:dyDescent="0.25">
      <c r="A63" s="10"/>
      <c r="B63" s="10"/>
      <c r="C63" s="10"/>
      <c r="D63" s="10"/>
      <c r="E63" s="10"/>
      <c r="F63" s="48"/>
      <c r="G63" s="48"/>
      <c r="H63" s="48"/>
      <c r="I63" s="53"/>
      <c r="J63" s="53"/>
      <c r="K63" s="78"/>
      <c r="L63" s="10"/>
      <c r="M63" s="97"/>
      <c r="N63" s="94">
        <f>januari!R63</f>
        <v>0</v>
      </c>
      <c r="O63" s="99"/>
      <c r="P63" s="98"/>
      <c r="Q63" s="99"/>
      <c r="R63" s="98"/>
      <c r="S63" s="99"/>
      <c r="T63" s="63"/>
      <c r="U63" s="10"/>
      <c r="V63" s="10"/>
      <c r="W63" s="133"/>
    </row>
    <row r="64" spans="1:24" ht="20.100000000000001" customHeight="1" x14ac:dyDescent="0.25">
      <c r="A64" s="127">
        <v>1</v>
      </c>
      <c r="B64" s="127" t="s">
        <v>17</v>
      </c>
      <c r="C64" s="127" t="s">
        <v>18</v>
      </c>
      <c r="D64" s="127">
        <v>38</v>
      </c>
      <c r="E64" s="127">
        <v>14</v>
      </c>
      <c r="F64" s="42" t="s">
        <v>21</v>
      </c>
      <c r="G64" s="42" t="s">
        <v>22</v>
      </c>
      <c r="H64" s="42" t="s">
        <v>22</v>
      </c>
      <c r="I64" s="42" t="s">
        <v>78</v>
      </c>
      <c r="J64" s="42"/>
      <c r="K64" s="79" t="s">
        <v>76</v>
      </c>
      <c r="L64" s="127"/>
      <c r="M64" s="103">
        <f>SUM(M65:M66)</f>
        <v>10000000</v>
      </c>
      <c r="N64" s="94">
        <f>januari!R64</f>
        <v>0</v>
      </c>
      <c r="O64" s="95">
        <f t="shared" ref="O64:O66" si="6">N64/M64*100</f>
        <v>0</v>
      </c>
      <c r="P64" s="104">
        <f>SUM(P65:P66)</f>
        <v>2000000</v>
      </c>
      <c r="Q64" s="95">
        <f t="shared" ref="Q64:Q66" si="7">P64/M64*100</f>
        <v>20</v>
      </c>
      <c r="R64" s="104">
        <f>SUM(R65:R66)</f>
        <v>2000000</v>
      </c>
      <c r="S64" s="95">
        <f t="shared" ref="S64:S66" si="8">R64/M64*100</f>
        <v>20</v>
      </c>
      <c r="T64" s="96">
        <f>SUM(T65:T66)/2</f>
        <v>50</v>
      </c>
      <c r="U64" s="10"/>
      <c r="V64" s="10"/>
      <c r="W64" s="133"/>
    </row>
    <row r="65" spans="1:24" ht="15" customHeight="1" x14ac:dyDescent="0.25">
      <c r="A65" s="6"/>
      <c r="B65" s="7"/>
      <c r="C65" s="7"/>
      <c r="D65" s="6"/>
      <c r="E65" s="6"/>
      <c r="F65" s="57"/>
      <c r="G65" s="57"/>
      <c r="H65" s="57"/>
      <c r="I65" s="70"/>
      <c r="J65" s="62" t="s">
        <v>34</v>
      </c>
      <c r="K65" s="89" t="s">
        <v>107</v>
      </c>
      <c r="L65" s="10"/>
      <c r="M65" s="97">
        <v>7000000</v>
      </c>
      <c r="N65" s="94">
        <f>januari!R65</f>
        <v>0</v>
      </c>
      <c r="O65" s="99">
        <f t="shared" si="6"/>
        <v>0</v>
      </c>
      <c r="P65" s="98"/>
      <c r="Q65" s="99">
        <f t="shared" si="7"/>
        <v>0</v>
      </c>
      <c r="R65" s="98">
        <f>N65+P65</f>
        <v>0</v>
      </c>
      <c r="S65" s="99">
        <f t="shared" si="8"/>
        <v>0</v>
      </c>
      <c r="T65" s="100">
        <f>0/1*100</f>
        <v>0</v>
      </c>
      <c r="U65" s="10"/>
      <c r="V65" s="10"/>
      <c r="W65" s="133"/>
    </row>
    <row r="66" spans="1:24" ht="15" customHeight="1" x14ac:dyDescent="0.25">
      <c r="A66" s="10"/>
      <c r="B66" s="10"/>
      <c r="C66" s="10"/>
      <c r="D66" s="10"/>
      <c r="E66" s="10"/>
      <c r="F66" s="48"/>
      <c r="G66" s="48"/>
      <c r="H66" s="48"/>
      <c r="I66" s="48"/>
      <c r="J66" s="48" t="s">
        <v>30</v>
      </c>
      <c r="K66" s="78" t="s">
        <v>77</v>
      </c>
      <c r="L66" s="10"/>
      <c r="M66" s="97">
        <v>3000000</v>
      </c>
      <c r="N66" s="94">
        <f>januari!R66</f>
        <v>0</v>
      </c>
      <c r="O66" s="99">
        <f t="shared" si="6"/>
        <v>0</v>
      </c>
      <c r="P66" s="98">
        <v>2000000</v>
      </c>
      <c r="Q66" s="99">
        <f t="shared" si="7"/>
        <v>66.666666666666657</v>
      </c>
      <c r="R66" s="98">
        <f>N66+P66</f>
        <v>2000000</v>
      </c>
      <c r="S66" s="99">
        <f t="shared" si="8"/>
        <v>66.666666666666657</v>
      </c>
      <c r="T66" s="100">
        <f>1/1*100</f>
        <v>100</v>
      </c>
      <c r="U66" s="10"/>
      <c r="V66" s="10"/>
      <c r="W66" s="133"/>
    </row>
    <row r="67" spans="1:24" ht="9.9499999999999993" customHeight="1" x14ac:dyDescent="0.25">
      <c r="A67" s="10"/>
      <c r="B67" s="10"/>
      <c r="C67" s="10"/>
      <c r="D67" s="10"/>
      <c r="E67" s="10"/>
      <c r="F67" s="48"/>
      <c r="G67" s="48"/>
      <c r="H67" s="48"/>
      <c r="I67" s="53"/>
      <c r="J67" s="53"/>
      <c r="K67" s="78"/>
      <c r="L67" s="10"/>
      <c r="M67" s="97"/>
      <c r="N67" s="94">
        <f>januari!R67</f>
        <v>0</v>
      </c>
      <c r="O67" s="99"/>
      <c r="P67" s="98"/>
      <c r="Q67" s="99"/>
      <c r="R67" s="98"/>
      <c r="S67" s="99"/>
      <c r="T67" s="63"/>
      <c r="U67" s="10"/>
      <c r="V67" s="10"/>
      <c r="W67" s="133"/>
    </row>
    <row r="68" spans="1:24" ht="24.95" customHeight="1" x14ac:dyDescent="0.25">
      <c r="A68" s="8">
        <v>1</v>
      </c>
      <c r="B68" s="9" t="s">
        <v>17</v>
      </c>
      <c r="C68" s="9" t="s">
        <v>18</v>
      </c>
      <c r="D68" s="8">
        <v>38</v>
      </c>
      <c r="E68" s="8">
        <v>14</v>
      </c>
      <c r="F68" s="61" t="s">
        <v>21</v>
      </c>
      <c r="G68" s="61" t="s">
        <v>22</v>
      </c>
      <c r="H68" s="61" t="s">
        <v>22</v>
      </c>
      <c r="I68" s="131" t="s">
        <v>49</v>
      </c>
      <c r="J68" s="61"/>
      <c r="K68" s="88" t="s">
        <v>63</v>
      </c>
      <c r="L68" s="10"/>
      <c r="M68" s="105">
        <f>SUM(M69:M70)</f>
        <v>19450000</v>
      </c>
      <c r="N68" s="94">
        <f>januari!R68</f>
        <v>600000</v>
      </c>
      <c r="O68" s="99">
        <f t="shared" si="0"/>
        <v>3.0848329048843186</v>
      </c>
      <c r="P68" s="106">
        <f>SUM(P69:P70)</f>
        <v>2850000</v>
      </c>
      <c r="Q68" s="95">
        <f t="shared" si="1"/>
        <v>14.652956298200515</v>
      </c>
      <c r="R68" s="106">
        <f>SUM(R69:R70)</f>
        <v>3450000</v>
      </c>
      <c r="S68" s="95">
        <f t="shared" si="2"/>
        <v>17.737789203084834</v>
      </c>
      <c r="T68" s="96">
        <f>SUM(T69:T70)/2</f>
        <v>45.833333333333329</v>
      </c>
      <c r="U68" s="10"/>
      <c r="V68" s="10"/>
      <c r="W68" s="133"/>
    </row>
    <row r="69" spans="1:24" ht="15" customHeight="1" x14ac:dyDescent="0.25">
      <c r="A69" s="10"/>
      <c r="B69" s="10"/>
      <c r="C69" s="10"/>
      <c r="D69" s="10"/>
      <c r="E69" s="10"/>
      <c r="F69" s="57"/>
      <c r="G69" s="57"/>
      <c r="H69" s="57"/>
      <c r="I69" s="129"/>
      <c r="J69" s="62" t="s">
        <v>17</v>
      </c>
      <c r="K69" s="89" t="s">
        <v>66</v>
      </c>
      <c r="L69" s="10"/>
      <c r="M69" s="107">
        <v>7200000</v>
      </c>
      <c r="N69" s="94">
        <f>januari!R69</f>
        <v>600000</v>
      </c>
      <c r="O69" s="99">
        <f t="shared" si="0"/>
        <v>8.3333333333333321</v>
      </c>
      <c r="P69" s="26">
        <v>600000</v>
      </c>
      <c r="Q69" s="99">
        <f t="shared" si="1"/>
        <v>8.3333333333333321</v>
      </c>
      <c r="R69" s="108">
        <f>N69+P69</f>
        <v>1200000</v>
      </c>
      <c r="S69" s="99">
        <f t="shared" si="2"/>
        <v>16.666666666666664</v>
      </c>
      <c r="T69" s="100">
        <f>4/24*100</f>
        <v>16.666666666666664</v>
      </c>
      <c r="U69" s="10"/>
      <c r="V69" s="10"/>
      <c r="W69" s="133"/>
    </row>
    <row r="70" spans="1:24" ht="15" customHeight="1" x14ac:dyDescent="0.25">
      <c r="A70" s="63"/>
      <c r="B70" s="63"/>
      <c r="C70" s="63"/>
      <c r="D70" s="63"/>
      <c r="E70" s="63"/>
      <c r="F70" s="57"/>
      <c r="G70" s="57"/>
      <c r="H70" s="57"/>
      <c r="I70" s="70"/>
      <c r="J70" s="62" t="s">
        <v>34</v>
      </c>
      <c r="K70" s="89" t="s">
        <v>81</v>
      </c>
      <c r="L70" s="10"/>
      <c r="M70" s="107">
        <v>12250000</v>
      </c>
      <c r="N70" s="94">
        <f>januari!R70</f>
        <v>0</v>
      </c>
      <c r="O70" s="99">
        <f t="shared" si="0"/>
        <v>0</v>
      </c>
      <c r="P70" s="26">
        <v>2250000</v>
      </c>
      <c r="Q70" s="99">
        <f t="shared" si="1"/>
        <v>18.367346938775512</v>
      </c>
      <c r="R70" s="108">
        <f>N70+P70</f>
        <v>2250000</v>
      </c>
      <c r="S70" s="99">
        <f t="shared" si="2"/>
        <v>18.367346938775512</v>
      </c>
      <c r="T70" s="100">
        <f>9/12*100</f>
        <v>75</v>
      </c>
      <c r="U70" s="10"/>
      <c r="V70" s="10"/>
      <c r="W70" s="133"/>
    </row>
    <row r="71" spans="1:24" ht="9.9499999999999993" customHeight="1" x14ac:dyDescent="0.25">
      <c r="A71" s="10"/>
      <c r="B71" s="10"/>
      <c r="C71" s="10"/>
      <c r="D71" s="10"/>
      <c r="E71" s="10"/>
      <c r="F71" s="48"/>
      <c r="G71" s="48"/>
      <c r="H71" s="48"/>
      <c r="I71" s="53"/>
      <c r="J71" s="53"/>
      <c r="K71" s="78"/>
      <c r="L71" s="10"/>
      <c r="M71" s="97"/>
      <c r="N71" s="94">
        <f>januari!R71</f>
        <v>0</v>
      </c>
      <c r="O71" s="99"/>
      <c r="P71" s="98"/>
      <c r="Q71" s="99"/>
      <c r="R71" s="98"/>
      <c r="S71" s="99"/>
      <c r="T71" s="63"/>
      <c r="U71" s="10"/>
      <c r="V71" s="10"/>
      <c r="W71" s="133"/>
    </row>
    <row r="72" spans="1:24" ht="24.95" customHeight="1" x14ac:dyDescent="0.25">
      <c r="A72" s="8">
        <v>1</v>
      </c>
      <c r="B72" s="9" t="s">
        <v>17</v>
      </c>
      <c r="C72" s="9" t="s">
        <v>18</v>
      </c>
      <c r="D72" s="8">
        <v>38</v>
      </c>
      <c r="E72" s="8">
        <v>14</v>
      </c>
      <c r="F72" s="42" t="s">
        <v>21</v>
      </c>
      <c r="G72" s="42" t="s">
        <v>22</v>
      </c>
      <c r="H72" s="42" t="s">
        <v>22</v>
      </c>
      <c r="I72" s="42" t="s">
        <v>108</v>
      </c>
      <c r="J72" s="44"/>
      <c r="K72" s="79" t="s">
        <v>109</v>
      </c>
      <c r="L72" s="10"/>
      <c r="M72" s="103">
        <f>M73</f>
        <v>500000</v>
      </c>
      <c r="N72" s="94">
        <f>januari!R72</f>
        <v>0</v>
      </c>
      <c r="O72" s="99">
        <f t="shared" si="0"/>
        <v>0</v>
      </c>
      <c r="P72" s="104">
        <f>P73</f>
        <v>0</v>
      </c>
      <c r="Q72" s="95">
        <f t="shared" si="1"/>
        <v>0</v>
      </c>
      <c r="R72" s="104">
        <f>R73</f>
        <v>0</v>
      </c>
      <c r="S72" s="95">
        <f t="shared" si="2"/>
        <v>0</v>
      </c>
      <c r="T72" s="96">
        <v>0</v>
      </c>
      <c r="U72" s="10"/>
      <c r="V72" s="10"/>
      <c r="W72" s="133"/>
    </row>
    <row r="73" spans="1:24" ht="24.95" customHeight="1" x14ac:dyDescent="0.25">
      <c r="A73" s="10"/>
      <c r="B73" s="10"/>
      <c r="C73" s="10"/>
      <c r="D73" s="10"/>
      <c r="E73" s="10"/>
      <c r="F73" s="48"/>
      <c r="G73" s="48"/>
      <c r="H73" s="48"/>
      <c r="I73" s="53"/>
      <c r="J73" s="55" t="s">
        <v>17</v>
      </c>
      <c r="K73" s="73" t="s">
        <v>110</v>
      </c>
      <c r="L73" s="10"/>
      <c r="M73" s="97">
        <v>500000</v>
      </c>
      <c r="N73" s="94">
        <f>januari!R73</f>
        <v>0</v>
      </c>
      <c r="O73" s="99">
        <f t="shared" si="0"/>
        <v>0</v>
      </c>
      <c r="P73" s="26"/>
      <c r="Q73" s="99">
        <f t="shared" si="1"/>
        <v>0</v>
      </c>
      <c r="R73" s="98">
        <f>N73+P73</f>
        <v>0</v>
      </c>
      <c r="S73" s="99">
        <f t="shared" si="2"/>
        <v>0</v>
      </c>
      <c r="T73" s="100">
        <f>0/1*100</f>
        <v>0</v>
      </c>
      <c r="U73" s="10"/>
      <c r="V73" s="160"/>
      <c r="W73" s="133"/>
      <c r="X73" s="182"/>
    </row>
    <row r="74" spans="1:24" ht="9.9499999999999993" customHeight="1" x14ac:dyDescent="0.25">
      <c r="A74" s="10"/>
      <c r="B74" s="10"/>
      <c r="C74" s="10"/>
      <c r="D74" s="10"/>
      <c r="E74" s="10"/>
      <c r="F74" s="48"/>
      <c r="G74" s="48"/>
      <c r="H74" s="48"/>
      <c r="I74" s="53"/>
      <c r="J74" s="59"/>
      <c r="K74" s="91"/>
      <c r="L74" s="166"/>
      <c r="M74" s="115"/>
      <c r="N74" s="94">
        <f>januari!R74</f>
        <v>0</v>
      </c>
      <c r="O74" s="99"/>
      <c r="P74" s="117"/>
      <c r="Q74" s="99"/>
      <c r="R74" s="117"/>
      <c r="S74" s="99"/>
      <c r="T74" s="63"/>
      <c r="U74" s="10"/>
      <c r="V74" s="10"/>
      <c r="W74" s="133"/>
    </row>
    <row r="75" spans="1:24" ht="20.100000000000001" customHeight="1" x14ac:dyDescent="0.25">
      <c r="A75" s="8">
        <v>1</v>
      </c>
      <c r="B75" s="9" t="s">
        <v>17</v>
      </c>
      <c r="C75" s="9" t="s">
        <v>18</v>
      </c>
      <c r="D75" s="8">
        <v>38</v>
      </c>
      <c r="E75" s="8">
        <v>14</v>
      </c>
      <c r="F75" s="42" t="s">
        <v>21</v>
      </c>
      <c r="G75" s="42" t="s">
        <v>22</v>
      </c>
      <c r="H75" s="42" t="s">
        <v>24</v>
      </c>
      <c r="I75" s="42"/>
      <c r="J75" s="44"/>
      <c r="K75" s="79" t="s">
        <v>25</v>
      </c>
      <c r="L75" s="10"/>
      <c r="M75" s="105">
        <f>M79+M76+M83+M86+M89</f>
        <v>68700000</v>
      </c>
      <c r="N75" s="94">
        <f>januari!R75</f>
        <v>0</v>
      </c>
      <c r="O75" s="99">
        <f t="shared" si="0"/>
        <v>0</v>
      </c>
      <c r="P75" s="106">
        <f>P79+P76+P83+P86+P89</f>
        <v>0</v>
      </c>
      <c r="Q75" s="95">
        <f t="shared" si="1"/>
        <v>0</v>
      </c>
      <c r="R75" s="106">
        <f>R79+R76+R83+R86+R89</f>
        <v>0</v>
      </c>
      <c r="S75" s="95">
        <f t="shared" si="2"/>
        <v>0</v>
      </c>
      <c r="T75" s="96">
        <f>(T79+T76+T83+T86+T89)/5</f>
        <v>0</v>
      </c>
      <c r="U75" s="10"/>
      <c r="V75" s="10"/>
      <c r="W75" s="133"/>
    </row>
    <row r="76" spans="1:24" ht="24.95" customHeight="1" x14ac:dyDescent="0.25">
      <c r="A76" s="8">
        <v>1</v>
      </c>
      <c r="B76" s="9" t="s">
        <v>17</v>
      </c>
      <c r="C76" s="9" t="s">
        <v>18</v>
      </c>
      <c r="D76" s="8">
        <v>38</v>
      </c>
      <c r="E76" s="8">
        <v>14</v>
      </c>
      <c r="F76" s="42" t="s">
        <v>21</v>
      </c>
      <c r="G76" s="42" t="s">
        <v>22</v>
      </c>
      <c r="H76" s="42" t="s">
        <v>24</v>
      </c>
      <c r="I76" s="42" t="s">
        <v>44</v>
      </c>
      <c r="J76" s="44"/>
      <c r="K76" s="80" t="s">
        <v>111</v>
      </c>
      <c r="L76" s="10"/>
      <c r="M76" s="103">
        <f>M77</f>
        <v>7500000</v>
      </c>
      <c r="N76" s="94">
        <f>januari!R76</f>
        <v>0</v>
      </c>
      <c r="O76" s="99">
        <f t="shared" si="0"/>
        <v>0</v>
      </c>
      <c r="P76" s="104">
        <f>P77</f>
        <v>0</v>
      </c>
      <c r="Q76" s="95">
        <f t="shared" si="1"/>
        <v>0</v>
      </c>
      <c r="R76" s="104">
        <f>R77</f>
        <v>0</v>
      </c>
      <c r="S76" s="95">
        <f t="shared" si="2"/>
        <v>0</v>
      </c>
      <c r="T76" s="96">
        <f>T77</f>
        <v>0</v>
      </c>
      <c r="U76" s="10"/>
      <c r="V76" s="10"/>
      <c r="W76" s="133"/>
    </row>
    <row r="77" spans="1:24" ht="15" customHeight="1" x14ac:dyDescent="0.25">
      <c r="A77" s="8"/>
      <c r="B77" s="9"/>
      <c r="C77" s="9"/>
      <c r="D77" s="8"/>
      <c r="E77" s="8"/>
      <c r="F77" s="42"/>
      <c r="G77" s="42"/>
      <c r="H77" s="42"/>
      <c r="I77" s="48"/>
      <c r="J77" s="55" t="s">
        <v>35</v>
      </c>
      <c r="K77" s="73" t="s">
        <v>112</v>
      </c>
      <c r="L77" s="10"/>
      <c r="M77" s="97">
        <v>7500000</v>
      </c>
      <c r="N77" s="94">
        <f>januari!R77</f>
        <v>0</v>
      </c>
      <c r="O77" s="99">
        <f t="shared" ref="O77:O90" si="9">N77/M77*100</f>
        <v>0</v>
      </c>
      <c r="P77" s="98"/>
      <c r="Q77" s="99">
        <f t="shared" ref="Q77:Q90" si="10">P77/M77*100</f>
        <v>0</v>
      </c>
      <c r="R77" s="98">
        <f>N77+P77</f>
        <v>0</v>
      </c>
      <c r="S77" s="99">
        <f t="shared" ref="S77:S90" si="11">R77/M77*100</f>
        <v>0</v>
      </c>
      <c r="T77" s="100">
        <f>0/3*100</f>
        <v>0</v>
      </c>
      <c r="U77" s="10"/>
      <c r="V77" s="10"/>
      <c r="W77" s="133"/>
    </row>
    <row r="78" spans="1:24" ht="9.9499999999999993" customHeight="1" x14ac:dyDescent="0.25">
      <c r="A78" s="8"/>
      <c r="B78" s="9"/>
      <c r="C78" s="9"/>
      <c r="D78" s="8"/>
      <c r="E78" s="8"/>
      <c r="F78" s="42"/>
      <c r="G78" s="42"/>
      <c r="H78" s="42"/>
      <c r="I78" s="55"/>
      <c r="J78" s="55"/>
      <c r="K78" s="78"/>
      <c r="L78" s="10"/>
      <c r="M78" s="97"/>
      <c r="N78" s="94">
        <f>januari!R78</f>
        <v>0</v>
      </c>
      <c r="O78" s="99"/>
      <c r="P78" s="26"/>
      <c r="Q78" s="95"/>
      <c r="R78" s="98"/>
      <c r="S78" s="95"/>
      <c r="T78" s="100"/>
      <c r="U78" s="10"/>
      <c r="V78" s="10"/>
      <c r="W78" s="133"/>
    </row>
    <row r="79" spans="1:24" s="174" customFormat="1" ht="24.95" customHeight="1" x14ac:dyDescent="0.25">
      <c r="A79" s="8">
        <v>1</v>
      </c>
      <c r="B79" s="9" t="s">
        <v>17</v>
      </c>
      <c r="C79" s="9" t="s">
        <v>18</v>
      </c>
      <c r="D79" s="8">
        <v>38</v>
      </c>
      <c r="E79" s="8">
        <v>14</v>
      </c>
      <c r="F79" s="42" t="s">
        <v>21</v>
      </c>
      <c r="G79" s="42" t="s">
        <v>22</v>
      </c>
      <c r="H79" s="42" t="s">
        <v>24</v>
      </c>
      <c r="I79" s="60" t="s">
        <v>113</v>
      </c>
      <c r="J79" s="60"/>
      <c r="K79" s="79" t="s">
        <v>45</v>
      </c>
      <c r="L79" s="127"/>
      <c r="M79" s="103">
        <f>SUM(M80:M81)</f>
        <v>12200000</v>
      </c>
      <c r="N79" s="94">
        <f>januari!R79</f>
        <v>0</v>
      </c>
      <c r="O79" s="95">
        <f t="shared" si="9"/>
        <v>0</v>
      </c>
      <c r="P79" s="147">
        <f>SUM(P80:P81)</f>
        <v>0</v>
      </c>
      <c r="Q79" s="95">
        <f t="shared" si="10"/>
        <v>0</v>
      </c>
      <c r="R79" s="104">
        <f>SUM(R80:R81)</f>
        <v>0</v>
      </c>
      <c r="S79" s="95">
        <f t="shared" si="11"/>
        <v>0</v>
      </c>
      <c r="T79" s="96">
        <f>SUM(T80:T81)/2</f>
        <v>0</v>
      </c>
      <c r="U79" s="127"/>
      <c r="V79" s="127"/>
      <c r="W79" s="173"/>
    </row>
    <row r="80" spans="1:24" ht="15" customHeight="1" x14ac:dyDescent="0.25">
      <c r="A80" s="6"/>
      <c r="B80" s="7"/>
      <c r="C80" s="7"/>
      <c r="D80" s="6"/>
      <c r="E80" s="6"/>
      <c r="F80" s="48"/>
      <c r="G80" s="48"/>
      <c r="H80" s="48"/>
      <c r="I80" s="55"/>
      <c r="J80" s="55" t="s">
        <v>18</v>
      </c>
      <c r="K80" s="78" t="s">
        <v>114</v>
      </c>
      <c r="L80" s="10"/>
      <c r="M80" s="97">
        <v>11200000</v>
      </c>
      <c r="N80" s="94">
        <f>januari!R80</f>
        <v>0</v>
      </c>
      <c r="O80" s="99">
        <f t="shared" si="9"/>
        <v>0</v>
      </c>
      <c r="P80" s="26"/>
      <c r="Q80" s="99">
        <f t="shared" si="10"/>
        <v>0</v>
      </c>
      <c r="R80" s="98">
        <f>N80+P80</f>
        <v>0</v>
      </c>
      <c r="S80" s="99">
        <f t="shared" si="11"/>
        <v>0</v>
      </c>
      <c r="T80" s="100">
        <f>0/4*100</f>
        <v>0</v>
      </c>
      <c r="U80" s="10"/>
      <c r="V80" s="10"/>
      <c r="W80" s="133"/>
    </row>
    <row r="81" spans="1:23" ht="15" customHeight="1" x14ac:dyDescent="0.25">
      <c r="A81" s="6"/>
      <c r="B81" s="7"/>
      <c r="C81" s="7"/>
      <c r="D81" s="6"/>
      <c r="E81" s="6"/>
      <c r="F81" s="48"/>
      <c r="G81" s="48"/>
      <c r="H81" s="48"/>
      <c r="I81" s="55"/>
      <c r="J81" s="55" t="s">
        <v>17</v>
      </c>
      <c r="K81" s="78" t="s">
        <v>115</v>
      </c>
      <c r="L81" s="10"/>
      <c r="M81" s="97">
        <v>1000000</v>
      </c>
      <c r="N81" s="94">
        <f>januari!R81</f>
        <v>0</v>
      </c>
      <c r="O81" s="99">
        <f t="shared" si="9"/>
        <v>0</v>
      </c>
      <c r="P81" s="26"/>
      <c r="Q81" s="95">
        <f t="shared" si="10"/>
        <v>0</v>
      </c>
      <c r="R81" s="98">
        <f>N81+P81</f>
        <v>0</v>
      </c>
      <c r="S81" s="95">
        <f t="shared" si="11"/>
        <v>0</v>
      </c>
      <c r="T81" s="100">
        <f>0/1*100</f>
        <v>0</v>
      </c>
      <c r="U81" s="10"/>
      <c r="V81" s="10"/>
      <c r="W81" s="133"/>
    </row>
    <row r="82" spans="1:23" ht="9.9499999999999993" customHeight="1" x14ac:dyDescent="0.25">
      <c r="A82" s="8"/>
      <c r="B82" s="9"/>
      <c r="C82" s="9"/>
      <c r="D82" s="8"/>
      <c r="E82" s="8"/>
      <c r="F82" s="42"/>
      <c r="G82" s="42"/>
      <c r="H82" s="42"/>
      <c r="I82" s="55"/>
      <c r="J82" s="55"/>
      <c r="K82" s="78"/>
      <c r="L82" s="10"/>
      <c r="M82" s="97"/>
      <c r="N82" s="94">
        <f>januari!R82</f>
        <v>0</v>
      </c>
      <c r="O82" s="99"/>
      <c r="P82" s="26"/>
      <c r="Q82" s="95"/>
      <c r="R82" s="98"/>
      <c r="S82" s="95"/>
      <c r="T82" s="100"/>
      <c r="U82" s="10"/>
      <c r="V82" s="10"/>
      <c r="W82" s="133"/>
    </row>
    <row r="83" spans="1:23" s="174" customFormat="1" ht="24.95" customHeight="1" x14ac:dyDescent="0.25">
      <c r="A83" s="8">
        <v>1</v>
      </c>
      <c r="B83" s="9" t="s">
        <v>17</v>
      </c>
      <c r="C83" s="9" t="s">
        <v>18</v>
      </c>
      <c r="D83" s="8">
        <v>38</v>
      </c>
      <c r="E83" s="8">
        <v>14</v>
      </c>
      <c r="F83" s="42" t="s">
        <v>21</v>
      </c>
      <c r="G83" s="42" t="s">
        <v>22</v>
      </c>
      <c r="H83" s="42" t="s">
        <v>24</v>
      </c>
      <c r="I83" s="60" t="s">
        <v>78</v>
      </c>
      <c r="J83" s="60"/>
      <c r="K83" s="79" t="s">
        <v>116</v>
      </c>
      <c r="L83" s="127"/>
      <c r="M83" s="103">
        <f>M84</f>
        <v>26000000</v>
      </c>
      <c r="N83" s="94">
        <f>januari!R83</f>
        <v>0</v>
      </c>
      <c r="O83" s="95">
        <f t="shared" si="9"/>
        <v>0</v>
      </c>
      <c r="P83" s="147">
        <f>P84</f>
        <v>0</v>
      </c>
      <c r="Q83" s="95">
        <f t="shared" si="10"/>
        <v>0</v>
      </c>
      <c r="R83" s="104">
        <f>R84</f>
        <v>0</v>
      </c>
      <c r="S83" s="95">
        <f t="shared" si="11"/>
        <v>0</v>
      </c>
      <c r="T83" s="96">
        <f>T84</f>
        <v>0</v>
      </c>
      <c r="U83" s="127"/>
      <c r="V83" s="127"/>
      <c r="W83" s="173"/>
    </row>
    <row r="84" spans="1:23" ht="15" customHeight="1" x14ac:dyDescent="0.25">
      <c r="A84" s="6"/>
      <c r="B84" s="7"/>
      <c r="C84" s="7"/>
      <c r="D84" s="6"/>
      <c r="E84" s="6"/>
      <c r="F84" s="48"/>
      <c r="G84" s="48"/>
      <c r="H84" s="48"/>
      <c r="I84" s="55"/>
      <c r="J84" s="55" t="s">
        <v>117</v>
      </c>
      <c r="K84" s="78" t="s">
        <v>118</v>
      </c>
      <c r="L84" s="10"/>
      <c r="M84" s="97">
        <v>26000000</v>
      </c>
      <c r="N84" s="94">
        <f>januari!R84</f>
        <v>0</v>
      </c>
      <c r="O84" s="99">
        <f t="shared" si="9"/>
        <v>0</v>
      </c>
      <c r="P84" s="26"/>
      <c r="Q84" s="95">
        <f t="shared" si="10"/>
        <v>0</v>
      </c>
      <c r="R84" s="98">
        <f>N84+P84</f>
        <v>0</v>
      </c>
      <c r="S84" s="95">
        <f t="shared" si="11"/>
        <v>0</v>
      </c>
      <c r="T84" s="100">
        <f>0/2*100</f>
        <v>0</v>
      </c>
      <c r="U84" s="10"/>
      <c r="V84" s="10"/>
      <c r="W84" s="133"/>
    </row>
    <row r="85" spans="1:23" ht="9.9499999999999993" customHeight="1" x14ac:dyDescent="0.25">
      <c r="A85" s="8"/>
      <c r="B85" s="9"/>
      <c r="C85" s="9"/>
      <c r="D85" s="8"/>
      <c r="E85" s="8"/>
      <c r="F85" s="42"/>
      <c r="G85" s="42"/>
      <c r="H85" s="42"/>
      <c r="I85" s="55"/>
      <c r="J85" s="55"/>
      <c r="K85" s="78"/>
      <c r="L85" s="10"/>
      <c r="M85" s="97"/>
      <c r="N85" s="94">
        <f>januari!R85</f>
        <v>0</v>
      </c>
      <c r="O85" s="99"/>
      <c r="P85" s="26"/>
      <c r="Q85" s="95"/>
      <c r="R85" s="98"/>
      <c r="S85" s="95"/>
      <c r="T85" s="100"/>
      <c r="U85" s="10"/>
      <c r="V85" s="10"/>
      <c r="W85" s="133"/>
    </row>
    <row r="86" spans="1:23" s="174" customFormat="1" ht="24.95" customHeight="1" x14ac:dyDescent="0.25">
      <c r="A86" s="8">
        <v>1</v>
      </c>
      <c r="B86" s="9" t="s">
        <v>17</v>
      </c>
      <c r="C86" s="9" t="s">
        <v>18</v>
      </c>
      <c r="D86" s="8">
        <v>38</v>
      </c>
      <c r="E86" s="8">
        <v>14</v>
      </c>
      <c r="F86" s="42" t="s">
        <v>21</v>
      </c>
      <c r="G86" s="42" t="s">
        <v>22</v>
      </c>
      <c r="H86" s="42" t="s">
        <v>24</v>
      </c>
      <c r="I86" s="60" t="s">
        <v>119</v>
      </c>
      <c r="J86" s="60"/>
      <c r="K86" s="79" t="s">
        <v>120</v>
      </c>
      <c r="L86" s="127"/>
      <c r="M86" s="103">
        <f>M87</f>
        <v>14000000</v>
      </c>
      <c r="N86" s="94">
        <f>januari!R86</f>
        <v>0</v>
      </c>
      <c r="O86" s="95">
        <f t="shared" si="9"/>
        <v>0</v>
      </c>
      <c r="P86" s="147">
        <f>P87</f>
        <v>0</v>
      </c>
      <c r="Q86" s="95">
        <f t="shared" si="10"/>
        <v>0</v>
      </c>
      <c r="R86" s="104">
        <f>R87</f>
        <v>0</v>
      </c>
      <c r="S86" s="95">
        <f t="shared" si="11"/>
        <v>0</v>
      </c>
      <c r="T86" s="96">
        <f>T87</f>
        <v>0</v>
      </c>
      <c r="U86" s="127"/>
      <c r="V86" s="127"/>
      <c r="W86" s="173"/>
    </row>
    <row r="87" spans="1:23" ht="15" customHeight="1" x14ac:dyDescent="0.25">
      <c r="A87" s="6"/>
      <c r="B87" s="7"/>
      <c r="C87" s="7"/>
      <c r="D87" s="6"/>
      <c r="E87" s="6"/>
      <c r="F87" s="157"/>
      <c r="G87" s="157"/>
      <c r="H87" s="157"/>
      <c r="I87" s="48"/>
      <c r="J87" s="48" t="s">
        <v>17</v>
      </c>
      <c r="K87" s="78" t="s">
        <v>121</v>
      </c>
      <c r="L87" s="10"/>
      <c r="M87" s="107">
        <v>14000000</v>
      </c>
      <c r="N87" s="94">
        <f>januari!R87</f>
        <v>0</v>
      </c>
      <c r="O87" s="99">
        <f t="shared" si="9"/>
        <v>0</v>
      </c>
      <c r="P87" s="108"/>
      <c r="Q87" s="99">
        <f t="shared" si="10"/>
        <v>0</v>
      </c>
      <c r="R87" s="108">
        <f>N87+P87</f>
        <v>0</v>
      </c>
      <c r="S87" s="99">
        <f t="shared" si="11"/>
        <v>0</v>
      </c>
      <c r="T87" s="100">
        <f>0/2*100</f>
        <v>0</v>
      </c>
      <c r="U87" s="10"/>
      <c r="V87" s="10"/>
      <c r="W87" s="133"/>
    </row>
    <row r="88" spans="1:23" ht="9.9499999999999993" customHeight="1" x14ac:dyDescent="0.25">
      <c r="A88" s="63"/>
      <c r="B88" s="63"/>
      <c r="C88" s="63"/>
      <c r="D88" s="63"/>
      <c r="E88" s="63"/>
      <c r="F88" s="42"/>
      <c r="G88" s="42"/>
      <c r="H88" s="42"/>
      <c r="I88" s="42"/>
      <c r="J88" s="65"/>
      <c r="K88" s="92"/>
      <c r="L88" s="10"/>
      <c r="M88" s="107"/>
      <c r="N88" s="94">
        <f>januari!R88</f>
        <v>0</v>
      </c>
      <c r="O88" s="99"/>
      <c r="P88" s="26"/>
      <c r="Q88" s="95"/>
      <c r="R88" s="108"/>
      <c r="S88" s="95"/>
      <c r="T88" s="100"/>
      <c r="U88" s="10"/>
      <c r="V88" s="10"/>
      <c r="W88" s="133"/>
    </row>
    <row r="89" spans="1:23" s="174" customFormat="1" ht="24.95" customHeight="1" x14ac:dyDescent="0.25">
      <c r="A89" s="8">
        <v>1</v>
      </c>
      <c r="B89" s="9" t="s">
        <v>17</v>
      </c>
      <c r="C89" s="9" t="s">
        <v>18</v>
      </c>
      <c r="D89" s="8">
        <v>38</v>
      </c>
      <c r="E89" s="8">
        <v>14</v>
      </c>
      <c r="F89" s="42" t="s">
        <v>21</v>
      </c>
      <c r="G89" s="42" t="s">
        <v>22</v>
      </c>
      <c r="H89" s="42" t="s">
        <v>24</v>
      </c>
      <c r="I89" s="42" t="s">
        <v>122</v>
      </c>
      <c r="J89" s="71"/>
      <c r="K89" s="150" t="s">
        <v>123</v>
      </c>
      <c r="L89" s="127"/>
      <c r="M89" s="105">
        <f>M90</f>
        <v>9000000</v>
      </c>
      <c r="N89" s="94">
        <f>januari!R89</f>
        <v>0</v>
      </c>
      <c r="O89" s="95">
        <f t="shared" si="9"/>
        <v>0</v>
      </c>
      <c r="P89" s="147">
        <f>P90</f>
        <v>0</v>
      </c>
      <c r="Q89" s="95">
        <f t="shared" si="10"/>
        <v>0</v>
      </c>
      <c r="R89" s="106">
        <f>R90</f>
        <v>0</v>
      </c>
      <c r="S89" s="95">
        <f t="shared" si="11"/>
        <v>0</v>
      </c>
      <c r="T89" s="96">
        <f>T90</f>
        <v>0</v>
      </c>
      <c r="U89" s="127"/>
      <c r="V89" s="127"/>
      <c r="W89" s="173"/>
    </row>
    <row r="90" spans="1:23" ht="15" customHeight="1" x14ac:dyDescent="0.25">
      <c r="A90" s="63"/>
      <c r="B90" s="63"/>
      <c r="C90" s="63"/>
      <c r="D90" s="63"/>
      <c r="E90" s="63"/>
      <c r="F90" s="48"/>
      <c r="G90" s="48"/>
      <c r="H90" s="48"/>
      <c r="I90" s="48"/>
      <c r="J90" s="65" t="s">
        <v>34</v>
      </c>
      <c r="K90" s="92" t="s">
        <v>124</v>
      </c>
      <c r="L90" s="10"/>
      <c r="M90" s="107">
        <v>9000000</v>
      </c>
      <c r="N90" s="94">
        <f>januari!R90</f>
        <v>0</v>
      </c>
      <c r="O90" s="99">
        <f t="shared" si="9"/>
        <v>0</v>
      </c>
      <c r="P90" s="26"/>
      <c r="Q90" s="99">
        <f t="shared" si="10"/>
        <v>0</v>
      </c>
      <c r="R90" s="108">
        <f>N90+P90</f>
        <v>0</v>
      </c>
      <c r="S90" s="99">
        <f t="shared" si="11"/>
        <v>0</v>
      </c>
      <c r="T90" s="100">
        <f>0/3*100</f>
        <v>0</v>
      </c>
      <c r="U90" s="10"/>
      <c r="V90" s="10"/>
      <c r="W90" s="133"/>
    </row>
    <row r="91" spans="1:23" ht="9.9499999999999993" customHeight="1" x14ac:dyDescent="0.25">
      <c r="A91" s="63"/>
      <c r="B91" s="63"/>
      <c r="C91" s="63"/>
      <c r="D91" s="63"/>
      <c r="E91" s="63"/>
      <c r="F91" s="42"/>
      <c r="G91" s="42"/>
      <c r="H91" s="42"/>
      <c r="I91" s="42"/>
      <c r="J91" s="65"/>
      <c r="K91" s="92"/>
      <c r="L91" s="10"/>
      <c r="M91" s="107"/>
      <c r="N91" s="94"/>
      <c r="O91" s="99"/>
      <c r="P91" s="26"/>
      <c r="Q91" s="99"/>
      <c r="R91" s="108"/>
      <c r="S91" s="99"/>
      <c r="T91" s="100"/>
      <c r="U91" s="10"/>
      <c r="V91" s="10"/>
      <c r="W91" s="133"/>
    </row>
    <row r="92" spans="1:23" x14ac:dyDescent="0.25">
      <c r="A92" s="171"/>
      <c r="B92" s="171"/>
      <c r="C92" s="171"/>
      <c r="D92" s="171"/>
      <c r="E92" s="171"/>
      <c r="F92" s="171"/>
      <c r="G92" s="171"/>
      <c r="H92" s="171"/>
      <c r="I92" s="171"/>
      <c r="J92" s="171"/>
      <c r="K92" s="171"/>
      <c r="L92" s="171"/>
      <c r="M92" s="175"/>
      <c r="N92" s="171"/>
      <c r="O92" s="171"/>
      <c r="P92" s="171"/>
      <c r="Q92" s="171"/>
      <c r="R92" s="171"/>
      <c r="S92" s="171"/>
      <c r="T92" s="171"/>
      <c r="U92" s="171"/>
      <c r="V92" s="171"/>
      <c r="W92" s="171"/>
    </row>
    <row r="93" spans="1:23" x14ac:dyDescent="0.25">
      <c r="A93" s="171"/>
      <c r="B93" s="171"/>
      <c r="C93" s="171"/>
      <c r="D93" s="171"/>
      <c r="E93" s="171"/>
      <c r="F93" s="171"/>
      <c r="G93" s="171"/>
      <c r="H93" s="171"/>
      <c r="I93" s="171"/>
      <c r="J93" s="171"/>
      <c r="K93" s="171"/>
      <c r="L93" s="171"/>
      <c r="M93" s="175"/>
      <c r="N93" s="171"/>
      <c r="O93" s="171"/>
      <c r="P93" s="192" t="s">
        <v>127</v>
      </c>
      <c r="Q93" s="192"/>
      <c r="R93" s="192"/>
      <c r="S93" s="192"/>
      <c r="T93" s="192"/>
      <c r="U93" s="192"/>
      <c r="V93" s="192"/>
      <c r="W93" s="176"/>
    </row>
    <row r="94" spans="1:23" x14ac:dyDescent="0.25">
      <c r="A94" s="171"/>
      <c r="B94" s="171"/>
      <c r="C94" s="171"/>
      <c r="D94" s="171"/>
      <c r="E94" s="171"/>
      <c r="F94" s="171"/>
      <c r="G94" s="171"/>
      <c r="H94" s="171"/>
      <c r="I94" s="171"/>
      <c r="J94" s="171"/>
      <c r="K94" s="171"/>
      <c r="L94" s="171"/>
      <c r="M94" s="175"/>
      <c r="N94" s="171"/>
      <c r="O94" s="171"/>
      <c r="P94" s="192" t="s">
        <v>46</v>
      </c>
      <c r="Q94" s="192"/>
      <c r="R94" s="192"/>
      <c r="S94" s="192"/>
      <c r="T94" s="192"/>
      <c r="U94" s="192"/>
      <c r="V94" s="192"/>
      <c r="W94" s="176"/>
    </row>
    <row r="95" spans="1:23" x14ac:dyDescent="0.25">
      <c r="A95" s="171"/>
      <c r="B95" s="171"/>
      <c r="C95" s="171"/>
      <c r="D95" s="171"/>
      <c r="E95" s="171"/>
      <c r="F95" s="171"/>
      <c r="G95" s="171"/>
      <c r="H95" s="171"/>
      <c r="I95" s="171"/>
      <c r="J95" s="171"/>
      <c r="K95" s="171"/>
      <c r="L95" s="171"/>
      <c r="M95" s="175"/>
      <c r="N95" s="171"/>
      <c r="O95" s="171"/>
      <c r="P95" s="177"/>
      <c r="Q95" s="177"/>
      <c r="R95" s="177"/>
      <c r="S95" s="177"/>
      <c r="T95" s="177"/>
      <c r="U95" s="177"/>
      <c r="V95" s="177"/>
      <c r="W95" s="171"/>
    </row>
    <row r="96" spans="1:23" x14ac:dyDescent="0.25">
      <c r="A96" s="171"/>
      <c r="B96" s="171"/>
      <c r="C96" s="171"/>
      <c r="D96" s="171"/>
      <c r="E96" s="171"/>
      <c r="F96" s="171"/>
      <c r="G96" s="171"/>
      <c r="H96" s="171"/>
      <c r="I96" s="171"/>
      <c r="J96" s="171"/>
      <c r="K96" s="171"/>
      <c r="L96" s="171"/>
      <c r="M96" s="175"/>
      <c r="N96" s="171"/>
      <c r="O96" s="171"/>
      <c r="P96" s="177"/>
      <c r="Q96" s="177"/>
      <c r="R96" s="177"/>
      <c r="S96" s="177"/>
      <c r="T96" s="177"/>
      <c r="U96" s="177"/>
      <c r="V96" s="177"/>
      <c r="W96" s="171"/>
    </row>
    <row r="97" spans="1:23" x14ac:dyDescent="0.25">
      <c r="A97" s="171"/>
      <c r="B97" s="171"/>
      <c r="C97" s="171"/>
      <c r="D97" s="171"/>
      <c r="E97" s="171"/>
      <c r="F97" s="171"/>
      <c r="G97" s="171"/>
      <c r="H97" s="171"/>
      <c r="I97" s="171"/>
      <c r="J97" s="171"/>
      <c r="K97" s="171"/>
      <c r="L97" s="171"/>
      <c r="M97" s="175"/>
      <c r="N97" s="171"/>
      <c r="O97" s="171"/>
      <c r="P97" s="177"/>
      <c r="Q97" s="177"/>
      <c r="R97" s="177"/>
      <c r="S97" s="177"/>
      <c r="T97" s="177"/>
      <c r="U97" s="177"/>
      <c r="V97" s="177"/>
      <c r="W97" s="171"/>
    </row>
    <row r="98" spans="1:23" x14ac:dyDescent="0.25">
      <c r="A98" s="171"/>
      <c r="B98" s="171"/>
      <c r="C98" s="171"/>
      <c r="D98" s="171"/>
      <c r="E98" s="171"/>
      <c r="F98" s="171"/>
      <c r="G98" s="171"/>
      <c r="H98" s="171"/>
      <c r="I98" s="171"/>
      <c r="J98" s="171"/>
      <c r="K98" s="171"/>
      <c r="L98" s="171"/>
      <c r="M98" s="175"/>
      <c r="N98" s="171"/>
      <c r="O98" s="171"/>
      <c r="P98" s="177"/>
      <c r="Q98" s="177"/>
      <c r="R98" s="177"/>
      <c r="S98" s="177"/>
      <c r="T98" s="177"/>
      <c r="U98" s="177"/>
      <c r="V98" s="177"/>
      <c r="W98" s="171"/>
    </row>
    <row r="99" spans="1:23" x14ac:dyDescent="0.25">
      <c r="A99" s="171"/>
      <c r="B99" s="171"/>
      <c r="C99" s="171"/>
      <c r="D99" s="171"/>
      <c r="E99" s="171"/>
      <c r="F99" s="171"/>
      <c r="G99" s="171"/>
      <c r="H99" s="171"/>
      <c r="I99" s="171"/>
      <c r="J99" s="171"/>
      <c r="K99" s="171"/>
      <c r="L99" s="171"/>
      <c r="M99" s="175"/>
      <c r="N99" s="171"/>
      <c r="O99" s="171"/>
      <c r="P99" s="193" t="s">
        <v>70</v>
      </c>
      <c r="Q99" s="193"/>
      <c r="R99" s="193"/>
      <c r="S99" s="193"/>
      <c r="T99" s="193"/>
      <c r="U99" s="193"/>
      <c r="V99" s="193"/>
      <c r="W99" s="178"/>
    </row>
    <row r="100" spans="1:23" x14ac:dyDescent="0.25">
      <c r="A100" s="171"/>
      <c r="B100" s="171"/>
      <c r="C100" s="171"/>
      <c r="D100" s="171"/>
      <c r="E100" s="171"/>
      <c r="F100" s="171"/>
      <c r="G100" s="171"/>
      <c r="H100" s="171"/>
      <c r="I100" s="171"/>
      <c r="J100" s="171"/>
      <c r="K100" s="171"/>
      <c r="L100" s="171"/>
      <c r="M100" s="175"/>
      <c r="N100" s="171"/>
      <c r="O100" s="171"/>
      <c r="P100" s="189" t="s">
        <v>71</v>
      </c>
      <c r="Q100" s="189"/>
      <c r="R100" s="189"/>
      <c r="S100" s="189"/>
      <c r="T100" s="189"/>
      <c r="U100" s="189"/>
      <c r="V100" s="189"/>
      <c r="W100" s="179"/>
    </row>
  </sheetData>
  <mergeCells count="24"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T7"/>
    <mergeCell ref="N8:O8"/>
    <mergeCell ref="P8:Q8"/>
    <mergeCell ref="R8:S8"/>
    <mergeCell ref="P100:V100"/>
    <mergeCell ref="A10:J10"/>
    <mergeCell ref="L10:L11"/>
    <mergeCell ref="A11:J11"/>
    <mergeCell ref="P93:V93"/>
    <mergeCell ref="P94:V94"/>
    <mergeCell ref="P99:V99"/>
  </mergeCells>
  <pageMargins left="0.59055118110236227" right="0.59055118110236227" top="0.39370078740157483" bottom="0.19685039370078741" header="0.31496062992125984" footer="0.31496062992125984"/>
  <pageSetup paperSize="10000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C000"/>
  </sheetPr>
  <dimension ref="A1:X100"/>
  <sheetViews>
    <sheetView zoomScaleNormal="100" workbookViewId="0">
      <selection activeCell="A99" sqref="A99:XFD99"/>
    </sheetView>
  </sheetViews>
  <sheetFormatPr defaultRowHeight="15" x14ac:dyDescent="0.25"/>
  <cols>
    <col min="1" max="8" width="2.7109375" style="168" customWidth="1"/>
    <col min="9" max="9" width="3.140625" style="168" customWidth="1"/>
    <col min="10" max="10" width="3.5703125" style="168" customWidth="1"/>
    <col min="11" max="11" width="44.5703125" style="168" customWidth="1"/>
    <col min="12" max="12" width="11" style="168" customWidth="1"/>
    <col min="13" max="13" width="14.5703125" style="170" customWidth="1"/>
    <col min="14" max="14" width="13" style="168" customWidth="1"/>
    <col min="15" max="15" width="7.5703125" style="168" customWidth="1"/>
    <col min="16" max="16" width="13.28515625" style="168" customWidth="1"/>
    <col min="17" max="17" width="8" style="168" customWidth="1"/>
    <col min="18" max="18" width="13" style="168" customWidth="1"/>
    <col min="19" max="19" width="9.42578125" style="168" customWidth="1"/>
    <col min="20" max="20" width="11.140625" style="168" customWidth="1"/>
    <col min="21" max="21" width="13.7109375" style="168" customWidth="1"/>
    <col min="22" max="22" width="21.140625" style="168" customWidth="1"/>
    <col min="23" max="23" width="18.28515625" style="168" customWidth="1"/>
    <col min="24" max="24" width="15.5703125" style="168" bestFit="1" customWidth="1"/>
    <col min="25" max="25" width="12.85546875" style="168" bestFit="1" customWidth="1"/>
    <col min="26" max="16384" width="9.140625" style="168"/>
  </cols>
  <sheetData>
    <row r="1" spans="1:24" ht="16.5" x14ac:dyDescent="0.25">
      <c r="A1" s="194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67"/>
    </row>
    <row r="2" spans="1:24" ht="16.5" x14ac:dyDescent="0.25">
      <c r="A2" s="194" t="s">
        <v>72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67"/>
    </row>
    <row r="3" spans="1:24" ht="16.5" x14ac:dyDescent="0.25">
      <c r="A3" s="194" t="s">
        <v>73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67"/>
    </row>
    <row r="4" spans="1:24" ht="16.5" x14ac:dyDescent="0.25">
      <c r="A4" s="194" t="s">
        <v>89</v>
      </c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67"/>
    </row>
    <row r="5" spans="1:24" ht="18" x14ac:dyDescent="0.25">
      <c r="A5" s="169"/>
      <c r="B5" s="169"/>
      <c r="C5" s="169"/>
      <c r="D5" s="169"/>
      <c r="E5" s="169"/>
    </row>
    <row r="6" spans="1:24" x14ac:dyDescent="0.25">
      <c r="A6" s="195" t="s">
        <v>1</v>
      </c>
      <c r="B6" s="195"/>
      <c r="C6" s="195"/>
      <c r="D6" s="195"/>
      <c r="E6" s="195"/>
      <c r="F6" s="195"/>
      <c r="G6" s="195"/>
      <c r="H6" s="195"/>
      <c r="I6" s="195"/>
      <c r="J6" s="195"/>
      <c r="K6" s="195" t="s">
        <v>2</v>
      </c>
      <c r="L6" s="188" t="s">
        <v>3</v>
      </c>
      <c r="M6" s="196" t="s">
        <v>4</v>
      </c>
      <c r="N6" s="195" t="s">
        <v>5</v>
      </c>
      <c r="O6" s="195"/>
      <c r="P6" s="195"/>
      <c r="Q6" s="195"/>
      <c r="R6" s="195"/>
      <c r="S6" s="195"/>
      <c r="T6" s="195"/>
      <c r="U6" s="188" t="s">
        <v>6</v>
      </c>
      <c r="V6" s="188" t="s">
        <v>7</v>
      </c>
      <c r="W6" s="21"/>
    </row>
    <row r="7" spans="1:24" x14ac:dyDescent="0.25">
      <c r="A7" s="195"/>
      <c r="B7" s="195"/>
      <c r="C7" s="195"/>
      <c r="D7" s="195"/>
      <c r="E7" s="195"/>
      <c r="F7" s="195"/>
      <c r="G7" s="195"/>
      <c r="H7" s="195"/>
      <c r="I7" s="195"/>
      <c r="J7" s="195"/>
      <c r="K7" s="195"/>
      <c r="L7" s="188"/>
      <c r="M7" s="196"/>
      <c r="N7" s="200" t="s">
        <v>8</v>
      </c>
      <c r="O7" s="201"/>
      <c r="P7" s="200" t="s">
        <v>9</v>
      </c>
      <c r="Q7" s="201"/>
      <c r="R7" s="202" t="s">
        <v>10</v>
      </c>
      <c r="S7" s="203"/>
      <c r="T7" s="204"/>
      <c r="U7" s="188"/>
      <c r="V7" s="188"/>
      <c r="W7" s="21"/>
    </row>
    <row r="8" spans="1:24" x14ac:dyDescent="0.25">
      <c r="A8" s="195"/>
      <c r="B8" s="195"/>
      <c r="C8" s="195"/>
      <c r="D8" s="195"/>
      <c r="E8" s="195"/>
      <c r="F8" s="195"/>
      <c r="G8" s="195"/>
      <c r="H8" s="195"/>
      <c r="I8" s="195"/>
      <c r="J8" s="195"/>
      <c r="K8" s="195"/>
      <c r="L8" s="188"/>
      <c r="M8" s="196"/>
      <c r="N8" s="188" t="s">
        <v>11</v>
      </c>
      <c r="O8" s="188"/>
      <c r="P8" s="188" t="s">
        <v>11</v>
      </c>
      <c r="Q8" s="188"/>
      <c r="R8" s="188" t="s">
        <v>11</v>
      </c>
      <c r="S8" s="188"/>
      <c r="T8" s="151" t="s">
        <v>12</v>
      </c>
      <c r="U8" s="188"/>
      <c r="V8" s="188"/>
      <c r="W8" s="21"/>
    </row>
    <row r="9" spans="1:24" x14ac:dyDescent="0.25">
      <c r="A9" s="195"/>
      <c r="B9" s="195"/>
      <c r="C9" s="195"/>
      <c r="D9" s="195"/>
      <c r="E9" s="195"/>
      <c r="F9" s="195"/>
      <c r="G9" s="195"/>
      <c r="H9" s="195"/>
      <c r="I9" s="195"/>
      <c r="J9" s="195"/>
      <c r="K9" s="195"/>
      <c r="L9" s="188"/>
      <c r="M9" s="196"/>
      <c r="N9" s="151" t="s">
        <v>13</v>
      </c>
      <c r="O9" s="151" t="s">
        <v>14</v>
      </c>
      <c r="P9" s="151" t="s">
        <v>13</v>
      </c>
      <c r="Q9" s="151" t="s">
        <v>14</v>
      </c>
      <c r="R9" s="151" t="s">
        <v>13</v>
      </c>
      <c r="S9" s="151" t="s">
        <v>14</v>
      </c>
      <c r="T9" s="151" t="s">
        <v>14</v>
      </c>
      <c r="U9" s="188"/>
      <c r="V9" s="188"/>
      <c r="W9" s="21"/>
    </row>
    <row r="10" spans="1:24" s="171" customFormat="1" ht="26.25" customHeight="1" x14ac:dyDescent="0.25">
      <c r="A10" s="205" t="s">
        <v>74</v>
      </c>
      <c r="B10" s="206"/>
      <c r="C10" s="206"/>
      <c r="D10" s="206"/>
      <c r="E10" s="206"/>
      <c r="F10" s="206"/>
      <c r="G10" s="206"/>
      <c r="H10" s="206"/>
      <c r="I10" s="206"/>
      <c r="J10" s="207"/>
      <c r="K10" s="76" t="s">
        <v>72</v>
      </c>
      <c r="L10" s="198" t="s">
        <v>15</v>
      </c>
      <c r="M10" s="32"/>
      <c r="N10" s="3"/>
      <c r="O10" s="153"/>
      <c r="P10" s="153"/>
      <c r="Q10" s="153"/>
      <c r="R10" s="153"/>
      <c r="S10" s="153"/>
      <c r="T10" s="153"/>
      <c r="U10" s="153"/>
      <c r="V10" s="153"/>
      <c r="W10" s="22"/>
    </row>
    <row r="11" spans="1:24" s="171" customFormat="1" ht="39.950000000000003" customHeight="1" x14ac:dyDescent="0.25">
      <c r="A11" s="205" t="s">
        <v>75</v>
      </c>
      <c r="B11" s="206"/>
      <c r="C11" s="206"/>
      <c r="D11" s="206"/>
      <c r="E11" s="206"/>
      <c r="F11" s="206"/>
      <c r="G11" s="206"/>
      <c r="H11" s="206"/>
      <c r="I11" s="206"/>
      <c r="J11" s="207"/>
      <c r="K11" s="76" t="s">
        <v>16</v>
      </c>
      <c r="L11" s="199"/>
      <c r="M11" s="33">
        <f>M12</f>
        <v>908784000</v>
      </c>
      <c r="N11" s="3"/>
      <c r="O11" s="153"/>
      <c r="P11" s="153"/>
      <c r="Q11" s="153"/>
      <c r="R11" s="5"/>
      <c r="S11" s="153"/>
      <c r="T11" s="153"/>
      <c r="U11" s="158"/>
      <c r="V11" s="153"/>
      <c r="W11" s="22"/>
    </row>
    <row r="12" spans="1:24" ht="20.100000000000001" customHeight="1" x14ac:dyDescent="0.25">
      <c r="A12" s="8">
        <v>1</v>
      </c>
      <c r="B12" s="9" t="s">
        <v>17</v>
      </c>
      <c r="C12" s="9" t="s">
        <v>18</v>
      </c>
      <c r="D12" s="8">
        <v>38</v>
      </c>
      <c r="E12" s="8">
        <v>14</v>
      </c>
      <c r="F12" s="38">
        <v>5</v>
      </c>
      <c r="G12" s="38">
        <v>2</v>
      </c>
      <c r="H12" s="38"/>
      <c r="I12" s="39"/>
      <c r="J12" s="40"/>
      <c r="K12" s="77" t="s">
        <v>19</v>
      </c>
      <c r="L12" s="159"/>
      <c r="M12" s="93">
        <f>M13+M14+M15</f>
        <v>908784000</v>
      </c>
      <c r="N12" s="94">
        <f>februari!R12</f>
        <v>62955300</v>
      </c>
      <c r="O12" s="95">
        <f>N12/M12*100</f>
        <v>6.927421697565098</v>
      </c>
      <c r="P12" s="94">
        <f>P13+P14+P15</f>
        <v>104351420</v>
      </c>
      <c r="Q12" s="95">
        <f>P12/M12*100</f>
        <v>11.482532703040546</v>
      </c>
      <c r="R12" s="94">
        <f>R13+R14+R15</f>
        <v>167306720</v>
      </c>
      <c r="S12" s="95">
        <f>R12/M12*100</f>
        <v>18.409954400605642</v>
      </c>
      <c r="T12" s="96">
        <f>SUM(T13:T15)/3</f>
        <v>15.786609720998436</v>
      </c>
      <c r="U12" s="10"/>
      <c r="V12" s="10"/>
      <c r="W12" s="172"/>
    </row>
    <row r="13" spans="1:24" ht="20.100000000000001" customHeight="1" x14ac:dyDescent="0.25">
      <c r="A13" s="8">
        <v>1</v>
      </c>
      <c r="B13" s="9" t="s">
        <v>17</v>
      </c>
      <c r="C13" s="9" t="s">
        <v>18</v>
      </c>
      <c r="D13" s="8">
        <v>38</v>
      </c>
      <c r="E13" s="8">
        <v>14</v>
      </c>
      <c r="F13" s="41">
        <v>5</v>
      </c>
      <c r="G13" s="41">
        <v>2</v>
      </c>
      <c r="H13" s="41">
        <v>1</v>
      </c>
      <c r="I13" s="42"/>
      <c r="J13" s="43"/>
      <c r="K13" s="73" t="s">
        <v>20</v>
      </c>
      <c r="L13" s="159"/>
      <c r="M13" s="97">
        <f>M17</f>
        <v>545270400</v>
      </c>
      <c r="N13" s="94">
        <f>februari!R13</f>
        <v>39672000</v>
      </c>
      <c r="O13" s="99">
        <f t="shared" ref="O13:O76" si="0">N13/M13*100</f>
        <v>7.2756562615539009</v>
      </c>
      <c r="P13" s="98">
        <f>P17</f>
        <v>69649920</v>
      </c>
      <c r="Q13" s="99">
        <f t="shared" ref="Q13:Q76" si="1">P13/M13*100</f>
        <v>12.773464321554956</v>
      </c>
      <c r="R13" s="98">
        <f>N13+P13</f>
        <v>109321920</v>
      </c>
      <c r="S13" s="99">
        <f t="shared" ref="S13:S76" si="2">R13/M13*100</f>
        <v>20.049120583108856</v>
      </c>
      <c r="T13" s="100">
        <f>T17</f>
        <v>25</v>
      </c>
      <c r="U13" s="10"/>
      <c r="V13" s="10"/>
      <c r="W13" s="133"/>
      <c r="X13" s="182"/>
    </row>
    <row r="14" spans="1:24" ht="20.100000000000001" customHeight="1" x14ac:dyDescent="0.25">
      <c r="A14" s="8">
        <v>1</v>
      </c>
      <c r="B14" s="9" t="s">
        <v>17</v>
      </c>
      <c r="C14" s="9" t="s">
        <v>18</v>
      </c>
      <c r="D14" s="8">
        <v>38</v>
      </c>
      <c r="E14" s="8">
        <v>14</v>
      </c>
      <c r="F14" s="42" t="s">
        <v>21</v>
      </c>
      <c r="G14" s="42" t="s">
        <v>22</v>
      </c>
      <c r="H14" s="42" t="s">
        <v>22</v>
      </c>
      <c r="I14" s="44"/>
      <c r="J14" s="45"/>
      <c r="K14" s="78" t="s">
        <v>23</v>
      </c>
      <c r="L14" s="11"/>
      <c r="M14" s="97">
        <f>M21</f>
        <v>294813600</v>
      </c>
      <c r="N14" s="94">
        <f>februari!R14</f>
        <v>23283300</v>
      </c>
      <c r="O14" s="99">
        <f t="shared" si="0"/>
        <v>7.8976343018096866</v>
      </c>
      <c r="P14" s="98">
        <f>P21</f>
        <v>34701500</v>
      </c>
      <c r="Q14" s="99">
        <f t="shared" si="1"/>
        <v>11.770657798690427</v>
      </c>
      <c r="R14" s="98">
        <f>N14+P14</f>
        <v>57984800</v>
      </c>
      <c r="S14" s="99">
        <f t="shared" si="2"/>
        <v>19.668292100500111</v>
      </c>
      <c r="T14" s="100">
        <f>T21</f>
        <v>22.359829162995311</v>
      </c>
      <c r="U14" s="160"/>
      <c r="V14" s="10"/>
      <c r="W14" s="133"/>
    </row>
    <row r="15" spans="1:24" ht="20.100000000000001" customHeight="1" x14ac:dyDescent="0.25">
      <c r="A15" s="8">
        <v>1</v>
      </c>
      <c r="B15" s="9" t="s">
        <v>17</v>
      </c>
      <c r="C15" s="9" t="s">
        <v>18</v>
      </c>
      <c r="D15" s="8">
        <v>38</v>
      </c>
      <c r="E15" s="8">
        <v>14</v>
      </c>
      <c r="F15" s="42" t="s">
        <v>21</v>
      </c>
      <c r="G15" s="42" t="s">
        <v>22</v>
      </c>
      <c r="H15" s="42" t="s">
        <v>24</v>
      </c>
      <c r="I15" s="44"/>
      <c r="J15" s="45"/>
      <c r="K15" s="78" t="s">
        <v>25</v>
      </c>
      <c r="L15" s="11"/>
      <c r="M15" s="97">
        <f>M75</f>
        <v>68700000</v>
      </c>
      <c r="N15" s="94">
        <f>februari!R15</f>
        <v>0</v>
      </c>
      <c r="O15" s="99">
        <f t="shared" si="0"/>
        <v>0</v>
      </c>
      <c r="P15" s="98">
        <f>P75</f>
        <v>0</v>
      </c>
      <c r="Q15" s="99">
        <f t="shared" si="1"/>
        <v>0</v>
      </c>
      <c r="R15" s="98">
        <f>N15+P15</f>
        <v>0</v>
      </c>
      <c r="S15" s="99">
        <f t="shared" si="2"/>
        <v>0</v>
      </c>
      <c r="T15" s="100">
        <f>T75</f>
        <v>0</v>
      </c>
      <c r="U15" s="10"/>
      <c r="V15" s="10"/>
      <c r="W15" s="133"/>
    </row>
    <row r="16" spans="1:24" ht="9.9499999999999993" customHeight="1" x14ac:dyDescent="0.25">
      <c r="A16" s="8"/>
      <c r="B16" s="9"/>
      <c r="C16" s="9"/>
      <c r="D16" s="8"/>
      <c r="E16" s="8"/>
      <c r="F16" s="42"/>
      <c r="G16" s="42"/>
      <c r="H16" s="42"/>
      <c r="I16" s="44"/>
      <c r="J16" s="45"/>
      <c r="K16" s="78"/>
      <c r="L16" s="11"/>
      <c r="M16" s="97"/>
      <c r="N16" s="94">
        <f>februari!R16</f>
        <v>0</v>
      </c>
      <c r="O16" s="99"/>
      <c r="P16" s="101"/>
      <c r="Q16" s="99"/>
      <c r="R16" s="101"/>
      <c r="S16" s="99"/>
      <c r="T16" s="102"/>
      <c r="U16" s="10"/>
      <c r="V16" s="10"/>
      <c r="W16" s="133"/>
    </row>
    <row r="17" spans="1:24" ht="20.100000000000001" customHeight="1" x14ac:dyDescent="0.25">
      <c r="A17" s="8">
        <v>1</v>
      </c>
      <c r="B17" s="9" t="s">
        <v>17</v>
      </c>
      <c r="C17" s="9" t="s">
        <v>18</v>
      </c>
      <c r="D17" s="8">
        <v>38</v>
      </c>
      <c r="E17" s="8">
        <v>14</v>
      </c>
      <c r="F17" s="42" t="s">
        <v>21</v>
      </c>
      <c r="G17" s="42" t="s">
        <v>22</v>
      </c>
      <c r="H17" s="42" t="s">
        <v>26</v>
      </c>
      <c r="I17" s="42"/>
      <c r="J17" s="46"/>
      <c r="K17" s="79" t="s">
        <v>20</v>
      </c>
      <c r="L17" s="11"/>
      <c r="M17" s="103">
        <f>M18</f>
        <v>545270400</v>
      </c>
      <c r="N17" s="94">
        <f>februari!R17</f>
        <v>39672000</v>
      </c>
      <c r="O17" s="99">
        <f t="shared" si="0"/>
        <v>7.2756562615539009</v>
      </c>
      <c r="P17" s="104">
        <f>P18</f>
        <v>69649920</v>
      </c>
      <c r="Q17" s="95">
        <f t="shared" si="1"/>
        <v>12.773464321554956</v>
      </c>
      <c r="R17" s="104">
        <f>R18</f>
        <v>109321920</v>
      </c>
      <c r="S17" s="95">
        <f t="shared" si="2"/>
        <v>20.049120583108856</v>
      </c>
      <c r="T17" s="96">
        <f>T18</f>
        <v>25</v>
      </c>
      <c r="U17" s="10"/>
      <c r="V17" s="10"/>
      <c r="W17" s="133"/>
    </row>
    <row r="18" spans="1:24" ht="20.100000000000001" customHeight="1" x14ac:dyDescent="0.25">
      <c r="A18" s="8">
        <v>1</v>
      </c>
      <c r="B18" s="9" t="s">
        <v>17</v>
      </c>
      <c r="C18" s="9" t="s">
        <v>18</v>
      </c>
      <c r="D18" s="8">
        <v>38</v>
      </c>
      <c r="E18" s="8">
        <v>14</v>
      </c>
      <c r="F18" s="41">
        <v>5</v>
      </c>
      <c r="G18" s="41">
        <v>2</v>
      </c>
      <c r="H18" s="41">
        <v>1</v>
      </c>
      <c r="I18" s="42" t="s">
        <v>30</v>
      </c>
      <c r="J18" s="47"/>
      <c r="K18" s="80" t="s">
        <v>31</v>
      </c>
      <c r="L18" s="159"/>
      <c r="M18" s="105">
        <f>M19</f>
        <v>545270400</v>
      </c>
      <c r="N18" s="94">
        <f>februari!R18</f>
        <v>39672000</v>
      </c>
      <c r="O18" s="99">
        <f t="shared" si="0"/>
        <v>7.2756562615539009</v>
      </c>
      <c r="P18" s="106">
        <f>P19</f>
        <v>69649920</v>
      </c>
      <c r="Q18" s="95">
        <f t="shared" si="1"/>
        <v>12.773464321554956</v>
      </c>
      <c r="R18" s="106">
        <f>R19</f>
        <v>109321920</v>
      </c>
      <c r="S18" s="95">
        <f t="shared" si="2"/>
        <v>20.049120583108856</v>
      </c>
      <c r="T18" s="96">
        <f>T19</f>
        <v>25</v>
      </c>
      <c r="U18" s="10"/>
      <c r="V18" s="10"/>
      <c r="W18" s="133"/>
      <c r="X18" s="36">
        <v>40961340</v>
      </c>
    </row>
    <row r="19" spans="1:24" ht="15" customHeight="1" x14ac:dyDescent="0.25">
      <c r="A19" s="6"/>
      <c r="B19" s="7"/>
      <c r="C19" s="7"/>
      <c r="D19" s="6"/>
      <c r="E19" s="6"/>
      <c r="F19" s="41"/>
      <c r="G19" s="41"/>
      <c r="H19" s="41"/>
      <c r="I19" s="42"/>
      <c r="J19" s="43" t="s">
        <v>18</v>
      </c>
      <c r="K19" s="73" t="s">
        <v>32</v>
      </c>
      <c r="L19" s="161"/>
      <c r="M19" s="107">
        <v>545270400</v>
      </c>
      <c r="N19" s="94">
        <f>februari!R19</f>
        <v>39672000</v>
      </c>
      <c r="O19" s="99">
        <f t="shared" si="0"/>
        <v>7.2756562615539009</v>
      </c>
      <c r="P19" s="26">
        <v>69649920</v>
      </c>
      <c r="Q19" s="99">
        <f t="shared" si="1"/>
        <v>12.773464321554956</v>
      </c>
      <c r="R19" s="108">
        <f>N19+P19</f>
        <v>109321920</v>
      </c>
      <c r="S19" s="99">
        <f>R19/M19*100</f>
        <v>20.049120583108856</v>
      </c>
      <c r="T19" s="100">
        <f>3/12*100</f>
        <v>25</v>
      </c>
      <c r="U19" s="10"/>
      <c r="V19" s="10"/>
      <c r="W19" s="133"/>
    </row>
    <row r="20" spans="1:24" ht="9.9499999999999993" customHeight="1" x14ac:dyDescent="0.25">
      <c r="A20" s="10"/>
      <c r="B20" s="10"/>
      <c r="C20" s="10"/>
      <c r="D20" s="10"/>
      <c r="E20" s="10"/>
      <c r="F20" s="121"/>
      <c r="G20" s="121"/>
      <c r="H20" s="121"/>
      <c r="I20" s="122"/>
      <c r="J20" s="123"/>
      <c r="K20" s="73"/>
      <c r="L20" s="78"/>
      <c r="M20" s="107"/>
      <c r="N20" s="94">
        <f>februari!R20</f>
        <v>0</v>
      </c>
      <c r="O20" s="99"/>
      <c r="P20" s="101"/>
      <c r="Q20" s="99"/>
      <c r="R20" s="101"/>
      <c r="S20" s="99"/>
      <c r="T20" s="109"/>
      <c r="U20" s="10"/>
      <c r="V20" s="10"/>
      <c r="W20" s="133"/>
    </row>
    <row r="21" spans="1:24" ht="20.100000000000001" customHeight="1" x14ac:dyDescent="0.25">
      <c r="A21" s="8">
        <v>1</v>
      </c>
      <c r="B21" s="9" t="s">
        <v>17</v>
      </c>
      <c r="C21" s="9" t="s">
        <v>18</v>
      </c>
      <c r="D21" s="8">
        <v>38</v>
      </c>
      <c r="E21" s="8">
        <v>14</v>
      </c>
      <c r="F21" s="42" t="s">
        <v>21</v>
      </c>
      <c r="G21" s="42" t="s">
        <v>22</v>
      </c>
      <c r="H21" s="42" t="s">
        <v>22</v>
      </c>
      <c r="I21" s="48"/>
      <c r="J21" s="49"/>
      <c r="K21" s="79" t="s">
        <v>23</v>
      </c>
      <c r="L21" s="11"/>
      <c r="M21" s="105">
        <f>M22+M31+M34+M42+M46+M52+M55+M58+M68+M72+M64+M39+M49</f>
        <v>294813600</v>
      </c>
      <c r="N21" s="94">
        <f>februari!R21</f>
        <v>21283300</v>
      </c>
      <c r="O21" s="95">
        <f t="shared" si="0"/>
        <v>7.2192395466152179</v>
      </c>
      <c r="P21" s="106">
        <f>P22+P31+P34+P42+P46+P52+P55+P58+P68+P72+P39+P49+P64</f>
        <v>34701500</v>
      </c>
      <c r="Q21" s="95">
        <f t="shared" si="1"/>
        <v>11.770657798690427</v>
      </c>
      <c r="R21" s="106">
        <f>R22+R31+R34+R42+R46+R52+R55+R58+R68+R72+R39+R49</f>
        <v>54864800</v>
      </c>
      <c r="S21" s="95">
        <f>R21/M21*100</f>
        <v>18.60999628239674</v>
      </c>
      <c r="T21" s="110">
        <f>(T22+T31+T34+T42+T46+T52+T55+T58+T68+T72+T39+T49)/13</f>
        <v>22.359829162995311</v>
      </c>
      <c r="U21" s="160"/>
      <c r="V21" s="10"/>
      <c r="W21" s="133"/>
    </row>
    <row r="22" spans="1:24" ht="20.100000000000001" customHeight="1" x14ac:dyDescent="0.25">
      <c r="A22" s="6">
        <v>1</v>
      </c>
      <c r="B22" s="9" t="s">
        <v>17</v>
      </c>
      <c r="C22" s="9" t="s">
        <v>18</v>
      </c>
      <c r="D22" s="8">
        <v>38</v>
      </c>
      <c r="E22" s="8">
        <v>14</v>
      </c>
      <c r="F22" s="42" t="s">
        <v>21</v>
      </c>
      <c r="G22" s="42" t="s">
        <v>22</v>
      </c>
      <c r="H22" s="42" t="s">
        <v>22</v>
      </c>
      <c r="I22" s="42" t="s">
        <v>18</v>
      </c>
      <c r="J22" s="43"/>
      <c r="K22" s="79" t="s">
        <v>33</v>
      </c>
      <c r="L22" s="17"/>
      <c r="M22" s="105">
        <f>SUM(M23:M29)</f>
        <v>119064100</v>
      </c>
      <c r="N22" s="94">
        <f>februari!R22</f>
        <v>8040900</v>
      </c>
      <c r="O22" s="95">
        <f t="shared" si="0"/>
        <v>6.7534210563889534</v>
      </c>
      <c r="P22" s="111">
        <f>SUM(P23:P29)</f>
        <v>145000</v>
      </c>
      <c r="Q22" s="95">
        <f t="shared" si="1"/>
        <v>0.12178314034205105</v>
      </c>
      <c r="R22" s="111">
        <f>SUM(R23:R29)</f>
        <v>8185900</v>
      </c>
      <c r="S22" s="95">
        <f t="shared" si="2"/>
        <v>6.8752041967310049</v>
      </c>
      <c r="T22" s="96">
        <f>SUM(T23:T29)/7</f>
        <v>16.071428571428573</v>
      </c>
      <c r="U22" s="10"/>
      <c r="V22" s="10"/>
      <c r="W22" s="183">
        <f>R21-R14</f>
        <v>-3120000</v>
      </c>
    </row>
    <row r="23" spans="1:24" ht="15" customHeight="1" x14ac:dyDescent="0.25">
      <c r="A23" s="10"/>
      <c r="B23" s="10"/>
      <c r="C23" s="10"/>
      <c r="D23" s="10"/>
      <c r="E23" s="10"/>
      <c r="F23" s="48"/>
      <c r="G23" s="48"/>
      <c r="H23" s="48"/>
      <c r="I23" s="48"/>
      <c r="J23" s="50" t="s">
        <v>18</v>
      </c>
      <c r="K23" s="81" t="s">
        <v>99</v>
      </c>
      <c r="L23" s="73"/>
      <c r="M23" s="97">
        <v>14306500</v>
      </c>
      <c r="N23" s="94">
        <f>februari!R23</f>
        <v>7360900</v>
      </c>
      <c r="O23" s="99">
        <f t="shared" si="0"/>
        <v>51.451438157480865</v>
      </c>
      <c r="P23" s="26"/>
      <c r="Q23" s="99">
        <f t="shared" si="1"/>
        <v>0</v>
      </c>
      <c r="R23" s="112">
        <f>N23+P23</f>
        <v>7360900</v>
      </c>
      <c r="S23" s="99">
        <f t="shared" si="2"/>
        <v>51.451438157480865</v>
      </c>
      <c r="T23" s="100">
        <f>1/2*100</f>
        <v>50</v>
      </c>
      <c r="U23" s="10"/>
      <c r="V23" s="10"/>
      <c r="W23" s="133"/>
    </row>
    <row r="24" spans="1:24" ht="15" customHeight="1" x14ac:dyDescent="0.25">
      <c r="A24" s="6"/>
      <c r="B24" s="7"/>
      <c r="C24" s="7"/>
      <c r="D24" s="6"/>
      <c r="E24" s="6"/>
      <c r="F24" s="48"/>
      <c r="G24" s="48"/>
      <c r="H24" s="48"/>
      <c r="I24" s="48"/>
      <c r="J24" s="50" t="s">
        <v>35</v>
      </c>
      <c r="K24" s="74" t="s">
        <v>100</v>
      </c>
      <c r="L24" s="12"/>
      <c r="M24" s="97">
        <v>780000</v>
      </c>
      <c r="N24" s="94">
        <f>februari!R24</f>
        <v>390000</v>
      </c>
      <c r="O24" s="99">
        <f t="shared" si="0"/>
        <v>50</v>
      </c>
      <c r="P24" s="101"/>
      <c r="Q24" s="99">
        <f t="shared" si="1"/>
        <v>0</v>
      </c>
      <c r="R24" s="112">
        <f>N24+P24</f>
        <v>390000</v>
      </c>
      <c r="S24" s="99">
        <f t="shared" si="2"/>
        <v>50</v>
      </c>
      <c r="T24" s="100">
        <f>1/2*100</f>
        <v>50</v>
      </c>
      <c r="U24" s="10"/>
      <c r="V24" s="10"/>
      <c r="W24" s="133"/>
    </row>
    <row r="25" spans="1:24" ht="15" customHeight="1" x14ac:dyDescent="0.25">
      <c r="A25" s="6"/>
      <c r="B25" s="7"/>
      <c r="C25" s="7"/>
      <c r="D25" s="6"/>
      <c r="E25" s="6"/>
      <c r="F25" s="48"/>
      <c r="G25" s="48"/>
      <c r="H25" s="48"/>
      <c r="I25" s="48"/>
      <c r="J25" s="43" t="s">
        <v>28</v>
      </c>
      <c r="K25" s="81" t="s">
        <v>101</v>
      </c>
      <c r="L25" s="12"/>
      <c r="M25" s="97">
        <v>2000000</v>
      </c>
      <c r="N25" s="94">
        <f>februari!R25</f>
        <v>0</v>
      </c>
      <c r="O25" s="99">
        <f t="shared" si="0"/>
        <v>0</v>
      </c>
      <c r="P25" s="101"/>
      <c r="Q25" s="99">
        <f t="shared" si="1"/>
        <v>0</v>
      </c>
      <c r="R25" s="112">
        <f t="shared" ref="R25:R29" si="3">N25+P25</f>
        <v>0</v>
      </c>
      <c r="S25" s="99">
        <f t="shared" si="2"/>
        <v>0</v>
      </c>
      <c r="T25" s="100">
        <f>0/10*100</f>
        <v>0</v>
      </c>
      <c r="U25" s="10"/>
      <c r="V25" s="10"/>
      <c r="W25" s="133"/>
    </row>
    <row r="26" spans="1:24" ht="15" customHeight="1" x14ac:dyDescent="0.25">
      <c r="A26" s="6"/>
      <c r="B26" s="7"/>
      <c r="C26" s="7"/>
      <c r="D26" s="6"/>
      <c r="E26" s="6"/>
      <c r="F26" s="48"/>
      <c r="G26" s="48"/>
      <c r="H26" s="48"/>
      <c r="I26" s="51"/>
      <c r="J26" s="43" t="s">
        <v>50</v>
      </c>
      <c r="K26" s="81" t="s">
        <v>102</v>
      </c>
      <c r="L26" s="12"/>
      <c r="M26" s="97">
        <v>800000</v>
      </c>
      <c r="N26" s="94">
        <f>februari!R26</f>
        <v>0</v>
      </c>
      <c r="O26" s="99">
        <f t="shared" si="0"/>
        <v>0</v>
      </c>
      <c r="P26" s="101"/>
      <c r="Q26" s="99">
        <f t="shared" si="1"/>
        <v>0</v>
      </c>
      <c r="R26" s="112">
        <f t="shared" si="3"/>
        <v>0</v>
      </c>
      <c r="S26" s="99">
        <f t="shared" si="2"/>
        <v>0</v>
      </c>
      <c r="T26" s="100">
        <f>0/2*100</f>
        <v>0</v>
      </c>
      <c r="U26" s="10"/>
      <c r="V26" s="10"/>
      <c r="W26" s="133"/>
    </row>
    <row r="27" spans="1:24" ht="15" customHeight="1" x14ac:dyDescent="0.25">
      <c r="A27" s="6"/>
      <c r="B27" s="7"/>
      <c r="C27" s="7"/>
      <c r="D27" s="6"/>
      <c r="E27" s="6"/>
      <c r="F27" s="121"/>
      <c r="G27" s="122"/>
      <c r="H27" s="122"/>
      <c r="I27" s="124"/>
      <c r="J27" s="52" t="s">
        <v>30</v>
      </c>
      <c r="K27" s="82" t="s">
        <v>103</v>
      </c>
      <c r="L27" s="12"/>
      <c r="M27" s="97">
        <v>2610000</v>
      </c>
      <c r="N27" s="94">
        <f>februari!R27</f>
        <v>290000</v>
      </c>
      <c r="O27" s="99">
        <f t="shared" si="0"/>
        <v>11.111111111111111</v>
      </c>
      <c r="P27" s="132">
        <v>145000</v>
      </c>
      <c r="Q27" s="99">
        <f t="shared" si="1"/>
        <v>5.5555555555555554</v>
      </c>
      <c r="R27" s="112">
        <f t="shared" si="3"/>
        <v>435000</v>
      </c>
      <c r="S27" s="99">
        <f t="shared" si="2"/>
        <v>16.666666666666664</v>
      </c>
      <c r="T27" s="100">
        <f>3/24*100</f>
        <v>12.5</v>
      </c>
      <c r="U27" s="10"/>
      <c r="V27" s="10"/>
      <c r="W27" s="133"/>
    </row>
    <row r="28" spans="1:24" ht="15" customHeight="1" x14ac:dyDescent="0.25">
      <c r="A28" s="6"/>
      <c r="B28" s="7"/>
      <c r="C28" s="7"/>
      <c r="D28" s="6"/>
      <c r="E28" s="6"/>
      <c r="F28" s="48"/>
      <c r="G28" s="48"/>
      <c r="H28" s="48"/>
      <c r="I28" s="53"/>
      <c r="J28" s="43" t="s">
        <v>37</v>
      </c>
      <c r="K28" s="74" t="s">
        <v>38</v>
      </c>
      <c r="L28" s="162"/>
      <c r="M28" s="97">
        <v>98117600</v>
      </c>
      <c r="N28" s="94">
        <f>februari!R28</f>
        <v>0</v>
      </c>
      <c r="O28" s="99">
        <f t="shared" si="0"/>
        <v>0</v>
      </c>
      <c r="P28" s="26"/>
      <c r="Q28" s="99">
        <f t="shared" si="1"/>
        <v>0</v>
      </c>
      <c r="R28" s="112">
        <f t="shared" si="3"/>
        <v>0</v>
      </c>
      <c r="S28" s="99">
        <f t="shared" si="2"/>
        <v>0</v>
      </c>
      <c r="T28" s="100">
        <f>0/2*100</f>
        <v>0</v>
      </c>
      <c r="U28" s="10"/>
      <c r="V28" s="10"/>
      <c r="W28" s="133"/>
    </row>
    <row r="29" spans="1:24" ht="15" customHeight="1" x14ac:dyDescent="0.25">
      <c r="A29" s="6"/>
      <c r="B29" s="7"/>
      <c r="C29" s="7"/>
      <c r="D29" s="6"/>
      <c r="E29" s="6"/>
      <c r="F29" s="48"/>
      <c r="G29" s="48"/>
      <c r="H29" s="48"/>
      <c r="I29" s="48"/>
      <c r="J29" s="43" t="s">
        <v>44</v>
      </c>
      <c r="K29" s="74" t="s">
        <v>104</v>
      </c>
      <c r="L29" s="161"/>
      <c r="M29" s="97">
        <v>450000</v>
      </c>
      <c r="N29" s="94">
        <f>februari!R29</f>
        <v>0</v>
      </c>
      <c r="O29" s="99">
        <f t="shared" si="0"/>
        <v>0</v>
      </c>
      <c r="P29" s="101"/>
      <c r="Q29" s="99">
        <f t="shared" si="1"/>
        <v>0</v>
      </c>
      <c r="R29" s="112">
        <f t="shared" si="3"/>
        <v>0</v>
      </c>
      <c r="S29" s="99">
        <f t="shared" si="2"/>
        <v>0</v>
      </c>
      <c r="T29" s="100">
        <f>0/3*100</f>
        <v>0</v>
      </c>
      <c r="U29" s="10"/>
      <c r="V29" s="10"/>
      <c r="W29" s="133"/>
    </row>
    <row r="30" spans="1:24" ht="9.9499999999999993" customHeight="1" x14ac:dyDescent="0.25">
      <c r="A30" s="6"/>
      <c r="B30" s="7"/>
      <c r="C30" s="7"/>
      <c r="D30" s="6"/>
      <c r="E30" s="6"/>
      <c r="F30" s="54"/>
      <c r="G30" s="54"/>
      <c r="H30" s="54"/>
      <c r="I30" s="55"/>
      <c r="J30" s="56"/>
      <c r="K30" s="83"/>
      <c r="L30" s="163"/>
      <c r="M30" s="115"/>
      <c r="N30" s="94">
        <f>februari!R30</f>
        <v>0</v>
      </c>
      <c r="O30" s="99"/>
      <c r="P30" s="101"/>
      <c r="Q30" s="99"/>
      <c r="R30" s="101"/>
      <c r="S30" s="99"/>
      <c r="T30" s="101"/>
      <c r="U30" s="10"/>
      <c r="V30" s="10"/>
      <c r="W30" s="133"/>
    </row>
    <row r="31" spans="1:24" ht="20.100000000000001" customHeight="1" x14ac:dyDescent="0.25">
      <c r="A31" s="8">
        <v>1</v>
      </c>
      <c r="B31" s="9" t="s">
        <v>17</v>
      </c>
      <c r="C31" s="9" t="s">
        <v>18</v>
      </c>
      <c r="D31" s="8">
        <v>38</v>
      </c>
      <c r="E31" s="8">
        <v>14</v>
      </c>
      <c r="F31" s="41">
        <v>5</v>
      </c>
      <c r="G31" s="41">
        <v>2</v>
      </c>
      <c r="H31" s="41">
        <v>2</v>
      </c>
      <c r="I31" s="42" t="s">
        <v>17</v>
      </c>
      <c r="J31" s="46"/>
      <c r="K31" s="80" t="s">
        <v>39</v>
      </c>
      <c r="L31" s="14"/>
      <c r="M31" s="105">
        <f>M32</f>
        <v>2400000</v>
      </c>
      <c r="N31" s="94">
        <f>februari!R31</f>
        <v>400000</v>
      </c>
      <c r="O31" s="99">
        <f t="shared" si="0"/>
        <v>16.666666666666664</v>
      </c>
      <c r="P31" s="94">
        <f>P32</f>
        <v>200000</v>
      </c>
      <c r="Q31" s="95">
        <f t="shared" si="1"/>
        <v>8.3333333333333321</v>
      </c>
      <c r="R31" s="116">
        <f>R32</f>
        <v>600000</v>
      </c>
      <c r="S31" s="95">
        <f t="shared" si="2"/>
        <v>25</v>
      </c>
      <c r="T31" s="95">
        <f>(T32)/1</f>
        <v>25</v>
      </c>
      <c r="U31" s="10"/>
      <c r="V31" s="10"/>
      <c r="W31" s="133"/>
    </row>
    <row r="32" spans="1:24" ht="15" customHeight="1" x14ac:dyDescent="0.25">
      <c r="A32" s="6"/>
      <c r="B32" s="7"/>
      <c r="C32" s="7"/>
      <c r="D32" s="6"/>
      <c r="E32" s="6"/>
      <c r="F32" s="48"/>
      <c r="G32" s="48"/>
      <c r="H32" s="48"/>
      <c r="I32" s="53"/>
      <c r="J32" s="43" t="s">
        <v>28</v>
      </c>
      <c r="K32" s="74" t="s">
        <v>40</v>
      </c>
      <c r="L32" s="12"/>
      <c r="M32" s="97">
        <v>2400000</v>
      </c>
      <c r="N32" s="94">
        <f>februari!R32</f>
        <v>400000</v>
      </c>
      <c r="O32" s="99">
        <f t="shared" si="0"/>
        <v>16.666666666666664</v>
      </c>
      <c r="P32" s="26">
        <v>200000</v>
      </c>
      <c r="Q32" s="99">
        <f t="shared" si="1"/>
        <v>8.3333333333333321</v>
      </c>
      <c r="R32" s="101">
        <f t="shared" ref="R32" si="4">N32+P32</f>
        <v>600000</v>
      </c>
      <c r="S32" s="99">
        <f t="shared" si="2"/>
        <v>25</v>
      </c>
      <c r="T32" s="100">
        <f>30/120*100</f>
        <v>25</v>
      </c>
      <c r="U32" s="10"/>
      <c r="V32" s="10"/>
      <c r="W32" s="133"/>
    </row>
    <row r="33" spans="1:24" ht="9.9499999999999993" customHeight="1" x14ac:dyDescent="0.25">
      <c r="A33" s="10"/>
      <c r="B33" s="10"/>
      <c r="C33" s="10"/>
      <c r="D33" s="10"/>
      <c r="E33" s="10"/>
      <c r="F33" s="54"/>
      <c r="G33" s="54"/>
      <c r="H33" s="54"/>
      <c r="I33" s="48"/>
      <c r="J33" s="43"/>
      <c r="K33" s="73"/>
      <c r="L33" s="13"/>
      <c r="M33" s="107"/>
      <c r="N33" s="94">
        <f>februari!R33</f>
        <v>0</v>
      </c>
      <c r="O33" s="99"/>
      <c r="P33" s="101"/>
      <c r="Q33" s="99"/>
      <c r="R33" s="101"/>
      <c r="S33" s="99"/>
      <c r="T33" s="101"/>
      <c r="U33" s="10"/>
      <c r="V33" s="10"/>
      <c r="W33" s="133"/>
    </row>
    <row r="34" spans="1:24" ht="20.100000000000001" customHeight="1" x14ac:dyDescent="0.25">
      <c r="A34" s="8">
        <v>1</v>
      </c>
      <c r="B34" s="9" t="s">
        <v>17</v>
      </c>
      <c r="C34" s="9" t="s">
        <v>18</v>
      </c>
      <c r="D34" s="8">
        <v>38</v>
      </c>
      <c r="E34" s="8">
        <v>14</v>
      </c>
      <c r="F34" s="41">
        <v>5</v>
      </c>
      <c r="G34" s="41">
        <v>2</v>
      </c>
      <c r="H34" s="41">
        <v>2</v>
      </c>
      <c r="I34" s="42" t="s">
        <v>34</v>
      </c>
      <c r="J34" s="46"/>
      <c r="K34" s="80" t="s">
        <v>52</v>
      </c>
      <c r="L34" s="14"/>
      <c r="M34" s="103">
        <f>M35+M37+M36</f>
        <v>19800000</v>
      </c>
      <c r="N34" s="94">
        <f>februari!R34</f>
        <v>1742400</v>
      </c>
      <c r="O34" s="99">
        <f t="shared" si="0"/>
        <v>8.7999999999999989</v>
      </c>
      <c r="P34" s="116">
        <f>P35+P36+P37</f>
        <v>1994700</v>
      </c>
      <c r="Q34" s="95">
        <f t="shared" si="1"/>
        <v>10.074242424242424</v>
      </c>
      <c r="R34" s="116">
        <f>R35+R36</f>
        <v>2617100</v>
      </c>
      <c r="S34" s="95">
        <f>R34/M34*100</f>
        <v>13.217676767676767</v>
      </c>
      <c r="T34" s="95">
        <f>SUM(T35:T37)/3</f>
        <v>27.777777777777775</v>
      </c>
      <c r="U34" s="10"/>
      <c r="V34" s="10"/>
      <c r="W34" s="133"/>
    </row>
    <row r="35" spans="1:24" ht="15" customHeight="1" x14ac:dyDescent="0.25">
      <c r="A35" s="10"/>
      <c r="B35" s="10"/>
      <c r="C35" s="10"/>
      <c r="D35" s="10"/>
      <c r="E35" s="10"/>
      <c r="F35" s="54"/>
      <c r="G35" s="54"/>
      <c r="H35" s="54"/>
      <c r="I35" s="48"/>
      <c r="J35" s="43" t="s">
        <v>28</v>
      </c>
      <c r="K35" s="73" t="s">
        <v>41</v>
      </c>
      <c r="L35" s="164"/>
      <c r="M35" s="97">
        <v>12000000</v>
      </c>
      <c r="N35" s="94">
        <f>februari!R35</f>
        <v>1735400</v>
      </c>
      <c r="O35" s="99">
        <f t="shared" si="0"/>
        <v>14.461666666666668</v>
      </c>
      <c r="P35" s="26">
        <v>867700</v>
      </c>
      <c r="Q35" s="99">
        <f t="shared" si="1"/>
        <v>7.2308333333333339</v>
      </c>
      <c r="R35" s="101">
        <f>N35+P35</f>
        <v>2603100</v>
      </c>
      <c r="S35" s="99">
        <f>R35/M35*100</f>
        <v>21.692499999999999</v>
      </c>
      <c r="T35" s="99">
        <f>3/12*100</f>
        <v>25</v>
      </c>
      <c r="U35" s="10"/>
      <c r="V35" s="10"/>
      <c r="W35" s="133"/>
    </row>
    <row r="36" spans="1:24" ht="15" customHeight="1" x14ac:dyDescent="0.25">
      <c r="A36" s="6"/>
      <c r="B36" s="7"/>
      <c r="C36" s="7"/>
      <c r="D36" s="6"/>
      <c r="E36" s="6"/>
      <c r="F36" s="54"/>
      <c r="G36" s="54"/>
      <c r="H36" s="54"/>
      <c r="I36" s="48"/>
      <c r="J36" s="43" t="s">
        <v>29</v>
      </c>
      <c r="K36" s="74" t="s">
        <v>42</v>
      </c>
      <c r="L36" s="54"/>
      <c r="M36" s="107">
        <v>600000</v>
      </c>
      <c r="N36" s="94">
        <f>februari!R36</f>
        <v>7000</v>
      </c>
      <c r="O36" s="99">
        <f t="shared" si="0"/>
        <v>1.1666666666666667</v>
      </c>
      <c r="P36" s="26">
        <v>7000</v>
      </c>
      <c r="Q36" s="99">
        <f t="shared" si="1"/>
        <v>1.1666666666666667</v>
      </c>
      <c r="R36" s="101">
        <f>N36+P36</f>
        <v>14000</v>
      </c>
      <c r="S36" s="99">
        <f>R36/M36*100</f>
        <v>2.3333333333333335</v>
      </c>
      <c r="T36" s="100">
        <f>3/12*100</f>
        <v>25</v>
      </c>
      <c r="U36" s="10"/>
      <c r="V36" s="10"/>
      <c r="W36" s="133"/>
    </row>
    <row r="37" spans="1:24" ht="24.95" customHeight="1" x14ac:dyDescent="0.25">
      <c r="A37" s="10"/>
      <c r="B37" s="10"/>
      <c r="C37" s="10"/>
      <c r="D37" s="10"/>
      <c r="E37" s="10"/>
      <c r="F37" s="57"/>
      <c r="G37" s="57"/>
      <c r="H37" s="57"/>
      <c r="I37" s="125"/>
      <c r="J37" s="58" t="s">
        <v>47</v>
      </c>
      <c r="K37" s="75" t="s">
        <v>64</v>
      </c>
      <c r="L37" s="164"/>
      <c r="M37" s="97">
        <v>7200000</v>
      </c>
      <c r="N37" s="94">
        <f>februari!R37</f>
        <v>0</v>
      </c>
      <c r="O37" s="99">
        <f t="shared" si="0"/>
        <v>0</v>
      </c>
      <c r="P37" s="101">
        <v>1120000</v>
      </c>
      <c r="Q37" s="99">
        <f t="shared" si="1"/>
        <v>15.555555555555555</v>
      </c>
      <c r="R37" s="101">
        <f>N37+P37</f>
        <v>1120000</v>
      </c>
      <c r="S37" s="99">
        <f t="shared" si="2"/>
        <v>15.555555555555555</v>
      </c>
      <c r="T37" s="100">
        <f>1/3*100</f>
        <v>33.333333333333329</v>
      </c>
      <c r="U37" s="10"/>
      <c r="V37" s="10"/>
      <c r="W37" s="133"/>
    </row>
    <row r="38" spans="1:24" ht="9.9499999999999993" customHeight="1" x14ac:dyDescent="0.25">
      <c r="A38" s="10"/>
      <c r="B38" s="10"/>
      <c r="C38" s="10"/>
      <c r="D38" s="10"/>
      <c r="E38" s="10"/>
      <c r="F38" s="57"/>
      <c r="G38" s="57"/>
      <c r="H38" s="57"/>
      <c r="I38" s="125"/>
      <c r="J38" s="126"/>
      <c r="K38" s="84"/>
      <c r="L38" s="165"/>
      <c r="M38" s="115"/>
      <c r="N38" s="94">
        <f>februari!R38</f>
        <v>0</v>
      </c>
      <c r="O38" s="99"/>
      <c r="P38" s="101"/>
      <c r="Q38" s="99"/>
      <c r="R38" s="101"/>
      <c r="S38" s="99"/>
      <c r="T38" s="101"/>
      <c r="U38" s="10"/>
      <c r="V38" s="10"/>
      <c r="W38" s="133"/>
    </row>
    <row r="39" spans="1:24" ht="20.100000000000001" customHeight="1" x14ac:dyDescent="0.25">
      <c r="A39" s="8">
        <v>1</v>
      </c>
      <c r="B39" s="9" t="s">
        <v>17</v>
      </c>
      <c r="C39" s="9" t="s">
        <v>18</v>
      </c>
      <c r="D39" s="8">
        <v>38</v>
      </c>
      <c r="E39" s="8">
        <v>14</v>
      </c>
      <c r="F39" s="41">
        <v>5</v>
      </c>
      <c r="G39" s="41">
        <v>2</v>
      </c>
      <c r="H39" s="41">
        <v>2</v>
      </c>
      <c r="I39" s="42" t="s">
        <v>27</v>
      </c>
      <c r="J39" s="155"/>
      <c r="K39" s="154" t="s">
        <v>105</v>
      </c>
      <c r="L39" s="14"/>
      <c r="M39" s="103">
        <f>M40</f>
        <v>900000</v>
      </c>
      <c r="N39" s="94">
        <f>februari!R39</f>
        <v>0</v>
      </c>
      <c r="O39" s="99">
        <f t="shared" si="0"/>
        <v>0</v>
      </c>
      <c r="P39" s="101">
        <f>P40</f>
        <v>0</v>
      </c>
      <c r="Q39" s="99">
        <f t="shared" si="1"/>
        <v>0</v>
      </c>
      <c r="R39" s="101">
        <f>R40</f>
        <v>0</v>
      </c>
      <c r="S39" s="99">
        <f t="shared" si="2"/>
        <v>0</v>
      </c>
      <c r="T39" s="96">
        <f>T40</f>
        <v>0</v>
      </c>
      <c r="U39" s="10"/>
      <c r="V39" s="10"/>
      <c r="W39" s="133"/>
    </row>
    <row r="40" spans="1:24" ht="15" customHeight="1" x14ac:dyDescent="0.25">
      <c r="A40" s="63"/>
      <c r="B40" s="63"/>
      <c r="C40" s="63"/>
      <c r="D40" s="63"/>
      <c r="E40" s="63"/>
      <c r="F40" s="57"/>
      <c r="G40" s="57"/>
      <c r="H40" s="57"/>
      <c r="I40" s="67"/>
      <c r="J40" s="43" t="s">
        <v>17</v>
      </c>
      <c r="K40" s="75" t="s">
        <v>106</v>
      </c>
      <c r="L40" s="13"/>
      <c r="M40" s="97">
        <v>900000</v>
      </c>
      <c r="N40" s="94">
        <f>februari!R40</f>
        <v>0</v>
      </c>
      <c r="O40" s="99">
        <f t="shared" si="0"/>
        <v>0</v>
      </c>
      <c r="P40" s="101"/>
      <c r="Q40" s="99">
        <f t="shared" si="1"/>
        <v>0</v>
      </c>
      <c r="R40" s="101">
        <f>N40+P40</f>
        <v>0</v>
      </c>
      <c r="S40" s="99">
        <f t="shared" si="2"/>
        <v>0</v>
      </c>
      <c r="T40" s="100">
        <f>0/1*100</f>
        <v>0</v>
      </c>
      <c r="U40" s="10"/>
      <c r="V40" s="10"/>
      <c r="W40" s="133"/>
    </row>
    <row r="41" spans="1:24" ht="9.9499999999999993" customHeight="1" x14ac:dyDescent="0.25">
      <c r="A41" s="63"/>
      <c r="B41" s="63"/>
      <c r="C41" s="63"/>
      <c r="D41" s="63"/>
      <c r="E41" s="63"/>
      <c r="F41" s="57"/>
      <c r="G41" s="57"/>
      <c r="H41" s="57"/>
      <c r="I41" s="67"/>
      <c r="J41" s="68"/>
      <c r="K41" s="84"/>
      <c r="L41" s="165"/>
      <c r="M41" s="115"/>
      <c r="N41" s="94">
        <f>februari!R41</f>
        <v>0</v>
      </c>
      <c r="O41" s="99"/>
      <c r="P41" s="101"/>
      <c r="Q41" s="99"/>
      <c r="R41" s="101"/>
      <c r="S41" s="99"/>
      <c r="T41" s="101"/>
      <c r="U41" s="10"/>
      <c r="V41" s="10"/>
      <c r="W41" s="133"/>
    </row>
    <row r="42" spans="1:24" ht="20.100000000000001" customHeight="1" x14ac:dyDescent="0.25">
      <c r="A42" s="8">
        <v>1</v>
      </c>
      <c r="B42" s="9" t="s">
        <v>17</v>
      </c>
      <c r="C42" s="9" t="s">
        <v>18</v>
      </c>
      <c r="D42" s="8">
        <v>38</v>
      </c>
      <c r="E42" s="8">
        <v>14</v>
      </c>
      <c r="F42" s="42" t="s">
        <v>21</v>
      </c>
      <c r="G42" s="42" t="s">
        <v>22</v>
      </c>
      <c r="H42" s="42" t="s">
        <v>22</v>
      </c>
      <c r="I42" s="60" t="s">
        <v>28</v>
      </c>
      <c r="J42" s="56"/>
      <c r="K42" s="85" t="s">
        <v>53</v>
      </c>
      <c r="L42" s="14"/>
      <c r="M42" s="103">
        <f>SUM(M43:M44)</f>
        <v>29487500</v>
      </c>
      <c r="N42" s="94">
        <f>februari!R42</f>
        <v>300000</v>
      </c>
      <c r="O42" s="99">
        <f t="shared" si="0"/>
        <v>1.0173802458668928</v>
      </c>
      <c r="P42" s="104">
        <f>P44+P43</f>
        <v>150000</v>
      </c>
      <c r="Q42" s="95">
        <f t="shared" si="1"/>
        <v>0.5086901229334464</v>
      </c>
      <c r="R42" s="104">
        <f>SUM(R43:R44)</f>
        <v>450000</v>
      </c>
      <c r="S42" s="95">
        <f t="shared" si="2"/>
        <v>1.526070368800339</v>
      </c>
      <c r="T42" s="95">
        <f>SUM(T43:T44)/2</f>
        <v>3.215434083601286</v>
      </c>
      <c r="U42" s="10"/>
      <c r="V42" s="10"/>
      <c r="W42" s="133"/>
    </row>
    <row r="43" spans="1:24" ht="15" customHeight="1" x14ac:dyDescent="0.25">
      <c r="A43" s="8"/>
      <c r="B43" s="9"/>
      <c r="C43" s="9"/>
      <c r="D43" s="8"/>
      <c r="E43" s="8"/>
      <c r="F43" s="42"/>
      <c r="G43" s="42"/>
      <c r="H43" s="42"/>
      <c r="I43" s="59"/>
      <c r="J43" s="50" t="s">
        <v>18</v>
      </c>
      <c r="K43" s="81" t="s">
        <v>65</v>
      </c>
      <c r="L43" s="14"/>
      <c r="M43" s="97">
        <v>22490000</v>
      </c>
      <c r="N43" s="94">
        <f>februari!R43</f>
        <v>0</v>
      </c>
      <c r="O43" s="99">
        <f t="shared" si="0"/>
        <v>0</v>
      </c>
      <c r="P43" s="26"/>
      <c r="Q43" s="99">
        <f t="shared" si="1"/>
        <v>0</v>
      </c>
      <c r="R43" s="98">
        <f>N43+P43</f>
        <v>0</v>
      </c>
      <c r="S43" s="99">
        <f>R43/M43*100</f>
        <v>0</v>
      </c>
      <c r="T43" s="99">
        <v>0</v>
      </c>
      <c r="U43" s="10"/>
      <c r="V43" s="10"/>
      <c r="W43" s="133"/>
    </row>
    <row r="44" spans="1:24" ht="15" customHeight="1" x14ac:dyDescent="0.25">
      <c r="A44" s="6"/>
      <c r="B44" s="7"/>
      <c r="C44" s="7"/>
      <c r="D44" s="6"/>
      <c r="E44" s="6"/>
      <c r="F44" s="48"/>
      <c r="G44" s="48"/>
      <c r="H44" s="48"/>
      <c r="I44" s="51"/>
      <c r="J44" s="50" t="s">
        <v>17</v>
      </c>
      <c r="K44" s="82" t="s">
        <v>54</v>
      </c>
      <c r="L44" s="162"/>
      <c r="M44" s="97">
        <v>6997500</v>
      </c>
      <c r="N44" s="94">
        <f>februari!R44</f>
        <v>300000</v>
      </c>
      <c r="O44" s="99">
        <f t="shared" si="0"/>
        <v>4.287245444801715</v>
      </c>
      <c r="P44" s="26">
        <v>150000</v>
      </c>
      <c r="Q44" s="99">
        <f t="shared" si="1"/>
        <v>2.1436227224008575</v>
      </c>
      <c r="R44" s="98">
        <f>N44+P44</f>
        <v>450000</v>
      </c>
      <c r="S44" s="99">
        <f>R44/M44*100</f>
        <v>6.430868167202572</v>
      </c>
      <c r="T44" s="100">
        <f>1800/27990*100</f>
        <v>6.430868167202572</v>
      </c>
      <c r="U44" s="10"/>
      <c r="V44" s="10"/>
      <c r="W44" s="133"/>
    </row>
    <row r="45" spans="1:24" ht="9.9499999999999993" customHeight="1" x14ac:dyDescent="0.25">
      <c r="A45" s="10"/>
      <c r="B45" s="10"/>
      <c r="C45" s="10"/>
      <c r="D45" s="10"/>
      <c r="E45" s="10"/>
      <c r="F45" s="48"/>
      <c r="G45" s="48"/>
      <c r="H45" s="48"/>
      <c r="I45" s="53"/>
      <c r="J45" s="56"/>
      <c r="K45" s="86"/>
      <c r="L45" s="165"/>
      <c r="M45" s="115"/>
      <c r="N45" s="94">
        <f>februari!R45</f>
        <v>0</v>
      </c>
      <c r="O45" s="99"/>
      <c r="P45" s="117"/>
      <c r="Q45" s="99"/>
      <c r="R45" s="117"/>
      <c r="S45" s="99"/>
      <c r="T45" s="101"/>
      <c r="U45" s="10"/>
      <c r="V45" s="10"/>
      <c r="W45" s="133"/>
    </row>
    <row r="46" spans="1:24" ht="20.100000000000001" customHeight="1" x14ac:dyDescent="0.25">
      <c r="A46" s="8">
        <v>1</v>
      </c>
      <c r="B46" s="9" t="s">
        <v>17</v>
      </c>
      <c r="C46" s="9" t="s">
        <v>18</v>
      </c>
      <c r="D46" s="8">
        <v>38</v>
      </c>
      <c r="E46" s="8">
        <v>14</v>
      </c>
      <c r="F46" s="41">
        <v>5</v>
      </c>
      <c r="G46" s="41">
        <v>2</v>
      </c>
      <c r="H46" s="41">
        <v>2</v>
      </c>
      <c r="I46" s="60" t="s">
        <v>37</v>
      </c>
      <c r="J46" s="46"/>
      <c r="K46" s="85" t="s">
        <v>55</v>
      </c>
      <c r="L46" s="13"/>
      <c r="M46" s="105">
        <f>M47</f>
        <v>30300000</v>
      </c>
      <c r="N46" s="94">
        <f>februari!R46</f>
        <v>7350000</v>
      </c>
      <c r="O46" s="99">
        <f t="shared" si="0"/>
        <v>24.257425742574256</v>
      </c>
      <c r="P46" s="106">
        <f>P47</f>
        <v>1200000</v>
      </c>
      <c r="Q46" s="95">
        <f t="shared" si="1"/>
        <v>3.9603960396039604</v>
      </c>
      <c r="R46" s="106">
        <f>R47</f>
        <v>8550000</v>
      </c>
      <c r="S46" s="95">
        <f t="shared" si="2"/>
        <v>28.217821782178216</v>
      </c>
      <c r="T46" s="95">
        <f>T47</f>
        <v>18.613138686131386</v>
      </c>
      <c r="U46" s="10"/>
      <c r="V46" s="10"/>
      <c r="W46" s="133"/>
    </row>
    <row r="47" spans="1:24" ht="15" customHeight="1" x14ac:dyDescent="0.25">
      <c r="A47" s="127"/>
      <c r="B47" s="127"/>
      <c r="C47" s="127"/>
      <c r="D47" s="127"/>
      <c r="E47" s="127"/>
      <c r="F47" s="42"/>
      <c r="G47" s="42"/>
      <c r="H47" s="42"/>
      <c r="I47" s="42"/>
      <c r="J47" s="55" t="s">
        <v>17</v>
      </c>
      <c r="K47" s="78" t="s">
        <v>56</v>
      </c>
      <c r="L47" s="10"/>
      <c r="M47" s="107">
        <v>30300000</v>
      </c>
      <c r="N47" s="94">
        <f>februari!R47</f>
        <v>7350000</v>
      </c>
      <c r="O47" s="99">
        <f t="shared" si="0"/>
        <v>24.257425742574256</v>
      </c>
      <c r="P47" s="26">
        <v>1200000</v>
      </c>
      <c r="Q47" s="99">
        <f t="shared" si="1"/>
        <v>3.9603960396039604</v>
      </c>
      <c r="R47" s="108">
        <f>N47+P47</f>
        <v>8550000</v>
      </c>
      <c r="S47" s="99">
        <f>R47/M47*100</f>
        <v>28.217821782178216</v>
      </c>
      <c r="T47" s="100">
        <f>306/1644*100</f>
        <v>18.613138686131386</v>
      </c>
      <c r="U47" s="10"/>
      <c r="V47" s="10"/>
      <c r="W47" s="133"/>
      <c r="X47" s="168" t="s">
        <v>68</v>
      </c>
    </row>
    <row r="48" spans="1:24" ht="9.9499999999999993" customHeight="1" x14ac:dyDescent="0.25">
      <c r="A48" s="127"/>
      <c r="B48" s="127"/>
      <c r="C48" s="127"/>
      <c r="D48" s="127"/>
      <c r="E48" s="127"/>
      <c r="F48" s="42"/>
      <c r="G48" s="42"/>
      <c r="H48" s="42"/>
      <c r="I48" s="42"/>
      <c r="J48" s="59"/>
      <c r="K48" s="87"/>
      <c r="L48" s="166"/>
      <c r="M48" s="118"/>
      <c r="N48" s="94">
        <f>februari!R48</f>
        <v>0</v>
      </c>
      <c r="O48" s="99"/>
      <c r="P48" s="119"/>
      <c r="Q48" s="99"/>
      <c r="R48" s="119"/>
      <c r="S48" s="99"/>
      <c r="T48" s="63"/>
      <c r="U48" s="10"/>
      <c r="V48" s="10"/>
      <c r="W48" s="133"/>
    </row>
    <row r="49" spans="1:24" s="174" customFormat="1" ht="20.100000000000001" customHeight="1" x14ac:dyDescent="0.25">
      <c r="A49" s="8">
        <v>1</v>
      </c>
      <c r="B49" s="9" t="s">
        <v>17</v>
      </c>
      <c r="C49" s="9" t="s">
        <v>18</v>
      </c>
      <c r="D49" s="8">
        <v>38</v>
      </c>
      <c r="E49" s="8">
        <v>14</v>
      </c>
      <c r="F49" s="41">
        <v>5</v>
      </c>
      <c r="G49" s="41">
        <v>2</v>
      </c>
      <c r="H49" s="41">
        <v>2</v>
      </c>
      <c r="I49" s="60" t="s">
        <v>82</v>
      </c>
      <c r="J49" s="46"/>
      <c r="K49" s="79" t="s">
        <v>83</v>
      </c>
      <c r="L49" s="127"/>
      <c r="M49" s="105">
        <f>M50</f>
        <v>3300000</v>
      </c>
      <c r="N49" s="94">
        <f>februari!R49</f>
        <v>0</v>
      </c>
      <c r="O49" s="95">
        <f t="shared" si="0"/>
        <v>0</v>
      </c>
      <c r="P49" s="106">
        <f>P50</f>
        <v>0</v>
      </c>
      <c r="Q49" s="95">
        <f t="shared" si="1"/>
        <v>0</v>
      </c>
      <c r="R49" s="106">
        <f>R50</f>
        <v>0</v>
      </c>
      <c r="S49" s="95">
        <f t="shared" si="2"/>
        <v>0</v>
      </c>
      <c r="T49" s="95">
        <f>T50</f>
        <v>0</v>
      </c>
      <c r="U49" s="127"/>
      <c r="V49" s="127"/>
      <c r="W49" s="173"/>
    </row>
    <row r="50" spans="1:24" ht="15" customHeight="1" x14ac:dyDescent="0.25">
      <c r="A50" s="63"/>
      <c r="B50" s="63"/>
      <c r="C50" s="63"/>
      <c r="D50" s="63"/>
      <c r="E50" s="63"/>
      <c r="F50" s="48"/>
      <c r="G50" s="48"/>
      <c r="H50" s="48"/>
      <c r="I50" s="48"/>
      <c r="J50" s="55" t="s">
        <v>35</v>
      </c>
      <c r="K50" s="78" t="s">
        <v>84</v>
      </c>
      <c r="L50" s="10"/>
      <c r="M50" s="107">
        <v>3300000</v>
      </c>
      <c r="N50" s="94">
        <f>februari!R50</f>
        <v>0</v>
      </c>
      <c r="O50" s="99">
        <f t="shared" si="0"/>
        <v>0</v>
      </c>
      <c r="P50" s="108"/>
      <c r="Q50" s="99">
        <f t="shared" si="1"/>
        <v>0</v>
      </c>
      <c r="R50" s="108">
        <f>N50+P50</f>
        <v>0</v>
      </c>
      <c r="S50" s="99">
        <f t="shared" si="2"/>
        <v>0</v>
      </c>
      <c r="T50" s="100">
        <f>0/1*100</f>
        <v>0</v>
      </c>
      <c r="U50" s="10"/>
      <c r="V50" s="10"/>
      <c r="W50" s="133"/>
    </row>
    <row r="51" spans="1:24" ht="9.9499999999999993" customHeight="1" x14ac:dyDescent="0.25">
      <c r="A51" s="152"/>
      <c r="B51" s="152"/>
      <c r="C51" s="152"/>
      <c r="D51" s="152"/>
      <c r="E51" s="152"/>
      <c r="F51" s="42"/>
      <c r="G51" s="42"/>
      <c r="H51" s="42"/>
      <c r="I51" s="42"/>
      <c r="J51" s="59"/>
      <c r="K51" s="87"/>
      <c r="L51" s="166"/>
      <c r="M51" s="118"/>
      <c r="N51" s="94">
        <f>februari!R51</f>
        <v>0</v>
      </c>
      <c r="O51" s="99"/>
      <c r="P51" s="119"/>
      <c r="Q51" s="99"/>
      <c r="R51" s="119"/>
      <c r="S51" s="99"/>
      <c r="T51" s="63"/>
      <c r="U51" s="10"/>
      <c r="V51" s="10"/>
      <c r="W51" s="133"/>
    </row>
    <row r="52" spans="1:24" ht="20.100000000000001" customHeight="1" x14ac:dyDescent="0.25">
      <c r="A52" s="8">
        <v>1</v>
      </c>
      <c r="B52" s="9" t="s">
        <v>17</v>
      </c>
      <c r="C52" s="9" t="s">
        <v>18</v>
      </c>
      <c r="D52" s="8">
        <v>38</v>
      </c>
      <c r="E52" s="8">
        <v>14</v>
      </c>
      <c r="F52" s="61" t="s">
        <v>21</v>
      </c>
      <c r="G52" s="61" t="s">
        <v>22</v>
      </c>
      <c r="H52" s="61" t="s">
        <v>22</v>
      </c>
      <c r="I52" s="128">
        <v>15</v>
      </c>
      <c r="J52" s="61"/>
      <c r="K52" s="88" t="s">
        <v>43</v>
      </c>
      <c r="L52" s="10"/>
      <c r="M52" s="105">
        <f>M53</f>
        <v>15612000</v>
      </c>
      <c r="N52" s="94">
        <f>februari!R52</f>
        <v>0</v>
      </c>
      <c r="O52" s="99">
        <f t="shared" si="0"/>
        <v>0</v>
      </c>
      <c r="P52" s="106">
        <f>P53</f>
        <v>5626800</v>
      </c>
      <c r="Q52" s="95">
        <f t="shared" si="1"/>
        <v>36.041506533435822</v>
      </c>
      <c r="R52" s="106">
        <f>R53</f>
        <v>5626800</v>
      </c>
      <c r="S52" s="95">
        <f t="shared" si="2"/>
        <v>36.041506533435822</v>
      </c>
      <c r="T52" s="96">
        <f>T53</f>
        <v>50</v>
      </c>
      <c r="U52" s="10"/>
      <c r="V52" s="10"/>
      <c r="W52" s="133"/>
    </row>
    <row r="53" spans="1:24" ht="15" customHeight="1" x14ac:dyDescent="0.25">
      <c r="A53" s="10"/>
      <c r="B53" s="10"/>
      <c r="C53" s="10"/>
      <c r="D53" s="10"/>
      <c r="E53" s="10"/>
      <c r="F53" s="57"/>
      <c r="G53" s="57"/>
      <c r="H53" s="57"/>
      <c r="I53" s="129"/>
      <c r="J53" s="57" t="s">
        <v>17</v>
      </c>
      <c r="K53" s="89" t="s">
        <v>69</v>
      </c>
      <c r="L53" s="10"/>
      <c r="M53" s="107">
        <v>15612000</v>
      </c>
      <c r="N53" s="94">
        <f>februari!R53</f>
        <v>0</v>
      </c>
      <c r="O53" s="99">
        <f t="shared" si="0"/>
        <v>0</v>
      </c>
      <c r="P53" s="120">
        <v>5626800</v>
      </c>
      <c r="Q53" s="99">
        <f t="shared" si="1"/>
        <v>36.041506533435822</v>
      </c>
      <c r="R53" s="108">
        <f>N53+P53</f>
        <v>5626800</v>
      </c>
      <c r="S53" s="99">
        <f t="shared" si="2"/>
        <v>36.041506533435822</v>
      </c>
      <c r="T53" s="100">
        <f>1/2*100</f>
        <v>50</v>
      </c>
      <c r="U53" s="10"/>
      <c r="V53" s="10"/>
      <c r="W53" s="133"/>
      <c r="X53" s="168" t="s">
        <v>67</v>
      </c>
    </row>
    <row r="54" spans="1:24" ht="9.9499999999999993" customHeight="1" x14ac:dyDescent="0.25">
      <c r="A54" s="10"/>
      <c r="B54" s="10"/>
      <c r="C54" s="10"/>
      <c r="D54" s="10"/>
      <c r="E54" s="10"/>
      <c r="F54" s="48"/>
      <c r="G54" s="48"/>
      <c r="H54" s="48"/>
      <c r="I54" s="53"/>
      <c r="J54" s="53"/>
      <c r="K54" s="78"/>
      <c r="L54" s="10"/>
      <c r="M54" s="107"/>
      <c r="N54" s="94">
        <f>februari!R54</f>
        <v>0</v>
      </c>
      <c r="O54" s="99"/>
      <c r="P54" s="108"/>
      <c r="Q54" s="99"/>
      <c r="R54" s="108"/>
      <c r="S54" s="99"/>
      <c r="T54" s="63"/>
      <c r="U54" s="10"/>
      <c r="V54" s="10"/>
      <c r="W54" s="133"/>
    </row>
    <row r="55" spans="1:24" ht="24.95" customHeight="1" x14ac:dyDescent="0.25">
      <c r="A55" s="8">
        <v>1</v>
      </c>
      <c r="B55" s="9" t="s">
        <v>17</v>
      </c>
      <c r="C55" s="9" t="s">
        <v>18</v>
      </c>
      <c r="D55" s="8">
        <v>38</v>
      </c>
      <c r="E55" s="8">
        <v>14</v>
      </c>
      <c r="F55" s="61" t="s">
        <v>21</v>
      </c>
      <c r="G55" s="61" t="s">
        <v>22</v>
      </c>
      <c r="H55" s="61" t="s">
        <v>22</v>
      </c>
      <c r="I55" s="128" t="s">
        <v>48</v>
      </c>
      <c r="J55" s="42"/>
      <c r="K55" s="79" t="s">
        <v>57</v>
      </c>
      <c r="L55" s="10"/>
      <c r="M55" s="105">
        <f>M56</f>
        <v>20000000</v>
      </c>
      <c r="N55" s="94">
        <f>februari!R55</f>
        <v>0</v>
      </c>
      <c r="O55" s="99">
        <f t="shared" si="0"/>
        <v>0</v>
      </c>
      <c r="P55" s="106">
        <f>P56</f>
        <v>15000000</v>
      </c>
      <c r="Q55" s="95">
        <f t="shared" si="1"/>
        <v>75</v>
      </c>
      <c r="R55" s="106">
        <f>R56</f>
        <v>15000000</v>
      </c>
      <c r="S55" s="95">
        <f t="shared" si="2"/>
        <v>75</v>
      </c>
      <c r="T55" s="96">
        <f>T56</f>
        <v>75</v>
      </c>
      <c r="U55" s="10"/>
      <c r="V55" s="10"/>
      <c r="W55" s="133"/>
    </row>
    <row r="56" spans="1:24" ht="15" customHeight="1" x14ac:dyDescent="0.25">
      <c r="A56" s="10"/>
      <c r="B56" s="10"/>
      <c r="C56" s="10"/>
      <c r="D56" s="10"/>
      <c r="E56" s="10"/>
      <c r="F56" s="48"/>
      <c r="G56" s="48"/>
      <c r="H56" s="48"/>
      <c r="I56" s="48"/>
      <c r="J56" s="48" t="s">
        <v>18</v>
      </c>
      <c r="K56" s="78" t="s">
        <v>58</v>
      </c>
      <c r="L56" s="10"/>
      <c r="M56" s="107">
        <v>20000000</v>
      </c>
      <c r="N56" s="94">
        <f>februari!R56</f>
        <v>0</v>
      </c>
      <c r="O56" s="99">
        <f t="shared" si="0"/>
        <v>0</v>
      </c>
      <c r="P56" s="26">
        <v>15000000</v>
      </c>
      <c r="Q56" s="99">
        <f t="shared" si="1"/>
        <v>75</v>
      </c>
      <c r="R56" s="108">
        <f>N56+P56</f>
        <v>15000000</v>
      </c>
      <c r="S56" s="99">
        <f t="shared" si="2"/>
        <v>75</v>
      </c>
      <c r="T56" s="100">
        <f>3/4*100</f>
        <v>75</v>
      </c>
      <c r="U56" s="10"/>
      <c r="V56" s="10"/>
      <c r="W56" s="133"/>
    </row>
    <row r="57" spans="1:24" ht="9.9499999999999993" customHeight="1" x14ac:dyDescent="0.25">
      <c r="A57" s="10"/>
      <c r="B57" s="10"/>
      <c r="C57" s="10"/>
      <c r="D57" s="10"/>
      <c r="E57" s="10"/>
      <c r="F57" s="48"/>
      <c r="G57" s="48"/>
      <c r="H57" s="48"/>
      <c r="I57" s="53"/>
      <c r="J57" s="53"/>
      <c r="K57" s="90"/>
      <c r="L57" s="10"/>
      <c r="M57" s="97"/>
      <c r="N57" s="94">
        <f>februari!R57</f>
        <v>0</v>
      </c>
      <c r="O57" s="99"/>
      <c r="P57" s="98"/>
      <c r="Q57" s="99"/>
      <c r="R57" s="98"/>
      <c r="S57" s="99"/>
      <c r="T57" s="63"/>
      <c r="U57" s="10"/>
      <c r="V57" s="10"/>
      <c r="W57" s="133"/>
    </row>
    <row r="58" spans="1:24" ht="20.100000000000001" customHeight="1" x14ac:dyDescent="0.25">
      <c r="A58" s="8">
        <v>1</v>
      </c>
      <c r="B58" s="9" t="s">
        <v>17</v>
      </c>
      <c r="C58" s="9" t="s">
        <v>18</v>
      </c>
      <c r="D58" s="8">
        <v>38</v>
      </c>
      <c r="E58" s="8">
        <v>14</v>
      </c>
      <c r="F58" s="61" t="s">
        <v>21</v>
      </c>
      <c r="G58" s="61" t="s">
        <v>22</v>
      </c>
      <c r="H58" s="61" t="s">
        <v>22</v>
      </c>
      <c r="I58" s="128" t="s">
        <v>51</v>
      </c>
      <c r="J58" s="130"/>
      <c r="K58" s="88" t="s">
        <v>59</v>
      </c>
      <c r="L58" s="10"/>
      <c r="M58" s="103">
        <f>SUM(M59:M62)</f>
        <v>24000000</v>
      </c>
      <c r="N58" s="94">
        <f>februari!R58</f>
        <v>0</v>
      </c>
      <c r="O58" s="99">
        <f t="shared" si="0"/>
        <v>0</v>
      </c>
      <c r="P58" s="104">
        <f>SUM(P59:P62)</f>
        <v>9785000</v>
      </c>
      <c r="Q58" s="95">
        <f t="shared" si="1"/>
        <v>40.770833333333336</v>
      </c>
      <c r="R58" s="104">
        <f>SUM(R59:R62)</f>
        <v>9785000</v>
      </c>
      <c r="S58" s="95">
        <f t="shared" si="2"/>
        <v>40.770833333333336</v>
      </c>
      <c r="T58" s="96">
        <f>SUM(T59:T61)/4</f>
        <v>25</v>
      </c>
      <c r="U58" s="10"/>
      <c r="V58" s="10"/>
      <c r="W58" s="133"/>
    </row>
    <row r="59" spans="1:24" ht="15" customHeight="1" x14ac:dyDescent="0.25">
      <c r="A59" s="10"/>
      <c r="B59" s="10"/>
      <c r="C59" s="10"/>
      <c r="D59" s="10"/>
      <c r="E59" s="10"/>
      <c r="F59" s="57"/>
      <c r="G59" s="57"/>
      <c r="H59" s="57"/>
      <c r="I59" s="129"/>
      <c r="J59" s="62" t="s">
        <v>34</v>
      </c>
      <c r="K59" s="89" t="s">
        <v>60</v>
      </c>
      <c r="L59" s="10"/>
      <c r="M59" s="97">
        <v>1000000</v>
      </c>
      <c r="N59" s="94">
        <f>februari!R59</f>
        <v>0</v>
      </c>
      <c r="O59" s="99">
        <f t="shared" si="0"/>
        <v>0</v>
      </c>
      <c r="P59" s="98"/>
      <c r="Q59" s="99">
        <f t="shared" si="1"/>
        <v>0</v>
      </c>
      <c r="R59" s="98">
        <f>N59+P59</f>
        <v>0</v>
      </c>
      <c r="S59" s="99">
        <f t="shared" si="2"/>
        <v>0</v>
      </c>
      <c r="T59" s="100">
        <f>0/1*100</f>
        <v>0</v>
      </c>
      <c r="U59" s="10"/>
      <c r="V59" s="10"/>
      <c r="W59" s="133"/>
    </row>
    <row r="60" spans="1:24" ht="15" customHeight="1" x14ac:dyDescent="0.25">
      <c r="A60" s="10"/>
      <c r="B60" s="10"/>
      <c r="C60" s="10"/>
      <c r="D60" s="10"/>
      <c r="E60" s="10"/>
      <c r="F60" s="54"/>
      <c r="G60" s="54"/>
      <c r="H60" s="54"/>
      <c r="I60" s="48"/>
      <c r="J60" s="55" t="s">
        <v>35</v>
      </c>
      <c r="K60" s="73" t="s">
        <v>61</v>
      </c>
      <c r="L60" s="10"/>
      <c r="M60" s="97">
        <v>13000000</v>
      </c>
      <c r="N60" s="94">
        <f>februari!R60</f>
        <v>0</v>
      </c>
      <c r="O60" s="99">
        <f t="shared" si="0"/>
        <v>0</v>
      </c>
      <c r="P60" s="98">
        <v>9785000</v>
      </c>
      <c r="Q60" s="99">
        <f t="shared" si="1"/>
        <v>75.269230769230759</v>
      </c>
      <c r="R60" s="98">
        <f t="shared" ref="R60:R62" si="5">N60+P60</f>
        <v>9785000</v>
      </c>
      <c r="S60" s="99">
        <f t="shared" si="2"/>
        <v>75.269230769230759</v>
      </c>
      <c r="T60" s="100">
        <f>1/1*100</f>
        <v>100</v>
      </c>
      <c r="U60" s="10"/>
      <c r="V60" s="10"/>
      <c r="W60" s="133"/>
    </row>
    <row r="61" spans="1:24" ht="15" customHeight="1" x14ac:dyDescent="0.25">
      <c r="A61" s="10"/>
      <c r="B61" s="10"/>
      <c r="C61" s="10"/>
      <c r="D61" s="10"/>
      <c r="E61" s="10"/>
      <c r="F61" s="57"/>
      <c r="G61" s="57"/>
      <c r="H61" s="57"/>
      <c r="I61" s="129"/>
      <c r="J61" s="62" t="s">
        <v>50</v>
      </c>
      <c r="K61" s="89" t="s">
        <v>62</v>
      </c>
      <c r="L61" s="10"/>
      <c r="M61" s="97">
        <v>5000000</v>
      </c>
      <c r="N61" s="94">
        <f>februari!R61</f>
        <v>0</v>
      </c>
      <c r="O61" s="99">
        <f t="shared" si="0"/>
        <v>0</v>
      </c>
      <c r="P61" s="98"/>
      <c r="Q61" s="99">
        <f t="shared" si="1"/>
        <v>0</v>
      </c>
      <c r="R61" s="98">
        <f t="shared" si="5"/>
        <v>0</v>
      </c>
      <c r="S61" s="99">
        <f t="shared" si="2"/>
        <v>0</v>
      </c>
      <c r="T61" s="100">
        <f>0/2*100</f>
        <v>0</v>
      </c>
      <c r="U61" s="10"/>
      <c r="V61" s="10"/>
      <c r="W61" s="133"/>
    </row>
    <row r="62" spans="1:24" ht="15" customHeight="1" x14ac:dyDescent="0.25">
      <c r="A62" s="10"/>
      <c r="B62" s="10"/>
      <c r="C62" s="10"/>
      <c r="D62" s="10"/>
      <c r="E62" s="10"/>
      <c r="F62" s="57"/>
      <c r="G62" s="57"/>
      <c r="H62" s="57"/>
      <c r="I62" s="129"/>
      <c r="J62" s="62" t="s">
        <v>36</v>
      </c>
      <c r="K62" s="89" t="s">
        <v>80</v>
      </c>
      <c r="L62" s="10"/>
      <c r="M62" s="97">
        <v>5000000</v>
      </c>
      <c r="N62" s="94">
        <f>februari!R62</f>
        <v>0</v>
      </c>
      <c r="O62" s="99">
        <v>0</v>
      </c>
      <c r="P62" s="98"/>
      <c r="Q62" s="99">
        <v>0</v>
      </c>
      <c r="R62" s="98">
        <f t="shared" si="5"/>
        <v>0</v>
      </c>
      <c r="S62" s="99">
        <f t="shared" si="2"/>
        <v>0</v>
      </c>
      <c r="T62" s="100">
        <f>0/1*100</f>
        <v>0</v>
      </c>
      <c r="U62" s="10"/>
      <c r="V62" s="10"/>
      <c r="W62" s="133"/>
    </row>
    <row r="63" spans="1:24" ht="9.9499999999999993" customHeight="1" x14ac:dyDescent="0.25">
      <c r="A63" s="10"/>
      <c r="B63" s="10"/>
      <c r="C63" s="10"/>
      <c r="D63" s="10"/>
      <c r="E63" s="10"/>
      <c r="F63" s="48"/>
      <c r="G63" s="48"/>
      <c r="H63" s="48"/>
      <c r="I63" s="53"/>
      <c r="J63" s="53"/>
      <c r="K63" s="78"/>
      <c r="L63" s="10"/>
      <c r="M63" s="97"/>
      <c r="N63" s="94">
        <f>februari!R63</f>
        <v>0</v>
      </c>
      <c r="O63" s="99"/>
      <c r="P63" s="98"/>
      <c r="Q63" s="99"/>
      <c r="R63" s="98"/>
      <c r="S63" s="99"/>
      <c r="T63" s="63"/>
      <c r="U63" s="10"/>
      <c r="V63" s="10"/>
      <c r="W63" s="133"/>
    </row>
    <row r="64" spans="1:24" ht="20.100000000000001" customHeight="1" x14ac:dyDescent="0.25">
      <c r="A64" s="127">
        <v>1</v>
      </c>
      <c r="B64" s="127" t="s">
        <v>17</v>
      </c>
      <c r="C64" s="127" t="s">
        <v>18</v>
      </c>
      <c r="D64" s="127">
        <v>38</v>
      </c>
      <c r="E64" s="127">
        <v>14</v>
      </c>
      <c r="F64" s="42" t="s">
        <v>21</v>
      </c>
      <c r="G64" s="42" t="s">
        <v>22</v>
      </c>
      <c r="H64" s="42" t="s">
        <v>22</v>
      </c>
      <c r="I64" s="42" t="s">
        <v>78</v>
      </c>
      <c r="J64" s="42"/>
      <c r="K64" s="79" t="s">
        <v>76</v>
      </c>
      <c r="L64" s="127"/>
      <c r="M64" s="103">
        <f>SUM(M65:M66)</f>
        <v>10000000</v>
      </c>
      <c r="N64" s="94">
        <f>februari!R64</f>
        <v>2000000</v>
      </c>
      <c r="O64" s="95">
        <f t="shared" ref="O64:O66" si="6">N64/M64*100</f>
        <v>20</v>
      </c>
      <c r="P64" s="104">
        <f>SUM(P65:P66)</f>
        <v>0</v>
      </c>
      <c r="Q64" s="95">
        <f t="shared" ref="Q64:Q66" si="7">P64/M64*100</f>
        <v>0</v>
      </c>
      <c r="R64" s="104">
        <f>SUM(R65:R66)</f>
        <v>2000000</v>
      </c>
      <c r="S64" s="95">
        <f t="shared" ref="S64:S66" si="8">R64/M64*100</f>
        <v>20</v>
      </c>
      <c r="T64" s="96">
        <f>SUM(T65:T66)/2</f>
        <v>50</v>
      </c>
      <c r="U64" s="10"/>
      <c r="V64" s="10"/>
      <c r="W64" s="133"/>
    </row>
    <row r="65" spans="1:24" ht="15" customHeight="1" x14ac:dyDescent="0.25">
      <c r="A65" s="6"/>
      <c r="B65" s="7"/>
      <c r="C65" s="7"/>
      <c r="D65" s="6"/>
      <c r="E65" s="6"/>
      <c r="F65" s="57"/>
      <c r="G65" s="57"/>
      <c r="H65" s="57"/>
      <c r="I65" s="70"/>
      <c r="J65" s="62" t="s">
        <v>34</v>
      </c>
      <c r="K65" s="89" t="s">
        <v>107</v>
      </c>
      <c r="L65" s="10"/>
      <c r="M65" s="97">
        <v>7000000</v>
      </c>
      <c r="N65" s="94">
        <f>februari!R65</f>
        <v>0</v>
      </c>
      <c r="O65" s="99">
        <f t="shared" si="6"/>
        <v>0</v>
      </c>
      <c r="P65" s="98"/>
      <c r="Q65" s="99">
        <f t="shared" si="7"/>
        <v>0</v>
      </c>
      <c r="R65" s="98">
        <f>N65+P65</f>
        <v>0</v>
      </c>
      <c r="S65" s="99">
        <f t="shared" si="8"/>
        <v>0</v>
      </c>
      <c r="T65" s="100">
        <f>0/1*100</f>
        <v>0</v>
      </c>
      <c r="U65" s="10"/>
      <c r="V65" s="10"/>
      <c r="W65" s="133"/>
    </row>
    <row r="66" spans="1:24" ht="15" customHeight="1" x14ac:dyDescent="0.25">
      <c r="A66" s="10"/>
      <c r="B66" s="10"/>
      <c r="C66" s="10"/>
      <c r="D66" s="10"/>
      <c r="E66" s="10"/>
      <c r="F66" s="48"/>
      <c r="G66" s="48"/>
      <c r="H66" s="48"/>
      <c r="I66" s="48"/>
      <c r="J66" s="48" t="s">
        <v>30</v>
      </c>
      <c r="K66" s="78" t="s">
        <v>77</v>
      </c>
      <c r="L66" s="10"/>
      <c r="M66" s="97">
        <v>3000000</v>
      </c>
      <c r="N66" s="94">
        <f>februari!R66</f>
        <v>2000000</v>
      </c>
      <c r="O66" s="99">
        <f t="shared" si="6"/>
        <v>66.666666666666657</v>
      </c>
      <c r="P66" s="98"/>
      <c r="Q66" s="99">
        <f t="shared" si="7"/>
        <v>0</v>
      </c>
      <c r="R66" s="98">
        <f>N66+P66</f>
        <v>2000000</v>
      </c>
      <c r="S66" s="99">
        <f t="shared" si="8"/>
        <v>66.666666666666657</v>
      </c>
      <c r="T66" s="100">
        <f>1/1*100</f>
        <v>100</v>
      </c>
      <c r="U66" s="10"/>
      <c r="V66" s="10"/>
      <c r="W66" s="133"/>
    </row>
    <row r="67" spans="1:24" ht="9.9499999999999993" customHeight="1" x14ac:dyDescent="0.25">
      <c r="A67" s="10"/>
      <c r="B67" s="10"/>
      <c r="C67" s="10"/>
      <c r="D67" s="10"/>
      <c r="E67" s="10"/>
      <c r="F67" s="48"/>
      <c r="G67" s="48"/>
      <c r="H67" s="48"/>
      <c r="I67" s="53"/>
      <c r="J67" s="53"/>
      <c r="K67" s="78"/>
      <c r="L67" s="10"/>
      <c r="M67" s="97"/>
      <c r="N67" s="94">
        <f>februari!R67</f>
        <v>0</v>
      </c>
      <c r="O67" s="99"/>
      <c r="P67" s="98"/>
      <c r="Q67" s="99"/>
      <c r="R67" s="98"/>
      <c r="S67" s="99"/>
      <c r="T67" s="63"/>
      <c r="U67" s="10"/>
      <c r="V67" s="10"/>
      <c r="W67" s="133"/>
    </row>
    <row r="68" spans="1:24" ht="24.95" customHeight="1" x14ac:dyDescent="0.25">
      <c r="A68" s="8">
        <v>1</v>
      </c>
      <c r="B68" s="9" t="s">
        <v>17</v>
      </c>
      <c r="C68" s="9" t="s">
        <v>18</v>
      </c>
      <c r="D68" s="8">
        <v>38</v>
      </c>
      <c r="E68" s="8">
        <v>14</v>
      </c>
      <c r="F68" s="61" t="s">
        <v>21</v>
      </c>
      <c r="G68" s="61" t="s">
        <v>22</v>
      </c>
      <c r="H68" s="61" t="s">
        <v>22</v>
      </c>
      <c r="I68" s="131" t="s">
        <v>49</v>
      </c>
      <c r="J68" s="61"/>
      <c r="K68" s="88" t="s">
        <v>63</v>
      </c>
      <c r="L68" s="10"/>
      <c r="M68" s="105">
        <f>SUM(M69:M70)</f>
        <v>19450000</v>
      </c>
      <c r="N68" s="94">
        <f>februari!R68</f>
        <v>3450000</v>
      </c>
      <c r="O68" s="99">
        <f t="shared" si="0"/>
        <v>17.737789203084834</v>
      </c>
      <c r="P68" s="106">
        <f>SUM(P69:P70)</f>
        <v>600000</v>
      </c>
      <c r="Q68" s="95">
        <f t="shared" si="1"/>
        <v>3.0848329048843186</v>
      </c>
      <c r="R68" s="106">
        <f>SUM(R69:R70)</f>
        <v>4050000</v>
      </c>
      <c r="S68" s="95">
        <f t="shared" si="2"/>
        <v>20.822622107969153</v>
      </c>
      <c r="T68" s="96">
        <f>SUM(T69:T70)/2</f>
        <v>50</v>
      </c>
      <c r="U68" s="10"/>
      <c r="V68" s="10"/>
      <c r="W68" s="133"/>
    </row>
    <row r="69" spans="1:24" ht="15" customHeight="1" x14ac:dyDescent="0.25">
      <c r="A69" s="10"/>
      <c r="B69" s="10"/>
      <c r="C69" s="10"/>
      <c r="D69" s="10"/>
      <c r="E69" s="10"/>
      <c r="F69" s="57"/>
      <c r="G69" s="57"/>
      <c r="H69" s="57"/>
      <c r="I69" s="129"/>
      <c r="J69" s="62" t="s">
        <v>17</v>
      </c>
      <c r="K69" s="89" t="s">
        <v>66</v>
      </c>
      <c r="L69" s="10"/>
      <c r="M69" s="107">
        <v>7200000</v>
      </c>
      <c r="N69" s="94">
        <f>februari!R69</f>
        <v>1200000</v>
      </c>
      <c r="O69" s="99">
        <f t="shared" si="0"/>
        <v>16.666666666666664</v>
      </c>
      <c r="P69" s="26">
        <v>600000</v>
      </c>
      <c r="Q69" s="99">
        <f t="shared" si="1"/>
        <v>8.3333333333333321</v>
      </c>
      <c r="R69" s="108">
        <f>N69+P69</f>
        <v>1800000</v>
      </c>
      <c r="S69" s="99">
        <f t="shared" si="2"/>
        <v>25</v>
      </c>
      <c r="T69" s="100">
        <f>6/24*100</f>
        <v>25</v>
      </c>
      <c r="U69" s="10"/>
      <c r="V69" s="10"/>
      <c r="W69" s="133"/>
    </row>
    <row r="70" spans="1:24" ht="15" customHeight="1" x14ac:dyDescent="0.25">
      <c r="A70" s="63"/>
      <c r="B70" s="63"/>
      <c r="C70" s="63"/>
      <c r="D70" s="63"/>
      <c r="E70" s="63"/>
      <c r="F70" s="57"/>
      <c r="G70" s="57"/>
      <c r="H70" s="57"/>
      <c r="I70" s="70"/>
      <c r="J70" s="62" t="s">
        <v>34</v>
      </c>
      <c r="K70" s="89" t="s">
        <v>81</v>
      </c>
      <c r="L70" s="10"/>
      <c r="M70" s="107">
        <v>12250000</v>
      </c>
      <c r="N70" s="94">
        <f>februari!R70</f>
        <v>2250000</v>
      </c>
      <c r="O70" s="99">
        <f t="shared" si="0"/>
        <v>18.367346938775512</v>
      </c>
      <c r="P70" s="26"/>
      <c r="Q70" s="99">
        <f t="shared" si="1"/>
        <v>0</v>
      </c>
      <c r="R70" s="108">
        <f>N70+P70</f>
        <v>2250000</v>
      </c>
      <c r="S70" s="99">
        <f t="shared" si="2"/>
        <v>18.367346938775512</v>
      </c>
      <c r="T70" s="100">
        <f>9/12*100</f>
        <v>75</v>
      </c>
      <c r="U70" s="10"/>
      <c r="V70" s="10"/>
      <c r="W70" s="133"/>
    </row>
    <row r="71" spans="1:24" ht="9.9499999999999993" customHeight="1" x14ac:dyDescent="0.25">
      <c r="A71" s="10"/>
      <c r="B71" s="10"/>
      <c r="C71" s="10"/>
      <c r="D71" s="10"/>
      <c r="E71" s="10"/>
      <c r="F71" s="48"/>
      <c r="G71" s="48"/>
      <c r="H71" s="48"/>
      <c r="I71" s="53"/>
      <c r="J71" s="53"/>
      <c r="K71" s="78"/>
      <c r="L71" s="10"/>
      <c r="M71" s="97"/>
      <c r="N71" s="94">
        <f>februari!R71</f>
        <v>0</v>
      </c>
      <c r="O71" s="99"/>
      <c r="P71" s="98"/>
      <c r="Q71" s="99"/>
      <c r="R71" s="98"/>
      <c r="S71" s="99"/>
      <c r="T71" s="63"/>
      <c r="U71" s="10"/>
      <c r="V71" s="10"/>
      <c r="W71" s="133"/>
    </row>
    <row r="72" spans="1:24" ht="24.95" customHeight="1" x14ac:dyDescent="0.25">
      <c r="A72" s="8">
        <v>1</v>
      </c>
      <c r="B72" s="9" t="s">
        <v>17</v>
      </c>
      <c r="C72" s="9" t="s">
        <v>18</v>
      </c>
      <c r="D72" s="8">
        <v>38</v>
      </c>
      <c r="E72" s="8">
        <v>14</v>
      </c>
      <c r="F72" s="42" t="s">
        <v>21</v>
      </c>
      <c r="G72" s="42" t="s">
        <v>22</v>
      </c>
      <c r="H72" s="42" t="s">
        <v>22</v>
      </c>
      <c r="I72" s="42" t="s">
        <v>108</v>
      </c>
      <c r="J72" s="44"/>
      <c r="K72" s="79" t="s">
        <v>109</v>
      </c>
      <c r="L72" s="10"/>
      <c r="M72" s="103">
        <f>M73</f>
        <v>500000</v>
      </c>
      <c r="N72" s="94">
        <f>februari!R72</f>
        <v>0</v>
      </c>
      <c r="O72" s="99">
        <f t="shared" si="0"/>
        <v>0</v>
      </c>
      <c r="P72" s="104">
        <f>P73</f>
        <v>0</v>
      </c>
      <c r="Q72" s="95">
        <f t="shared" si="1"/>
        <v>0</v>
      </c>
      <c r="R72" s="104">
        <f>R73</f>
        <v>0</v>
      </c>
      <c r="S72" s="95">
        <f t="shared" si="2"/>
        <v>0</v>
      </c>
      <c r="T72" s="96">
        <v>0</v>
      </c>
      <c r="U72" s="10"/>
      <c r="V72" s="10"/>
      <c r="W72" s="133"/>
    </row>
    <row r="73" spans="1:24" ht="24.95" customHeight="1" x14ac:dyDescent="0.25">
      <c r="A73" s="10"/>
      <c r="B73" s="10"/>
      <c r="C73" s="10"/>
      <c r="D73" s="10"/>
      <c r="E73" s="10"/>
      <c r="F73" s="48"/>
      <c r="G73" s="48"/>
      <c r="H73" s="48"/>
      <c r="I73" s="53"/>
      <c r="J73" s="55" t="s">
        <v>17</v>
      </c>
      <c r="K73" s="73" t="s">
        <v>110</v>
      </c>
      <c r="L73" s="10"/>
      <c r="M73" s="97">
        <v>500000</v>
      </c>
      <c r="N73" s="94">
        <f>februari!R73</f>
        <v>0</v>
      </c>
      <c r="O73" s="99">
        <f t="shared" si="0"/>
        <v>0</v>
      </c>
      <c r="P73" s="26"/>
      <c r="Q73" s="99">
        <f t="shared" si="1"/>
        <v>0</v>
      </c>
      <c r="R73" s="98">
        <f>N73+P73</f>
        <v>0</v>
      </c>
      <c r="S73" s="99">
        <f t="shared" si="2"/>
        <v>0</v>
      </c>
      <c r="T73" s="100">
        <f>0/1*100</f>
        <v>0</v>
      </c>
      <c r="U73" s="10"/>
      <c r="V73" s="160"/>
      <c r="W73" s="133"/>
      <c r="X73" s="182"/>
    </row>
    <row r="74" spans="1:24" ht="9.9499999999999993" customHeight="1" x14ac:dyDescent="0.25">
      <c r="A74" s="10"/>
      <c r="B74" s="10"/>
      <c r="C74" s="10"/>
      <c r="D74" s="10"/>
      <c r="E74" s="10"/>
      <c r="F74" s="48"/>
      <c r="G74" s="48"/>
      <c r="H74" s="48"/>
      <c r="I74" s="53"/>
      <c r="J74" s="59"/>
      <c r="K74" s="91"/>
      <c r="L74" s="166"/>
      <c r="M74" s="115"/>
      <c r="N74" s="94">
        <f>februari!R74</f>
        <v>0</v>
      </c>
      <c r="O74" s="99"/>
      <c r="P74" s="117"/>
      <c r="Q74" s="99"/>
      <c r="R74" s="117"/>
      <c r="S74" s="99"/>
      <c r="T74" s="63"/>
      <c r="U74" s="10"/>
      <c r="V74" s="10"/>
      <c r="W74" s="133"/>
    </row>
    <row r="75" spans="1:24" ht="20.100000000000001" customHeight="1" x14ac:dyDescent="0.25">
      <c r="A75" s="8">
        <v>1</v>
      </c>
      <c r="B75" s="9" t="s">
        <v>17</v>
      </c>
      <c r="C75" s="9" t="s">
        <v>18</v>
      </c>
      <c r="D75" s="8">
        <v>38</v>
      </c>
      <c r="E75" s="8">
        <v>14</v>
      </c>
      <c r="F75" s="42" t="s">
        <v>21</v>
      </c>
      <c r="G75" s="42" t="s">
        <v>22</v>
      </c>
      <c r="H75" s="42" t="s">
        <v>24</v>
      </c>
      <c r="I75" s="42"/>
      <c r="J75" s="44"/>
      <c r="K75" s="79" t="s">
        <v>25</v>
      </c>
      <c r="L75" s="10"/>
      <c r="M75" s="105">
        <f>M79+M76+M83+M86+M89</f>
        <v>68700000</v>
      </c>
      <c r="N75" s="94">
        <f>februari!R75</f>
        <v>0</v>
      </c>
      <c r="O75" s="99">
        <f t="shared" si="0"/>
        <v>0</v>
      </c>
      <c r="P75" s="106">
        <f>P79+P76+P83+P86+P89</f>
        <v>0</v>
      </c>
      <c r="Q75" s="95">
        <f t="shared" si="1"/>
        <v>0</v>
      </c>
      <c r="R75" s="106">
        <f>R79+R76+R83+R86+R89</f>
        <v>0</v>
      </c>
      <c r="S75" s="95">
        <f t="shared" si="2"/>
        <v>0</v>
      </c>
      <c r="T75" s="96">
        <f>(T79+T76+T83+T86+T89)/5</f>
        <v>0</v>
      </c>
      <c r="U75" s="10"/>
      <c r="V75" s="10"/>
      <c r="W75" s="133"/>
    </row>
    <row r="76" spans="1:24" ht="24.95" customHeight="1" x14ac:dyDescent="0.25">
      <c r="A76" s="8">
        <v>1</v>
      </c>
      <c r="B76" s="9" t="s">
        <v>17</v>
      </c>
      <c r="C76" s="9" t="s">
        <v>18</v>
      </c>
      <c r="D76" s="8">
        <v>38</v>
      </c>
      <c r="E76" s="8">
        <v>14</v>
      </c>
      <c r="F76" s="42" t="s">
        <v>21</v>
      </c>
      <c r="G76" s="42" t="s">
        <v>22</v>
      </c>
      <c r="H76" s="42" t="s">
        <v>24</v>
      </c>
      <c r="I76" s="42" t="s">
        <v>44</v>
      </c>
      <c r="J76" s="44"/>
      <c r="K76" s="80" t="s">
        <v>111</v>
      </c>
      <c r="L76" s="10"/>
      <c r="M76" s="103">
        <f>M77</f>
        <v>7500000</v>
      </c>
      <c r="N76" s="94">
        <f>februari!R76</f>
        <v>0</v>
      </c>
      <c r="O76" s="99">
        <f t="shared" si="0"/>
        <v>0</v>
      </c>
      <c r="P76" s="104">
        <f>P77</f>
        <v>0</v>
      </c>
      <c r="Q76" s="95">
        <f t="shared" si="1"/>
        <v>0</v>
      </c>
      <c r="R76" s="104">
        <f>R77</f>
        <v>0</v>
      </c>
      <c r="S76" s="95">
        <f t="shared" si="2"/>
        <v>0</v>
      </c>
      <c r="T76" s="96">
        <f>T77</f>
        <v>0</v>
      </c>
      <c r="U76" s="10"/>
      <c r="V76" s="10"/>
      <c r="W76" s="133"/>
    </row>
    <row r="77" spans="1:24" ht="15" customHeight="1" x14ac:dyDescent="0.25">
      <c r="A77" s="8"/>
      <c r="B77" s="9"/>
      <c r="C77" s="9"/>
      <c r="D77" s="8"/>
      <c r="E77" s="8"/>
      <c r="F77" s="42"/>
      <c r="G77" s="42"/>
      <c r="H77" s="42"/>
      <c r="I77" s="48"/>
      <c r="J77" s="55" t="s">
        <v>35</v>
      </c>
      <c r="K77" s="73" t="s">
        <v>112</v>
      </c>
      <c r="L77" s="10"/>
      <c r="M77" s="97">
        <v>7500000</v>
      </c>
      <c r="N77" s="94">
        <f>februari!R77</f>
        <v>0</v>
      </c>
      <c r="O77" s="99">
        <f t="shared" ref="O77:O90" si="9">N77/M77*100</f>
        <v>0</v>
      </c>
      <c r="P77" s="98"/>
      <c r="Q77" s="99">
        <f t="shared" ref="Q77:Q90" si="10">P77/M77*100</f>
        <v>0</v>
      </c>
      <c r="R77" s="98">
        <f>N77+P77</f>
        <v>0</v>
      </c>
      <c r="S77" s="99">
        <f t="shared" ref="S77:S90" si="11">R77/M77*100</f>
        <v>0</v>
      </c>
      <c r="T77" s="100">
        <f>0/3*100</f>
        <v>0</v>
      </c>
      <c r="U77" s="10"/>
      <c r="V77" s="10"/>
      <c r="W77" s="133"/>
    </row>
    <row r="78" spans="1:24" ht="9.9499999999999993" customHeight="1" x14ac:dyDescent="0.25">
      <c r="A78" s="8"/>
      <c r="B78" s="9"/>
      <c r="C78" s="9"/>
      <c r="D78" s="8"/>
      <c r="E78" s="8"/>
      <c r="F78" s="42"/>
      <c r="G78" s="42"/>
      <c r="H78" s="42"/>
      <c r="I78" s="55"/>
      <c r="J78" s="55"/>
      <c r="K78" s="78"/>
      <c r="L78" s="10"/>
      <c r="M78" s="97"/>
      <c r="N78" s="94">
        <f>februari!R78</f>
        <v>0</v>
      </c>
      <c r="O78" s="99"/>
      <c r="P78" s="26"/>
      <c r="Q78" s="95"/>
      <c r="R78" s="98"/>
      <c r="S78" s="95"/>
      <c r="T78" s="100"/>
      <c r="U78" s="10"/>
      <c r="V78" s="10"/>
      <c r="W78" s="133"/>
    </row>
    <row r="79" spans="1:24" s="174" customFormat="1" ht="24.95" customHeight="1" x14ac:dyDescent="0.25">
      <c r="A79" s="8">
        <v>1</v>
      </c>
      <c r="B79" s="9" t="s">
        <v>17</v>
      </c>
      <c r="C79" s="9" t="s">
        <v>18</v>
      </c>
      <c r="D79" s="8">
        <v>38</v>
      </c>
      <c r="E79" s="8">
        <v>14</v>
      </c>
      <c r="F79" s="42" t="s">
        <v>21</v>
      </c>
      <c r="G79" s="42" t="s">
        <v>22</v>
      </c>
      <c r="H79" s="42" t="s">
        <v>24</v>
      </c>
      <c r="I79" s="60" t="s">
        <v>113</v>
      </c>
      <c r="J79" s="60"/>
      <c r="K79" s="79" t="s">
        <v>45</v>
      </c>
      <c r="L79" s="127"/>
      <c r="M79" s="103">
        <f>SUM(M80:M81)</f>
        <v>12200000</v>
      </c>
      <c r="N79" s="94">
        <f>februari!R79</f>
        <v>0</v>
      </c>
      <c r="O79" s="95">
        <f t="shared" si="9"/>
        <v>0</v>
      </c>
      <c r="P79" s="147">
        <f>SUM(P80:P81)</f>
        <v>0</v>
      </c>
      <c r="Q79" s="95">
        <f t="shared" si="10"/>
        <v>0</v>
      </c>
      <c r="R79" s="104">
        <f>SUM(R80:R81)</f>
        <v>0</v>
      </c>
      <c r="S79" s="95">
        <f t="shared" si="11"/>
        <v>0</v>
      </c>
      <c r="T79" s="96">
        <f>SUM(T80:T81)/2</f>
        <v>0</v>
      </c>
      <c r="U79" s="127"/>
      <c r="V79" s="127"/>
      <c r="W79" s="173"/>
    </row>
    <row r="80" spans="1:24" ht="15" customHeight="1" x14ac:dyDescent="0.25">
      <c r="A80" s="6"/>
      <c r="B80" s="7"/>
      <c r="C80" s="7"/>
      <c r="D80" s="6"/>
      <c r="E80" s="6"/>
      <c r="F80" s="48"/>
      <c r="G80" s="48"/>
      <c r="H80" s="48"/>
      <c r="I80" s="55"/>
      <c r="J80" s="55" t="s">
        <v>18</v>
      </c>
      <c r="K80" s="78" t="s">
        <v>114</v>
      </c>
      <c r="L80" s="10"/>
      <c r="M80" s="97">
        <v>11200000</v>
      </c>
      <c r="N80" s="94">
        <f>februari!R80</f>
        <v>0</v>
      </c>
      <c r="O80" s="99">
        <f t="shared" si="9"/>
        <v>0</v>
      </c>
      <c r="P80" s="26"/>
      <c r="Q80" s="99">
        <f t="shared" si="10"/>
        <v>0</v>
      </c>
      <c r="R80" s="98">
        <f>N80+P80</f>
        <v>0</v>
      </c>
      <c r="S80" s="99">
        <f t="shared" si="11"/>
        <v>0</v>
      </c>
      <c r="T80" s="100">
        <f>0/4*100</f>
        <v>0</v>
      </c>
      <c r="U80" s="10"/>
      <c r="V80" s="10"/>
      <c r="W80" s="133"/>
    </row>
    <row r="81" spans="1:23" ht="15" customHeight="1" x14ac:dyDescent="0.25">
      <c r="A81" s="6"/>
      <c r="B81" s="7"/>
      <c r="C81" s="7"/>
      <c r="D81" s="6"/>
      <c r="E81" s="6"/>
      <c r="F81" s="48"/>
      <c r="G81" s="48"/>
      <c r="H81" s="48"/>
      <c r="I81" s="55"/>
      <c r="J81" s="55" t="s">
        <v>17</v>
      </c>
      <c r="K81" s="78" t="s">
        <v>115</v>
      </c>
      <c r="L81" s="10"/>
      <c r="M81" s="97">
        <v>1000000</v>
      </c>
      <c r="N81" s="94">
        <f>februari!R81</f>
        <v>0</v>
      </c>
      <c r="O81" s="99">
        <f t="shared" si="9"/>
        <v>0</v>
      </c>
      <c r="P81" s="26"/>
      <c r="Q81" s="95">
        <f t="shared" si="10"/>
        <v>0</v>
      </c>
      <c r="R81" s="98">
        <f>N81+P81</f>
        <v>0</v>
      </c>
      <c r="S81" s="95">
        <f t="shared" si="11"/>
        <v>0</v>
      </c>
      <c r="T81" s="100">
        <f>0/1*100</f>
        <v>0</v>
      </c>
      <c r="U81" s="10"/>
      <c r="V81" s="10"/>
      <c r="W81" s="133"/>
    </row>
    <row r="82" spans="1:23" ht="9.9499999999999993" customHeight="1" x14ac:dyDescent="0.25">
      <c r="A82" s="8"/>
      <c r="B82" s="9"/>
      <c r="C82" s="9"/>
      <c r="D82" s="8"/>
      <c r="E82" s="8"/>
      <c r="F82" s="42"/>
      <c r="G82" s="42"/>
      <c r="H82" s="42"/>
      <c r="I82" s="55"/>
      <c r="J82" s="55"/>
      <c r="K82" s="78"/>
      <c r="L82" s="10"/>
      <c r="M82" s="97"/>
      <c r="N82" s="94">
        <f>februari!R82</f>
        <v>0</v>
      </c>
      <c r="O82" s="99"/>
      <c r="P82" s="26"/>
      <c r="Q82" s="95"/>
      <c r="R82" s="98"/>
      <c r="S82" s="95"/>
      <c r="T82" s="100"/>
      <c r="U82" s="10"/>
      <c r="V82" s="10"/>
      <c r="W82" s="133"/>
    </row>
    <row r="83" spans="1:23" s="174" customFormat="1" ht="24.95" customHeight="1" x14ac:dyDescent="0.25">
      <c r="A83" s="8">
        <v>1</v>
      </c>
      <c r="B83" s="9" t="s">
        <v>17</v>
      </c>
      <c r="C83" s="9" t="s">
        <v>18</v>
      </c>
      <c r="D83" s="8">
        <v>38</v>
      </c>
      <c r="E83" s="8">
        <v>14</v>
      </c>
      <c r="F83" s="42" t="s">
        <v>21</v>
      </c>
      <c r="G83" s="42" t="s">
        <v>22</v>
      </c>
      <c r="H83" s="42" t="s">
        <v>24</v>
      </c>
      <c r="I83" s="60" t="s">
        <v>78</v>
      </c>
      <c r="J83" s="60"/>
      <c r="K83" s="79" t="s">
        <v>116</v>
      </c>
      <c r="L83" s="127"/>
      <c r="M83" s="103">
        <f>M84</f>
        <v>26000000</v>
      </c>
      <c r="N83" s="94">
        <f>februari!R83</f>
        <v>0</v>
      </c>
      <c r="O83" s="95">
        <f t="shared" si="9"/>
        <v>0</v>
      </c>
      <c r="P83" s="147">
        <f>P84</f>
        <v>0</v>
      </c>
      <c r="Q83" s="95">
        <f t="shared" si="10"/>
        <v>0</v>
      </c>
      <c r="R83" s="104">
        <f>R84</f>
        <v>0</v>
      </c>
      <c r="S83" s="95">
        <f t="shared" si="11"/>
        <v>0</v>
      </c>
      <c r="T83" s="96">
        <f>T84</f>
        <v>0</v>
      </c>
      <c r="U83" s="127"/>
      <c r="V83" s="127"/>
      <c r="W83" s="173"/>
    </row>
    <row r="84" spans="1:23" ht="15" customHeight="1" x14ac:dyDescent="0.25">
      <c r="A84" s="6"/>
      <c r="B84" s="7"/>
      <c r="C84" s="7"/>
      <c r="D84" s="6"/>
      <c r="E84" s="6"/>
      <c r="F84" s="48"/>
      <c r="G84" s="48"/>
      <c r="H84" s="48"/>
      <c r="I84" s="55"/>
      <c r="J84" s="55" t="s">
        <v>117</v>
      </c>
      <c r="K84" s="78" t="s">
        <v>118</v>
      </c>
      <c r="L84" s="10"/>
      <c r="M84" s="97">
        <v>26000000</v>
      </c>
      <c r="N84" s="94">
        <f>februari!R84</f>
        <v>0</v>
      </c>
      <c r="O84" s="99">
        <f t="shared" si="9"/>
        <v>0</v>
      </c>
      <c r="P84" s="26"/>
      <c r="Q84" s="95">
        <f t="shared" si="10"/>
        <v>0</v>
      </c>
      <c r="R84" s="98">
        <f>N84+P84</f>
        <v>0</v>
      </c>
      <c r="S84" s="95">
        <f t="shared" si="11"/>
        <v>0</v>
      </c>
      <c r="T84" s="100">
        <f>0/2*100</f>
        <v>0</v>
      </c>
      <c r="U84" s="10"/>
      <c r="V84" s="10"/>
      <c r="W84" s="133"/>
    </row>
    <row r="85" spans="1:23" ht="9.9499999999999993" customHeight="1" x14ac:dyDescent="0.25">
      <c r="A85" s="8"/>
      <c r="B85" s="9"/>
      <c r="C85" s="9"/>
      <c r="D85" s="8"/>
      <c r="E85" s="8"/>
      <c r="F85" s="42"/>
      <c r="G85" s="42"/>
      <c r="H85" s="42"/>
      <c r="I85" s="55"/>
      <c r="J85" s="55"/>
      <c r="K85" s="78"/>
      <c r="L85" s="10"/>
      <c r="M85" s="97"/>
      <c r="N85" s="94">
        <f>februari!R85</f>
        <v>0</v>
      </c>
      <c r="O85" s="99"/>
      <c r="P85" s="26"/>
      <c r="Q85" s="95"/>
      <c r="R85" s="98"/>
      <c r="S85" s="95"/>
      <c r="T85" s="100"/>
      <c r="U85" s="10"/>
      <c r="V85" s="10"/>
      <c r="W85" s="133"/>
    </row>
    <row r="86" spans="1:23" s="174" customFormat="1" ht="24.95" customHeight="1" x14ac:dyDescent="0.25">
      <c r="A86" s="8">
        <v>1</v>
      </c>
      <c r="B86" s="9" t="s">
        <v>17</v>
      </c>
      <c r="C86" s="9" t="s">
        <v>18</v>
      </c>
      <c r="D86" s="8">
        <v>38</v>
      </c>
      <c r="E86" s="8">
        <v>14</v>
      </c>
      <c r="F86" s="42" t="s">
        <v>21</v>
      </c>
      <c r="G86" s="42" t="s">
        <v>22</v>
      </c>
      <c r="H86" s="42" t="s">
        <v>24</v>
      </c>
      <c r="I86" s="60" t="s">
        <v>119</v>
      </c>
      <c r="J86" s="60"/>
      <c r="K86" s="79" t="s">
        <v>120</v>
      </c>
      <c r="L86" s="127"/>
      <c r="M86" s="103">
        <f>M87</f>
        <v>14000000</v>
      </c>
      <c r="N86" s="94">
        <f>februari!R86</f>
        <v>0</v>
      </c>
      <c r="O86" s="95">
        <f t="shared" si="9"/>
        <v>0</v>
      </c>
      <c r="P86" s="147">
        <f>P87</f>
        <v>0</v>
      </c>
      <c r="Q86" s="95">
        <f t="shared" si="10"/>
        <v>0</v>
      </c>
      <c r="R86" s="104">
        <f>R87</f>
        <v>0</v>
      </c>
      <c r="S86" s="95">
        <f t="shared" si="11"/>
        <v>0</v>
      </c>
      <c r="T86" s="96">
        <f>T87</f>
        <v>0</v>
      </c>
      <c r="U86" s="127"/>
      <c r="V86" s="127"/>
      <c r="W86" s="173"/>
    </row>
    <row r="87" spans="1:23" ht="15" customHeight="1" x14ac:dyDescent="0.25">
      <c r="A87" s="6"/>
      <c r="B87" s="7"/>
      <c r="C87" s="7"/>
      <c r="D87" s="6"/>
      <c r="E87" s="6"/>
      <c r="F87" s="157"/>
      <c r="G87" s="157"/>
      <c r="H87" s="157"/>
      <c r="I87" s="48"/>
      <c r="J87" s="48" t="s">
        <v>17</v>
      </c>
      <c r="K87" s="78" t="s">
        <v>121</v>
      </c>
      <c r="L87" s="10"/>
      <c r="M87" s="107">
        <v>14000000</v>
      </c>
      <c r="N87" s="94">
        <f>februari!R87</f>
        <v>0</v>
      </c>
      <c r="O87" s="99">
        <f t="shared" si="9"/>
        <v>0</v>
      </c>
      <c r="P87" s="108"/>
      <c r="Q87" s="99">
        <f t="shared" si="10"/>
        <v>0</v>
      </c>
      <c r="R87" s="108">
        <f>N87+P87</f>
        <v>0</v>
      </c>
      <c r="S87" s="99">
        <f t="shared" si="11"/>
        <v>0</v>
      </c>
      <c r="T87" s="100">
        <f>0/2*100</f>
        <v>0</v>
      </c>
      <c r="U87" s="10"/>
      <c r="V87" s="10"/>
      <c r="W87" s="133"/>
    </row>
    <row r="88" spans="1:23" ht="9.9499999999999993" customHeight="1" x14ac:dyDescent="0.25">
      <c r="A88" s="63"/>
      <c r="B88" s="63"/>
      <c r="C88" s="63"/>
      <c r="D88" s="63"/>
      <c r="E88" s="63"/>
      <c r="F88" s="42"/>
      <c r="G88" s="42"/>
      <c r="H88" s="42"/>
      <c r="I88" s="42"/>
      <c r="J88" s="65"/>
      <c r="K88" s="92"/>
      <c r="L88" s="10"/>
      <c r="M88" s="107"/>
      <c r="N88" s="94">
        <f>februari!R88</f>
        <v>0</v>
      </c>
      <c r="O88" s="99"/>
      <c r="P88" s="26"/>
      <c r="Q88" s="95"/>
      <c r="R88" s="108"/>
      <c r="S88" s="95"/>
      <c r="T88" s="100"/>
      <c r="U88" s="10"/>
      <c r="V88" s="10"/>
      <c r="W88" s="133"/>
    </row>
    <row r="89" spans="1:23" s="174" customFormat="1" ht="24.95" customHeight="1" x14ac:dyDescent="0.25">
      <c r="A89" s="8">
        <v>1</v>
      </c>
      <c r="B89" s="9" t="s">
        <v>17</v>
      </c>
      <c r="C89" s="9" t="s">
        <v>18</v>
      </c>
      <c r="D89" s="8">
        <v>38</v>
      </c>
      <c r="E89" s="8">
        <v>14</v>
      </c>
      <c r="F89" s="42" t="s">
        <v>21</v>
      </c>
      <c r="G89" s="42" t="s">
        <v>22</v>
      </c>
      <c r="H89" s="42" t="s">
        <v>24</v>
      </c>
      <c r="I89" s="42" t="s">
        <v>122</v>
      </c>
      <c r="J89" s="71"/>
      <c r="K89" s="150" t="s">
        <v>123</v>
      </c>
      <c r="L89" s="127"/>
      <c r="M89" s="105">
        <f>M90</f>
        <v>9000000</v>
      </c>
      <c r="N89" s="94">
        <f>februari!R89</f>
        <v>0</v>
      </c>
      <c r="O89" s="95">
        <f t="shared" si="9"/>
        <v>0</v>
      </c>
      <c r="P89" s="147">
        <f>P90</f>
        <v>0</v>
      </c>
      <c r="Q89" s="95">
        <f t="shared" si="10"/>
        <v>0</v>
      </c>
      <c r="R89" s="106">
        <f>R90</f>
        <v>0</v>
      </c>
      <c r="S89" s="95">
        <f t="shared" si="11"/>
        <v>0</v>
      </c>
      <c r="T89" s="96">
        <f>T90</f>
        <v>0</v>
      </c>
      <c r="U89" s="127"/>
      <c r="V89" s="127"/>
      <c r="W89" s="173"/>
    </row>
    <row r="90" spans="1:23" ht="15" customHeight="1" x14ac:dyDescent="0.25">
      <c r="A90" s="63"/>
      <c r="B90" s="63"/>
      <c r="C90" s="63"/>
      <c r="D90" s="63"/>
      <c r="E90" s="63"/>
      <c r="F90" s="48"/>
      <c r="G90" s="48"/>
      <c r="H90" s="48"/>
      <c r="I90" s="48"/>
      <c r="J90" s="65" t="s">
        <v>34</v>
      </c>
      <c r="K90" s="92" t="s">
        <v>124</v>
      </c>
      <c r="L90" s="10"/>
      <c r="M90" s="107">
        <v>9000000</v>
      </c>
      <c r="N90" s="94">
        <f>februari!R90</f>
        <v>0</v>
      </c>
      <c r="O90" s="99">
        <f t="shared" si="9"/>
        <v>0</v>
      </c>
      <c r="P90" s="26"/>
      <c r="Q90" s="99">
        <f t="shared" si="10"/>
        <v>0</v>
      </c>
      <c r="R90" s="108">
        <f>N90+P90</f>
        <v>0</v>
      </c>
      <c r="S90" s="99">
        <f t="shared" si="11"/>
        <v>0</v>
      </c>
      <c r="T90" s="100">
        <f>0/3*100</f>
        <v>0</v>
      </c>
      <c r="U90" s="10"/>
      <c r="V90" s="10"/>
      <c r="W90" s="133"/>
    </row>
    <row r="91" spans="1:23" ht="9.9499999999999993" customHeight="1" x14ac:dyDescent="0.25">
      <c r="A91" s="63"/>
      <c r="B91" s="63"/>
      <c r="C91" s="63"/>
      <c r="D91" s="63"/>
      <c r="E91" s="63"/>
      <c r="F91" s="42"/>
      <c r="G91" s="42"/>
      <c r="H91" s="42"/>
      <c r="I91" s="42"/>
      <c r="J91" s="65"/>
      <c r="K91" s="92"/>
      <c r="L91" s="10"/>
      <c r="M91" s="107"/>
      <c r="N91" s="94"/>
      <c r="O91" s="99"/>
      <c r="P91" s="26"/>
      <c r="Q91" s="99"/>
      <c r="R91" s="108"/>
      <c r="S91" s="99"/>
      <c r="T91" s="100"/>
      <c r="U91" s="10"/>
      <c r="V91" s="10"/>
      <c r="W91" s="133"/>
    </row>
    <row r="92" spans="1:23" x14ac:dyDescent="0.25">
      <c r="A92" s="171"/>
      <c r="B92" s="171"/>
      <c r="C92" s="171"/>
      <c r="D92" s="171"/>
      <c r="E92" s="171"/>
      <c r="F92" s="171"/>
      <c r="G92" s="171"/>
      <c r="H92" s="171"/>
      <c r="I92" s="171"/>
      <c r="J92" s="171"/>
      <c r="K92" s="171"/>
      <c r="L92" s="171"/>
      <c r="M92" s="175"/>
      <c r="N92" s="171"/>
      <c r="O92" s="171"/>
      <c r="P92" s="171"/>
      <c r="Q92" s="171"/>
      <c r="R92" s="171"/>
      <c r="S92" s="171"/>
      <c r="T92" s="171"/>
      <c r="U92" s="171"/>
      <c r="V92" s="171"/>
      <c r="W92" s="171"/>
    </row>
    <row r="93" spans="1:23" x14ac:dyDescent="0.25">
      <c r="A93" s="171"/>
      <c r="B93" s="171"/>
      <c r="C93" s="171"/>
      <c r="D93" s="171"/>
      <c r="E93" s="171"/>
      <c r="F93" s="171"/>
      <c r="G93" s="171"/>
      <c r="H93" s="171"/>
      <c r="I93" s="171"/>
      <c r="J93" s="171"/>
      <c r="K93" s="171"/>
      <c r="L93" s="171"/>
      <c r="M93" s="175"/>
      <c r="N93" s="171"/>
      <c r="O93" s="171"/>
      <c r="P93" s="192" t="s">
        <v>128</v>
      </c>
      <c r="Q93" s="192"/>
      <c r="R93" s="192"/>
      <c r="S93" s="192"/>
      <c r="T93" s="192"/>
      <c r="U93" s="192"/>
      <c r="V93" s="192"/>
      <c r="W93" s="176"/>
    </row>
    <row r="94" spans="1:23" x14ac:dyDescent="0.25">
      <c r="A94" s="171"/>
      <c r="B94" s="171"/>
      <c r="C94" s="171"/>
      <c r="D94" s="171"/>
      <c r="E94" s="171"/>
      <c r="F94" s="171"/>
      <c r="G94" s="171"/>
      <c r="H94" s="171"/>
      <c r="I94" s="171"/>
      <c r="J94" s="171"/>
      <c r="K94" s="171"/>
      <c r="L94" s="171"/>
      <c r="M94" s="175"/>
      <c r="N94" s="171"/>
      <c r="O94" s="171"/>
      <c r="P94" s="192" t="s">
        <v>46</v>
      </c>
      <c r="Q94" s="192"/>
      <c r="R94" s="192"/>
      <c r="S94" s="192"/>
      <c r="T94" s="192"/>
      <c r="U94" s="192"/>
      <c r="V94" s="192"/>
      <c r="W94" s="176"/>
    </row>
    <row r="95" spans="1:23" x14ac:dyDescent="0.25">
      <c r="A95" s="171"/>
      <c r="B95" s="171"/>
      <c r="C95" s="171"/>
      <c r="D95" s="171"/>
      <c r="E95" s="171"/>
      <c r="F95" s="171"/>
      <c r="G95" s="171"/>
      <c r="H95" s="171"/>
      <c r="I95" s="171"/>
      <c r="J95" s="171"/>
      <c r="K95" s="171"/>
      <c r="L95" s="171"/>
      <c r="M95" s="175"/>
      <c r="N95" s="171"/>
      <c r="O95" s="171"/>
      <c r="P95" s="177"/>
      <c r="Q95" s="177"/>
      <c r="R95" s="177"/>
      <c r="S95" s="177"/>
      <c r="T95" s="177"/>
      <c r="U95" s="177"/>
      <c r="V95" s="177"/>
      <c r="W95" s="171"/>
    </row>
    <row r="96" spans="1:23" x14ac:dyDescent="0.25">
      <c r="A96" s="171"/>
      <c r="B96" s="171"/>
      <c r="C96" s="171"/>
      <c r="D96" s="171"/>
      <c r="E96" s="171"/>
      <c r="F96" s="171"/>
      <c r="G96" s="171"/>
      <c r="H96" s="171"/>
      <c r="I96" s="171"/>
      <c r="J96" s="171"/>
      <c r="K96" s="171"/>
      <c r="L96" s="171"/>
      <c r="M96" s="175"/>
      <c r="N96" s="171"/>
      <c r="O96" s="171"/>
      <c r="P96" s="177"/>
      <c r="Q96" s="177"/>
      <c r="R96" s="177"/>
      <c r="S96" s="177"/>
      <c r="T96" s="177"/>
      <c r="U96" s="177"/>
      <c r="V96" s="177"/>
      <c r="W96" s="171"/>
    </row>
    <row r="97" spans="1:23" x14ac:dyDescent="0.25">
      <c r="A97" s="171"/>
      <c r="B97" s="171"/>
      <c r="C97" s="171"/>
      <c r="D97" s="171"/>
      <c r="E97" s="171"/>
      <c r="F97" s="171"/>
      <c r="G97" s="171"/>
      <c r="H97" s="171"/>
      <c r="I97" s="171"/>
      <c r="J97" s="171"/>
      <c r="K97" s="171"/>
      <c r="L97" s="171"/>
      <c r="M97" s="175"/>
      <c r="N97" s="171"/>
      <c r="O97" s="171"/>
      <c r="P97" s="177"/>
      <c r="Q97" s="177"/>
      <c r="R97" s="177"/>
      <c r="S97" s="177"/>
      <c r="T97" s="177"/>
      <c r="U97" s="177"/>
      <c r="V97" s="177"/>
      <c r="W97" s="171"/>
    </row>
    <row r="98" spans="1:23" x14ac:dyDescent="0.25">
      <c r="A98" s="171"/>
      <c r="B98" s="171"/>
      <c r="C98" s="171"/>
      <c r="D98" s="171"/>
      <c r="E98" s="171"/>
      <c r="F98" s="171"/>
      <c r="G98" s="171"/>
      <c r="H98" s="171"/>
      <c r="I98" s="171"/>
      <c r="J98" s="171"/>
      <c r="K98" s="171"/>
      <c r="L98" s="171"/>
      <c r="M98" s="175"/>
      <c r="N98" s="171"/>
      <c r="O98" s="171"/>
      <c r="P98" s="177"/>
      <c r="Q98" s="177"/>
      <c r="R98" s="177"/>
      <c r="S98" s="177"/>
      <c r="T98" s="177"/>
      <c r="U98" s="177"/>
      <c r="V98" s="177"/>
      <c r="W98" s="171"/>
    </row>
    <row r="99" spans="1:23" x14ac:dyDescent="0.25">
      <c r="A99" s="171"/>
      <c r="B99" s="171"/>
      <c r="C99" s="171"/>
      <c r="D99" s="171"/>
      <c r="E99" s="171"/>
      <c r="F99" s="171"/>
      <c r="G99" s="171"/>
      <c r="H99" s="171"/>
      <c r="I99" s="171"/>
      <c r="J99" s="171"/>
      <c r="K99" s="171"/>
      <c r="L99" s="171"/>
      <c r="M99" s="175"/>
      <c r="N99" s="171"/>
      <c r="O99" s="171"/>
      <c r="P99" s="193" t="s">
        <v>70</v>
      </c>
      <c r="Q99" s="193"/>
      <c r="R99" s="193"/>
      <c r="S99" s="193"/>
      <c r="T99" s="193"/>
      <c r="U99" s="193"/>
      <c r="V99" s="193"/>
      <c r="W99" s="178"/>
    </row>
    <row r="100" spans="1:23" x14ac:dyDescent="0.25">
      <c r="A100" s="171"/>
      <c r="B100" s="171"/>
      <c r="C100" s="171"/>
      <c r="D100" s="171"/>
      <c r="E100" s="171"/>
      <c r="F100" s="171"/>
      <c r="G100" s="171"/>
      <c r="H100" s="171"/>
      <c r="I100" s="171"/>
      <c r="J100" s="171"/>
      <c r="K100" s="171"/>
      <c r="L100" s="171"/>
      <c r="M100" s="175"/>
      <c r="N100" s="171"/>
      <c r="O100" s="171"/>
      <c r="P100" s="189" t="s">
        <v>71</v>
      </c>
      <c r="Q100" s="189"/>
      <c r="R100" s="189"/>
      <c r="S100" s="189"/>
      <c r="T100" s="189"/>
      <c r="U100" s="189"/>
      <c r="V100" s="189"/>
      <c r="W100" s="179"/>
    </row>
  </sheetData>
  <mergeCells count="24">
    <mergeCell ref="R8:S8"/>
    <mergeCell ref="P100:V100"/>
    <mergeCell ref="A10:J10"/>
    <mergeCell ref="L10:L11"/>
    <mergeCell ref="A11:J11"/>
    <mergeCell ref="P93:V93"/>
    <mergeCell ref="P94:V94"/>
    <mergeCell ref="P99:V99"/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T7"/>
    <mergeCell ref="N8:O8"/>
    <mergeCell ref="P8:Q8"/>
  </mergeCells>
  <pageMargins left="0.59055118110236227" right="0.59055118110236227" top="0.39370078740157483" bottom="0.19685039370078741" header="0.31496062992125984" footer="0.31496062992125984"/>
  <pageSetup paperSize="10000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C000"/>
  </sheetPr>
  <dimension ref="A1:X100"/>
  <sheetViews>
    <sheetView topLeftCell="A70" zoomScaleNormal="100" workbookViewId="0">
      <selection activeCell="A89" sqref="A89:XFD89"/>
    </sheetView>
  </sheetViews>
  <sheetFormatPr defaultRowHeight="15" x14ac:dyDescent="0.25"/>
  <cols>
    <col min="1" max="8" width="2.7109375" style="168" customWidth="1"/>
    <col min="9" max="9" width="3.140625" style="168" customWidth="1"/>
    <col min="10" max="10" width="3.5703125" style="168" customWidth="1"/>
    <col min="11" max="11" width="53" style="168" customWidth="1"/>
    <col min="12" max="12" width="11" style="168" customWidth="1"/>
    <col min="13" max="13" width="14.5703125" style="170" customWidth="1"/>
    <col min="14" max="14" width="13" style="168" customWidth="1"/>
    <col min="15" max="15" width="7.5703125" style="168" customWidth="1"/>
    <col min="16" max="16" width="13.28515625" style="168" customWidth="1"/>
    <col min="17" max="17" width="8" style="168" customWidth="1"/>
    <col min="18" max="18" width="13" style="168" customWidth="1"/>
    <col min="19" max="19" width="9.42578125" style="168" customWidth="1"/>
    <col min="20" max="20" width="11.140625" style="168" customWidth="1"/>
    <col min="21" max="21" width="15.5703125" style="168" customWidth="1"/>
    <col min="22" max="22" width="22.42578125" style="168" customWidth="1"/>
    <col min="23" max="23" width="18.28515625" style="168" customWidth="1"/>
    <col min="24" max="24" width="15.5703125" style="168" bestFit="1" customWidth="1"/>
    <col min="25" max="25" width="12.85546875" style="168" bestFit="1" customWidth="1"/>
    <col min="26" max="16384" width="9.140625" style="168"/>
  </cols>
  <sheetData>
    <row r="1" spans="1:24" ht="16.5" x14ac:dyDescent="0.25">
      <c r="A1" s="194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67"/>
    </row>
    <row r="2" spans="1:24" ht="16.5" x14ac:dyDescent="0.25">
      <c r="A2" s="194" t="s">
        <v>72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67"/>
    </row>
    <row r="3" spans="1:24" ht="16.5" x14ac:dyDescent="0.25">
      <c r="A3" s="194" t="s">
        <v>73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67"/>
    </row>
    <row r="4" spans="1:24" ht="16.5" x14ac:dyDescent="0.25">
      <c r="A4" s="194" t="s">
        <v>90</v>
      </c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67"/>
    </row>
    <row r="5" spans="1:24" ht="18" x14ac:dyDescent="0.25">
      <c r="A5" s="169"/>
      <c r="B5" s="169"/>
      <c r="C5" s="169"/>
      <c r="D5" s="169"/>
      <c r="E5" s="169"/>
    </row>
    <row r="6" spans="1:24" x14ac:dyDescent="0.25">
      <c r="A6" s="195" t="s">
        <v>1</v>
      </c>
      <c r="B6" s="195"/>
      <c r="C6" s="195"/>
      <c r="D6" s="195"/>
      <c r="E6" s="195"/>
      <c r="F6" s="195"/>
      <c r="G6" s="195"/>
      <c r="H6" s="195"/>
      <c r="I6" s="195"/>
      <c r="J6" s="195"/>
      <c r="K6" s="195" t="s">
        <v>2</v>
      </c>
      <c r="L6" s="188" t="s">
        <v>3</v>
      </c>
      <c r="M6" s="196" t="s">
        <v>4</v>
      </c>
      <c r="N6" s="195" t="s">
        <v>5</v>
      </c>
      <c r="O6" s="195"/>
      <c r="P6" s="195"/>
      <c r="Q6" s="195"/>
      <c r="R6" s="195"/>
      <c r="S6" s="195"/>
      <c r="T6" s="195"/>
      <c r="U6" s="188" t="s">
        <v>6</v>
      </c>
      <c r="V6" s="188" t="s">
        <v>7</v>
      </c>
      <c r="W6" s="21"/>
    </row>
    <row r="7" spans="1:24" x14ac:dyDescent="0.25">
      <c r="A7" s="195"/>
      <c r="B7" s="195"/>
      <c r="C7" s="195"/>
      <c r="D7" s="195"/>
      <c r="E7" s="195"/>
      <c r="F7" s="195"/>
      <c r="G7" s="195"/>
      <c r="H7" s="195"/>
      <c r="I7" s="195"/>
      <c r="J7" s="195"/>
      <c r="K7" s="195"/>
      <c r="L7" s="188"/>
      <c r="M7" s="196"/>
      <c r="N7" s="200" t="s">
        <v>8</v>
      </c>
      <c r="O7" s="201"/>
      <c r="P7" s="200" t="s">
        <v>9</v>
      </c>
      <c r="Q7" s="201"/>
      <c r="R7" s="202" t="s">
        <v>10</v>
      </c>
      <c r="S7" s="203"/>
      <c r="T7" s="204"/>
      <c r="U7" s="188"/>
      <c r="V7" s="188"/>
      <c r="W7" s="21"/>
    </row>
    <row r="8" spans="1:24" x14ac:dyDescent="0.25">
      <c r="A8" s="195"/>
      <c r="B8" s="195"/>
      <c r="C8" s="195"/>
      <c r="D8" s="195"/>
      <c r="E8" s="195"/>
      <c r="F8" s="195"/>
      <c r="G8" s="195"/>
      <c r="H8" s="195"/>
      <c r="I8" s="195"/>
      <c r="J8" s="195"/>
      <c r="K8" s="195"/>
      <c r="L8" s="188"/>
      <c r="M8" s="196"/>
      <c r="N8" s="188" t="s">
        <v>11</v>
      </c>
      <c r="O8" s="188"/>
      <c r="P8" s="188" t="s">
        <v>11</v>
      </c>
      <c r="Q8" s="188"/>
      <c r="R8" s="188" t="s">
        <v>11</v>
      </c>
      <c r="S8" s="188"/>
      <c r="T8" s="151" t="s">
        <v>12</v>
      </c>
      <c r="U8" s="188"/>
      <c r="V8" s="188"/>
      <c r="W8" s="21"/>
    </row>
    <row r="9" spans="1:24" x14ac:dyDescent="0.25">
      <c r="A9" s="195"/>
      <c r="B9" s="195"/>
      <c r="C9" s="195"/>
      <c r="D9" s="195"/>
      <c r="E9" s="195"/>
      <c r="F9" s="195"/>
      <c r="G9" s="195"/>
      <c r="H9" s="195"/>
      <c r="I9" s="195"/>
      <c r="J9" s="195"/>
      <c r="K9" s="195"/>
      <c r="L9" s="188"/>
      <c r="M9" s="196"/>
      <c r="N9" s="151" t="s">
        <v>13</v>
      </c>
      <c r="O9" s="151" t="s">
        <v>14</v>
      </c>
      <c r="P9" s="151" t="s">
        <v>13</v>
      </c>
      <c r="Q9" s="151" t="s">
        <v>14</v>
      </c>
      <c r="R9" s="151" t="s">
        <v>13</v>
      </c>
      <c r="S9" s="151" t="s">
        <v>14</v>
      </c>
      <c r="T9" s="151" t="s">
        <v>14</v>
      </c>
      <c r="U9" s="188"/>
      <c r="V9" s="188"/>
      <c r="W9" s="21"/>
    </row>
    <row r="10" spans="1:24" s="171" customFormat="1" ht="12.75" x14ac:dyDescent="0.25">
      <c r="A10" s="190" t="s">
        <v>74</v>
      </c>
      <c r="B10" s="190"/>
      <c r="C10" s="190"/>
      <c r="D10" s="190"/>
      <c r="E10" s="190"/>
      <c r="F10" s="190"/>
      <c r="G10" s="190"/>
      <c r="H10" s="190"/>
      <c r="I10" s="190"/>
      <c r="J10" s="190"/>
      <c r="K10" s="76" t="s">
        <v>72</v>
      </c>
      <c r="L10" s="198" t="s">
        <v>15</v>
      </c>
      <c r="M10" s="32"/>
      <c r="N10" s="3"/>
      <c r="O10" s="153"/>
      <c r="P10" s="153"/>
      <c r="Q10" s="153"/>
      <c r="R10" s="153"/>
      <c r="S10" s="153"/>
      <c r="T10" s="153"/>
      <c r="U10" s="153"/>
      <c r="V10" s="153"/>
      <c r="W10" s="22"/>
    </row>
    <row r="11" spans="1:24" s="171" customFormat="1" ht="39.950000000000003" customHeight="1" x14ac:dyDescent="0.25">
      <c r="A11" s="190" t="s">
        <v>75</v>
      </c>
      <c r="B11" s="190"/>
      <c r="C11" s="190"/>
      <c r="D11" s="190"/>
      <c r="E11" s="190"/>
      <c r="F11" s="190"/>
      <c r="G11" s="190"/>
      <c r="H11" s="190"/>
      <c r="I11" s="190"/>
      <c r="J11" s="190"/>
      <c r="K11" s="76" t="s">
        <v>16</v>
      </c>
      <c r="L11" s="199"/>
      <c r="M11" s="33">
        <f>M12</f>
        <v>908784000</v>
      </c>
      <c r="N11" s="3"/>
      <c r="O11" s="153"/>
      <c r="P11" s="153"/>
      <c r="Q11" s="153"/>
      <c r="R11" s="5"/>
      <c r="S11" s="153"/>
      <c r="T11" s="153"/>
      <c r="U11" s="158"/>
      <c r="V11" s="153"/>
      <c r="W11" s="22"/>
    </row>
    <row r="12" spans="1:24" ht="20.100000000000001" customHeight="1" x14ac:dyDescent="0.25">
      <c r="A12" s="8">
        <v>1</v>
      </c>
      <c r="B12" s="9" t="s">
        <v>17</v>
      </c>
      <c r="C12" s="9" t="s">
        <v>18</v>
      </c>
      <c r="D12" s="8">
        <v>38</v>
      </c>
      <c r="E12" s="8">
        <v>14</v>
      </c>
      <c r="F12" s="38">
        <v>5</v>
      </c>
      <c r="G12" s="38">
        <v>2</v>
      </c>
      <c r="H12" s="38"/>
      <c r="I12" s="39"/>
      <c r="J12" s="40"/>
      <c r="K12" s="77" t="s">
        <v>19</v>
      </c>
      <c r="L12" s="159"/>
      <c r="M12" s="93">
        <f>M13+M14+M15</f>
        <v>908784000</v>
      </c>
      <c r="N12" s="94">
        <f>maret!R12</f>
        <v>167306720</v>
      </c>
      <c r="O12" s="95">
        <f>N12/M12*100</f>
        <v>18.409954400605642</v>
      </c>
      <c r="P12" s="94">
        <f>P13+P14+P15</f>
        <v>37854480</v>
      </c>
      <c r="Q12" s="95">
        <f>P12/M12*100</f>
        <v>4.1653990387154707</v>
      </c>
      <c r="R12" s="94">
        <f>R13+R14+R15</f>
        <v>205161200</v>
      </c>
      <c r="S12" s="95">
        <f>R12/M12*100</f>
        <v>22.575353439321113</v>
      </c>
      <c r="T12" s="96">
        <f>SUM(T13:T15)/3</f>
        <v>18.963257712758967</v>
      </c>
      <c r="U12" s="10"/>
      <c r="V12" s="10"/>
      <c r="W12" s="172">
        <v>66604000</v>
      </c>
    </row>
    <row r="13" spans="1:24" ht="20.100000000000001" customHeight="1" x14ac:dyDescent="0.25">
      <c r="A13" s="8">
        <v>1</v>
      </c>
      <c r="B13" s="9" t="s">
        <v>17</v>
      </c>
      <c r="C13" s="9" t="s">
        <v>18</v>
      </c>
      <c r="D13" s="8">
        <v>38</v>
      </c>
      <c r="E13" s="8">
        <v>14</v>
      </c>
      <c r="F13" s="41">
        <v>5</v>
      </c>
      <c r="G13" s="41">
        <v>2</v>
      </c>
      <c r="H13" s="41">
        <v>1</v>
      </c>
      <c r="I13" s="42"/>
      <c r="J13" s="43"/>
      <c r="K13" s="73" t="s">
        <v>20</v>
      </c>
      <c r="L13" s="159"/>
      <c r="M13" s="97">
        <f>M17</f>
        <v>545270400</v>
      </c>
      <c r="N13" s="94">
        <f>maret!R13</f>
        <v>109321920</v>
      </c>
      <c r="O13" s="99">
        <f t="shared" ref="O13:O76" si="0">N13/M13*100</f>
        <v>20.049120583108856</v>
      </c>
      <c r="P13" s="98">
        <f>P17</f>
        <v>36488880</v>
      </c>
      <c r="Q13" s="99">
        <f t="shared" ref="Q13:Q76" si="1">P13/M13*100</f>
        <v>6.6918871811123442</v>
      </c>
      <c r="R13" s="98">
        <f>N13+P13</f>
        <v>145810800</v>
      </c>
      <c r="S13" s="99">
        <f t="shared" ref="S13:S76" si="2">R13/M13*100</f>
        <v>26.741007764221202</v>
      </c>
      <c r="T13" s="100">
        <f>T17</f>
        <v>33.333333333333329</v>
      </c>
      <c r="U13" s="10"/>
      <c r="V13" s="10"/>
      <c r="W13" s="133"/>
      <c r="X13" s="182"/>
    </row>
    <row r="14" spans="1:24" ht="20.100000000000001" customHeight="1" x14ac:dyDescent="0.25">
      <c r="A14" s="8">
        <v>1</v>
      </c>
      <c r="B14" s="9" t="s">
        <v>17</v>
      </c>
      <c r="C14" s="9" t="s">
        <v>18</v>
      </c>
      <c r="D14" s="8">
        <v>38</v>
      </c>
      <c r="E14" s="8">
        <v>14</v>
      </c>
      <c r="F14" s="42" t="s">
        <v>21</v>
      </c>
      <c r="G14" s="42" t="s">
        <v>22</v>
      </c>
      <c r="H14" s="42" t="s">
        <v>22</v>
      </c>
      <c r="I14" s="44"/>
      <c r="J14" s="45"/>
      <c r="K14" s="78" t="s">
        <v>23</v>
      </c>
      <c r="L14" s="11"/>
      <c r="M14" s="97">
        <f>M21</f>
        <v>294813600</v>
      </c>
      <c r="N14" s="94">
        <f>maret!R14</f>
        <v>57984800</v>
      </c>
      <c r="O14" s="99">
        <f t="shared" si="0"/>
        <v>19.668292100500111</v>
      </c>
      <c r="P14" s="98">
        <f>P21</f>
        <v>1365600</v>
      </c>
      <c r="Q14" s="99">
        <f t="shared" si="1"/>
        <v>0.46320793884678313</v>
      </c>
      <c r="R14" s="98">
        <f>N14+P14</f>
        <v>59350400</v>
      </c>
      <c r="S14" s="99">
        <f t="shared" si="2"/>
        <v>20.131500039346896</v>
      </c>
      <c r="T14" s="100">
        <f>T21</f>
        <v>23.556439804943572</v>
      </c>
      <c r="U14" s="10"/>
      <c r="V14" s="10"/>
      <c r="W14" s="133"/>
    </row>
    <row r="15" spans="1:24" ht="20.100000000000001" customHeight="1" x14ac:dyDescent="0.25">
      <c r="A15" s="8">
        <v>1</v>
      </c>
      <c r="B15" s="9" t="s">
        <v>17</v>
      </c>
      <c r="C15" s="9" t="s">
        <v>18</v>
      </c>
      <c r="D15" s="8">
        <v>38</v>
      </c>
      <c r="E15" s="8">
        <v>14</v>
      </c>
      <c r="F15" s="42" t="s">
        <v>21</v>
      </c>
      <c r="G15" s="42" t="s">
        <v>22</v>
      </c>
      <c r="H15" s="42" t="s">
        <v>24</v>
      </c>
      <c r="I15" s="44"/>
      <c r="J15" s="45"/>
      <c r="K15" s="78" t="s">
        <v>25</v>
      </c>
      <c r="L15" s="11"/>
      <c r="M15" s="97">
        <f>M75</f>
        <v>68700000</v>
      </c>
      <c r="N15" s="94">
        <f>maret!R15</f>
        <v>0</v>
      </c>
      <c r="O15" s="99">
        <f t="shared" si="0"/>
        <v>0</v>
      </c>
      <c r="P15" s="98">
        <f>P75</f>
        <v>0</v>
      </c>
      <c r="Q15" s="99">
        <f t="shared" si="1"/>
        <v>0</v>
      </c>
      <c r="R15" s="98">
        <f>N15+P15</f>
        <v>0</v>
      </c>
      <c r="S15" s="99">
        <f t="shared" si="2"/>
        <v>0</v>
      </c>
      <c r="T15" s="100">
        <f>T75</f>
        <v>0</v>
      </c>
      <c r="U15" s="10"/>
      <c r="V15" s="10"/>
      <c r="W15" s="133"/>
    </row>
    <row r="16" spans="1:24" ht="9.9499999999999993" customHeight="1" x14ac:dyDescent="0.25">
      <c r="A16" s="8"/>
      <c r="B16" s="9"/>
      <c r="C16" s="9"/>
      <c r="D16" s="8"/>
      <c r="E16" s="8"/>
      <c r="F16" s="42"/>
      <c r="G16" s="42"/>
      <c r="H16" s="42"/>
      <c r="I16" s="44"/>
      <c r="J16" s="45"/>
      <c r="K16" s="78"/>
      <c r="L16" s="11"/>
      <c r="M16" s="97"/>
      <c r="N16" s="94">
        <f>maret!R16</f>
        <v>0</v>
      </c>
      <c r="O16" s="99"/>
      <c r="P16" s="101"/>
      <c r="Q16" s="99"/>
      <c r="R16" s="101"/>
      <c r="S16" s="99"/>
      <c r="T16" s="102"/>
      <c r="U16" s="10"/>
      <c r="V16" s="10"/>
      <c r="W16" s="133"/>
    </row>
    <row r="17" spans="1:24" ht="20.100000000000001" customHeight="1" x14ac:dyDescent="0.25">
      <c r="A17" s="8">
        <v>1</v>
      </c>
      <c r="B17" s="9" t="s">
        <v>17</v>
      </c>
      <c r="C17" s="9" t="s">
        <v>18</v>
      </c>
      <c r="D17" s="8">
        <v>38</v>
      </c>
      <c r="E17" s="8">
        <v>14</v>
      </c>
      <c r="F17" s="42" t="s">
        <v>21</v>
      </c>
      <c r="G17" s="42" t="s">
        <v>22</v>
      </c>
      <c r="H17" s="42" t="s">
        <v>26</v>
      </c>
      <c r="I17" s="42"/>
      <c r="J17" s="46"/>
      <c r="K17" s="79" t="s">
        <v>20</v>
      </c>
      <c r="L17" s="11"/>
      <c r="M17" s="103">
        <f>M18</f>
        <v>545270400</v>
      </c>
      <c r="N17" s="94">
        <f>maret!R17</f>
        <v>109321920</v>
      </c>
      <c r="O17" s="99">
        <f t="shared" si="0"/>
        <v>20.049120583108856</v>
      </c>
      <c r="P17" s="104">
        <f>P18</f>
        <v>36488880</v>
      </c>
      <c r="Q17" s="95">
        <f t="shared" si="1"/>
        <v>6.6918871811123442</v>
      </c>
      <c r="R17" s="104">
        <f>R18</f>
        <v>145810800</v>
      </c>
      <c r="S17" s="95">
        <f t="shared" si="2"/>
        <v>26.741007764221202</v>
      </c>
      <c r="T17" s="96">
        <f>T18</f>
        <v>33.333333333333329</v>
      </c>
      <c r="U17" s="10"/>
      <c r="V17" s="10"/>
      <c r="W17" s="133"/>
    </row>
    <row r="18" spans="1:24" ht="20.100000000000001" customHeight="1" x14ac:dyDescent="0.25">
      <c r="A18" s="8">
        <v>1</v>
      </c>
      <c r="B18" s="9" t="s">
        <v>17</v>
      </c>
      <c r="C18" s="9" t="s">
        <v>18</v>
      </c>
      <c r="D18" s="8">
        <v>38</v>
      </c>
      <c r="E18" s="8">
        <v>14</v>
      </c>
      <c r="F18" s="41">
        <v>5</v>
      </c>
      <c r="G18" s="41">
        <v>2</v>
      </c>
      <c r="H18" s="41">
        <v>1</v>
      </c>
      <c r="I18" s="42" t="s">
        <v>30</v>
      </c>
      <c r="J18" s="47"/>
      <c r="K18" s="80" t="s">
        <v>31</v>
      </c>
      <c r="L18" s="159"/>
      <c r="M18" s="105">
        <f>M19</f>
        <v>545270400</v>
      </c>
      <c r="N18" s="94">
        <f>maret!R18</f>
        <v>109321920</v>
      </c>
      <c r="O18" s="99">
        <f t="shared" si="0"/>
        <v>20.049120583108856</v>
      </c>
      <c r="P18" s="106">
        <f>P19</f>
        <v>36488880</v>
      </c>
      <c r="Q18" s="95">
        <f t="shared" si="1"/>
        <v>6.6918871811123442</v>
      </c>
      <c r="R18" s="106">
        <f>R19</f>
        <v>145810800</v>
      </c>
      <c r="S18" s="95">
        <f t="shared" si="2"/>
        <v>26.741007764221202</v>
      </c>
      <c r="T18" s="96">
        <f>T19</f>
        <v>33.333333333333329</v>
      </c>
      <c r="U18" s="10"/>
      <c r="V18" s="10"/>
      <c r="W18" s="133"/>
      <c r="X18" s="36">
        <v>40961340</v>
      </c>
    </row>
    <row r="19" spans="1:24" ht="15" customHeight="1" x14ac:dyDescent="0.25">
      <c r="A19" s="6"/>
      <c r="B19" s="7"/>
      <c r="C19" s="7"/>
      <c r="D19" s="6"/>
      <c r="E19" s="6"/>
      <c r="F19" s="41"/>
      <c r="G19" s="41"/>
      <c r="H19" s="41"/>
      <c r="I19" s="42"/>
      <c r="J19" s="43" t="s">
        <v>18</v>
      </c>
      <c r="K19" s="73" t="s">
        <v>32</v>
      </c>
      <c r="L19" s="161"/>
      <c r="M19" s="107">
        <v>545270400</v>
      </c>
      <c r="N19" s="94">
        <f>maret!R19</f>
        <v>109321920</v>
      </c>
      <c r="O19" s="99">
        <f t="shared" si="0"/>
        <v>20.049120583108856</v>
      </c>
      <c r="P19" s="26">
        <v>36488880</v>
      </c>
      <c r="Q19" s="99">
        <f t="shared" si="1"/>
        <v>6.6918871811123442</v>
      </c>
      <c r="R19" s="108">
        <f>N19+P19</f>
        <v>145810800</v>
      </c>
      <c r="S19" s="99">
        <f>R19/M19*100</f>
        <v>26.741007764221202</v>
      </c>
      <c r="T19" s="100">
        <f>4/12*100</f>
        <v>33.333333333333329</v>
      </c>
      <c r="U19" s="10"/>
      <c r="V19" s="10"/>
      <c r="W19" s="133"/>
    </row>
    <row r="20" spans="1:24" ht="9.9499999999999993" customHeight="1" x14ac:dyDescent="0.25">
      <c r="A20" s="10"/>
      <c r="B20" s="10"/>
      <c r="C20" s="10"/>
      <c r="D20" s="10"/>
      <c r="E20" s="10"/>
      <c r="F20" s="121"/>
      <c r="G20" s="121"/>
      <c r="H20" s="121"/>
      <c r="I20" s="122"/>
      <c r="J20" s="123"/>
      <c r="K20" s="73"/>
      <c r="L20" s="78"/>
      <c r="M20" s="107"/>
      <c r="N20" s="94">
        <f>maret!R20</f>
        <v>0</v>
      </c>
      <c r="O20" s="99"/>
      <c r="P20" s="101"/>
      <c r="Q20" s="99"/>
      <c r="R20" s="101"/>
      <c r="S20" s="99"/>
      <c r="T20" s="109"/>
      <c r="U20" s="10"/>
      <c r="V20" s="10"/>
      <c r="W20" s="133"/>
    </row>
    <row r="21" spans="1:24" ht="20.100000000000001" customHeight="1" x14ac:dyDescent="0.25">
      <c r="A21" s="8">
        <v>1</v>
      </c>
      <c r="B21" s="9" t="s">
        <v>17</v>
      </c>
      <c r="C21" s="9" t="s">
        <v>18</v>
      </c>
      <c r="D21" s="8">
        <v>38</v>
      </c>
      <c r="E21" s="8">
        <v>14</v>
      </c>
      <c r="F21" s="42" t="s">
        <v>21</v>
      </c>
      <c r="G21" s="42" t="s">
        <v>22</v>
      </c>
      <c r="H21" s="42" t="s">
        <v>22</v>
      </c>
      <c r="I21" s="48"/>
      <c r="J21" s="49"/>
      <c r="K21" s="79" t="s">
        <v>23</v>
      </c>
      <c r="L21" s="11"/>
      <c r="M21" s="105">
        <f>M22+M31+M34+M42+M46+M52+M55+M58+M68+M72+M64+M39+M49</f>
        <v>294813600</v>
      </c>
      <c r="N21" s="94">
        <f>maret!R21</f>
        <v>54864800</v>
      </c>
      <c r="O21" s="95">
        <f t="shared" si="0"/>
        <v>18.60999628239674</v>
      </c>
      <c r="P21" s="106">
        <f>P22+P31+P34+P42+P46+P52+P55+P58+P68+P72+P39+P49</f>
        <v>1365600</v>
      </c>
      <c r="Q21" s="95">
        <f t="shared" si="1"/>
        <v>0.46320793884678313</v>
      </c>
      <c r="R21" s="106">
        <f>R22+R31+R34+R42+R46+R52+R55+R58+R68+R72+R39+R49</f>
        <v>56230400</v>
      </c>
      <c r="S21" s="95">
        <f>R21/M21*100</f>
        <v>19.073204221243525</v>
      </c>
      <c r="T21" s="110">
        <f>(T22+T31+T34+T42+T46+T52+T55+T58+T68+T72+T39+T49)/13</f>
        <v>23.556439804943572</v>
      </c>
      <c r="U21" s="10"/>
      <c r="V21" s="160"/>
      <c r="W21" s="183">
        <f>R21-R14</f>
        <v>-3120000</v>
      </c>
    </row>
    <row r="22" spans="1:24" ht="20.100000000000001" customHeight="1" x14ac:dyDescent="0.25">
      <c r="A22" s="6">
        <v>1</v>
      </c>
      <c r="B22" s="9" t="s">
        <v>17</v>
      </c>
      <c r="C22" s="9" t="s">
        <v>18</v>
      </c>
      <c r="D22" s="8">
        <v>38</v>
      </c>
      <c r="E22" s="8">
        <v>14</v>
      </c>
      <c r="F22" s="42" t="s">
        <v>21</v>
      </c>
      <c r="G22" s="42" t="s">
        <v>22</v>
      </c>
      <c r="H22" s="42" t="s">
        <v>22</v>
      </c>
      <c r="I22" s="42" t="s">
        <v>18</v>
      </c>
      <c r="J22" s="43"/>
      <c r="K22" s="79" t="s">
        <v>33</v>
      </c>
      <c r="L22" s="17"/>
      <c r="M22" s="105">
        <f>SUM(M23:M29)</f>
        <v>119064100</v>
      </c>
      <c r="N22" s="94">
        <f>maret!R22</f>
        <v>8185900</v>
      </c>
      <c r="O22" s="95">
        <f t="shared" si="0"/>
        <v>6.8752041967310049</v>
      </c>
      <c r="P22" s="111">
        <f>SUM(P23:P29)</f>
        <v>145000</v>
      </c>
      <c r="Q22" s="95">
        <f t="shared" si="1"/>
        <v>0.12178314034205105</v>
      </c>
      <c r="R22" s="111">
        <f>SUM(R23:R29)</f>
        <v>8330900</v>
      </c>
      <c r="S22" s="95">
        <f t="shared" si="2"/>
        <v>6.9969873370730555</v>
      </c>
      <c r="T22" s="96">
        <f>SUM(T23:T29)/7</f>
        <v>16.666666666666664</v>
      </c>
      <c r="U22" s="10"/>
      <c r="V22" s="10"/>
      <c r="W22" s="133"/>
    </row>
    <row r="23" spans="1:24" ht="15" customHeight="1" x14ac:dyDescent="0.25">
      <c r="A23" s="10"/>
      <c r="B23" s="10"/>
      <c r="C23" s="10"/>
      <c r="D23" s="10"/>
      <c r="E23" s="10"/>
      <c r="F23" s="48"/>
      <c r="G23" s="48"/>
      <c r="H23" s="48"/>
      <c r="I23" s="48"/>
      <c r="J23" s="50" t="s">
        <v>18</v>
      </c>
      <c r="K23" s="81" t="s">
        <v>99</v>
      </c>
      <c r="L23" s="73"/>
      <c r="M23" s="97">
        <v>14306500</v>
      </c>
      <c r="N23" s="94">
        <f>maret!R23</f>
        <v>7360900</v>
      </c>
      <c r="O23" s="99">
        <f t="shared" si="0"/>
        <v>51.451438157480865</v>
      </c>
      <c r="P23" s="26"/>
      <c r="Q23" s="99">
        <f t="shared" si="1"/>
        <v>0</v>
      </c>
      <c r="R23" s="112">
        <f>N23+P23</f>
        <v>7360900</v>
      </c>
      <c r="S23" s="99">
        <f t="shared" si="2"/>
        <v>51.451438157480865</v>
      </c>
      <c r="T23" s="100">
        <f>1/2*100</f>
        <v>50</v>
      </c>
      <c r="U23" s="10"/>
      <c r="V23" s="10"/>
      <c r="W23" s="133"/>
    </row>
    <row r="24" spans="1:24" ht="15" customHeight="1" x14ac:dyDescent="0.25">
      <c r="A24" s="6"/>
      <c r="B24" s="7"/>
      <c r="C24" s="7"/>
      <c r="D24" s="6"/>
      <c r="E24" s="6"/>
      <c r="F24" s="48"/>
      <c r="G24" s="48"/>
      <c r="H24" s="48"/>
      <c r="I24" s="48"/>
      <c r="J24" s="50" t="s">
        <v>35</v>
      </c>
      <c r="K24" s="74" t="s">
        <v>100</v>
      </c>
      <c r="L24" s="12"/>
      <c r="M24" s="97">
        <v>780000</v>
      </c>
      <c r="N24" s="94">
        <f>maret!R24</f>
        <v>390000</v>
      </c>
      <c r="O24" s="99">
        <f t="shared" si="0"/>
        <v>50</v>
      </c>
      <c r="P24" s="101"/>
      <c r="Q24" s="99">
        <f t="shared" si="1"/>
        <v>0</v>
      </c>
      <c r="R24" s="112">
        <f>N24+P24</f>
        <v>390000</v>
      </c>
      <c r="S24" s="99">
        <f t="shared" si="2"/>
        <v>50</v>
      </c>
      <c r="T24" s="100">
        <f>1/2*100</f>
        <v>50</v>
      </c>
      <c r="U24" s="10"/>
      <c r="V24" s="10"/>
      <c r="W24" s="133"/>
    </row>
    <row r="25" spans="1:24" ht="15" customHeight="1" x14ac:dyDescent="0.25">
      <c r="A25" s="6"/>
      <c r="B25" s="7"/>
      <c r="C25" s="7"/>
      <c r="D25" s="6"/>
      <c r="E25" s="6"/>
      <c r="F25" s="48"/>
      <c r="G25" s="48"/>
      <c r="H25" s="48"/>
      <c r="I25" s="48"/>
      <c r="J25" s="43" t="s">
        <v>28</v>
      </c>
      <c r="K25" s="81" t="s">
        <v>101</v>
      </c>
      <c r="L25" s="12"/>
      <c r="M25" s="97">
        <v>2000000</v>
      </c>
      <c r="N25" s="94">
        <f>maret!R25</f>
        <v>0</v>
      </c>
      <c r="O25" s="99">
        <f t="shared" si="0"/>
        <v>0</v>
      </c>
      <c r="P25" s="101"/>
      <c r="Q25" s="99">
        <f t="shared" si="1"/>
        <v>0</v>
      </c>
      <c r="R25" s="112">
        <f t="shared" ref="R25:R29" si="3">N25+P25</f>
        <v>0</v>
      </c>
      <c r="S25" s="99">
        <f t="shared" si="2"/>
        <v>0</v>
      </c>
      <c r="T25" s="100">
        <f>0/10*100</f>
        <v>0</v>
      </c>
      <c r="U25" s="10"/>
      <c r="V25" s="10"/>
      <c r="W25" s="133"/>
    </row>
    <row r="26" spans="1:24" ht="15" customHeight="1" x14ac:dyDescent="0.25">
      <c r="A26" s="6"/>
      <c r="B26" s="7"/>
      <c r="C26" s="7"/>
      <c r="D26" s="6"/>
      <c r="E26" s="6"/>
      <c r="F26" s="48"/>
      <c r="G26" s="48"/>
      <c r="H26" s="48"/>
      <c r="I26" s="51"/>
      <c r="J26" s="43" t="s">
        <v>50</v>
      </c>
      <c r="K26" s="81" t="s">
        <v>102</v>
      </c>
      <c r="L26" s="12"/>
      <c r="M26" s="97">
        <v>800000</v>
      </c>
      <c r="N26" s="94">
        <f>maret!R26</f>
        <v>0</v>
      </c>
      <c r="O26" s="99">
        <f t="shared" si="0"/>
        <v>0</v>
      </c>
      <c r="P26" s="101"/>
      <c r="Q26" s="99">
        <f t="shared" si="1"/>
        <v>0</v>
      </c>
      <c r="R26" s="112">
        <f t="shared" si="3"/>
        <v>0</v>
      </c>
      <c r="S26" s="99">
        <f t="shared" si="2"/>
        <v>0</v>
      </c>
      <c r="T26" s="100">
        <f>0/2*100</f>
        <v>0</v>
      </c>
      <c r="U26" s="10"/>
      <c r="V26" s="10"/>
      <c r="W26" s="133"/>
    </row>
    <row r="27" spans="1:24" ht="15" customHeight="1" x14ac:dyDescent="0.25">
      <c r="A27" s="6"/>
      <c r="B27" s="7"/>
      <c r="C27" s="7"/>
      <c r="D27" s="6"/>
      <c r="E27" s="6"/>
      <c r="F27" s="121"/>
      <c r="G27" s="122"/>
      <c r="H27" s="122"/>
      <c r="I27" s="124"/>
      <c r="J27" s="52" t="s">
        <v>30</v>
      </c>
      <c r="K27" s="82" t="s">
        <v>103</v>
      </c>
      <c r="L27" s="12"/>
      <c r="M27" s="97">
        <v>2610000</v>
      </c>
      <c r="N27" s="94">
        <f>maret!R27</f>
        <v>435000</v>
      </c>
      <c r="O27" s="99">
        <f t="shared" si="0"/>
        <v>16.666666666666664</v>
      </c>
      <c r="P27" s="132">
        <v>145000</v>
      </c>
      <c r="Q27" s="99">
        <f t="shared" si="1"/>
        <v>5.5555555555555554</v>
      </c>
      <c r="R27" s="112">
        <f t="shared" si="3"/>
        <v>580000</v>
      </c>
      <c r="S27" s="99">
        <f t="shared" si="2"/>
        <v>22.222222222222221</v>
      </c>
      <c r="T27" s="100">
        <f>4/24*100</f>
        <v>16.666666666666664</v>
      </c>
      <c r="U27" s="10"/>
      <c r="V27" s="10"/>
      <c r="W27" s="133"/>
    </row>
    <row r="28" spans="1:24" ht="15" customHeight="1" x14ac:dyDescent="0.25">
      <c r="A28" s="6"/>
      <c r="B28" s="7"/>
      <c r="C28" s="7"/>
      <c r="D28" s="6"/>
      <c r="E28" s="6"/>
      <c r="F28" s="48"/>
      <c r="G28" s="48"/>
      <c r="H28" s="48"/>
      <c r="I28" s="53"/>
      <c r="J28" s="43" t="s">
        <v>37</v>
      </c>
      <c r="K28" s="74" t="s">
        <v>38</v>
      </c>
      <c r="L28" s="162"/>
      <c r="M28" s="97">
        <v>98117600</v>
      </c>
      <c r="N28" s="94">
        <f>maret!R28</f>
        <v>0</v>
      </c>
      <c r="O28" s="99">
        <f t="shared" si="0"/>
        <v>0</v>
      </c>
      <c r="P28" s="26"/>
      <c r="Q28" s="99">
        <f t="shared" si="1"/>
        <v>0</v>
      </c>
      <c r="R28" s="112">
        <f t="shared" si="3"/>
        <v>0</v>
      </c>
      <c r="S28" s="99">
        <f t="shared" si="2"/>
        <v>0</v>
      </c>
      <c r="T28" s="100">
        <f>0/2*100</f>
        <v>0</v>
      </c>
      <c r="U28" s="10"/>
      <c r="V28" s="10"/>
      <c r="W28" s="133"/>
    </row>
    <row r="29" spans="1:24" ht="15" customHeight="1" x14ac:dyDescent="0.25">
      <c r="A29" s="6"/>
      <c r="B29" s="7"/>
      <c r="C29" s="7"/>
      <c r="D29" s="6"/>
      <c r="E29" s="6"/>
      <c r="F29" s="48"/>
      <c r="G29" s="48"/>
      <c r="H29" s="48"/>
      <c r="I29" s="48"/>
      <c r="J29" s="43" t="s">
        <v>44</v>
      </c>
      <c r="K29" s="74" t="s">
        <v>104</v>
      </c>
      <c r="L29" s="161"/>
      <c r="M29" s="97">
        <v>450000</v>
      </c>
      <c r="N29" s="94">
        <f>maret!R29</f>
        <v>0</v>
      </c>
      <c r="O29" s="99">
        <f t="shared" si="0"/>
        <v>0</v>
      </c>
      <c r="P29" s="101"/>
      <c r="Q29" s="99">
        <f t="shared" si="1"/>
        <v>0</v>
      </c>
      <c r="R29" s="112">
        <f t="shared" si="3"/>
        <v>0</v>
      </c>
      <c r="S29" s="99">
        <f t="shared" si="2"/>
        <v>0</v>
      </c>
      <c r="T29" s="100">
        <f>0/3*100</f>
        <v>0</v>
      </c>
      <c r="U29" s="10"/>
      <c r="V29" s="10"/>
      <c r="W29" s="133"/>
    </row>
    <row r="30" spans="1:24" ht="9.9499999999999993" customHeight="1" x14ac:dyDescent="0.25">
      <c r="A30" s="6"/>
      <c r="B30" s="7"/>
      <c r="C30" s="7"/>
      <c r="D30" s="6"/>
      <c r="E30" s="6"/>
      <c r="F30" s="54"/>
      <c r="G30" s="54"/>
      <c r="H30" s="54"/>
      <c r="I30" s="55"/>
      <c r="J30" s="56"/>
      <c r="K30" s="83"/>
      <c r="L30" s="163"/>
      <c r="M30" s="115"/>
      <c r="N30" s="94">
        <f>maret!R30</f>
        <v>0</v>
      </c>
      <c r="O30" s="99"/>
      <c r="P30" s="101"/>
      <c r="Q30" s="99"/>
      <c r="R30" s="101"/>
      <c r="S30" s="99"/>
      <c r="T30" s="101"/>
      <c r="U30" s="10"/>
      <c r="V30" s="10"/>
      <c r="W30" s="133"/>
    </row>
    <row r="31" spans="1:24" ht="20.100000000000001" customHeight="1" x14ac:dyDescent="0.25">
      <c r="A31" s="8">
        <v>1</v>
      </c>
      <c r="B31" s="9" t="s">
        <v>17</v>
      </c>
      <c r="C31" s="9" t="s">
        <v>18</v>
      </c>
      <c r="D31" s="8">
        <v>38</v>
      </c>
      <c r="E31" s="8">
        <v>14</v>
      </c>
      <c r="F31" s="41">
        <v>5</v>
      </c>
      <c r="G31" s="41">
        <v>2</v>
      </c>
      <c r="H31" s="41">
        <v>2</v>
      </c>
      <c r="I31" s="42" t="s">
        <v>17</v>
      </c>
      <c r="J31" s="46"/>
      <c r="K31" s="80" t="s">
        <v>39</v>
      </c>
      <c r="L31" s="14"/>
      <c r="M31" s="105">
        <f>M32</f>
        <v>2400000</v>
      </c>
      <c r="N31" s="94">
        <f>maret!R31</f>
        <v>600000</v>
      </c>
      <c r="O31" s="99">
        <f t="shared" si="0"/>
        <v>25</v>
      </c>
      <c r="P31" s="94">
        <f>P32</f>
        <v>200000</v>
      </c>
      <c r="Q31" s="95">
        <f t="shared" si="1"/>
        <v>8.3333333333333321</v>
      </c>
      <c r="R31" s="116">
        <f>R32</f>
        <v>800000</v>
      </c>
      <c r="S31" s="95">
        <f t="shared" si="2"/>
        <v>33.333333333333329</v>
      </c>
      <c r="T31" s="95">
        <f>(T32)/1</f>
        <v>33.333333333333329</v>
      </c>
      <c r="U31" s="10"/>
      <c r="V31" s="10"/>
      <c r="W31" s="133"/>
    </row>
    <row r="32" spans="1:24" ht="15" customHeight="1" x14ac:dyDescent="0.25">
      <c r="A32" s="6"/>
      <c r="B32" s="7"/>
      <c r="C32" s="7"/>
      <c r="D32" s="6"/>
      <c r="E32" s="6"/>
      <c r="F32" s="48"/>
      <c r="G32" s="48"/>
      <c r="H32" s="48"/>
      <c r="I32" s="53"/>
      <c r="J32" s="43" t="s">
        <v>28</v>
      </c>
      <c r="K32" s="74" t="s">
        <v>40</v>
      </c>
      <c r="L32" s="12"/>
      <c r="M32" s="97">
        <v>2400000</v>
      </c>
      <c r="N32" s="94">
        <f>maret!R32</f>
        <v>600000</v>
      </c>
      <c r="O32" s="99">
        <f t="shared" si="0"/>
        <v>25</v>
      </c>
      <c r="P32" s="26">
        <v>200000</v>
      </c>
      <c r="Q32" s="99">
        <f t="shared" si="1"/>
        <v>8.3333333333333321</v>
      </c>
      <c r="R32" s="101">
        <f t="shared" ref="R32" si="4">N32+P32</f>
        <v>800000</v>
      </c>
      <c r="S32" s="99">
        <f t="shared" si="2"/>
        <v>33.333333333333329</v>
      </c>
      <c r="T32" s="100">
        <f>40/120*100</f>
        <v>33.333333333333329</v>
      </c>
      <c r="U32" s="10"/>
      <c r="V32" s="10"/>
      <c r="W32" s="133"/>
    </row>
    <row r="33" spans="1:24" ht="9.9499999999999993" customHeight="1" x14ac:dyDescent="0.25">
      <c r="A33" s="10"/>
      <c r="B33" s="10"/>
      <c r="C33" s="10"/>
      <c r="D33" s="10"/>
      <c r="E33" s="10"/>
      <c r="F33" s="54"/>
      <c r="G33" s="54"/>
      <c r="H33" s="54"/>
      <c r="I33" s="48"/>
      <c r="J33" s="43"/>
      <c r="K33" s="73"/>
      <c r="L33" s="13"/>
      <c r="M33" s="107"/>
      <c r="N33" s="94">
        <f>maret!R33</f>
        <v>0</v>
      </c>
      <c r="O33" s="99"/>
      <c r="P33" s="101"/>
      <c r="Q33" s="99"/>
      <c r="R33" s="101"/>
      <c r="S33" s="99"/>
      <c r="T33" s="101"/>
      <c r="U33" s="10"/>
      <c r="V33" s="10"/>
      <c r="W33" s="133"/>
    </row>
    <row r="34" spans="1:24" ht="20.100000000000001" customHeight="1" x14ac:dyDescent="0.25">
      <c r="A34" s="8">
        <v>1</v>
      </c>
      <c r="B34" s="9" t="s">
        <v>17</v>
      </c>
      <c r="C34" s="9" t="s">
        <v>18</v>
      </c>
      <c r="D34" s="8">
        <v>38</v>
      </c>
      <c r="E34" s="8">
        <v>14</v>
      </c>
      <c r="F34" s="41">
        <v>5</v>
      </c>
      <c r="G34" s="41">
        <v>2</v>
      </c>
      <c r="H34" s="41">
        <v>2</v>
      </c>
      <c r="I34" s="42" t="s">
        <v>34</v>
      </c>
      <c r="J34" s="46"/>
      <c r="K34" s="80" t="s">
        <v>52</v>
      </c>
      <c r="L34" s="14"/>
      <c r="M34" s="103">
        <f>M35+M37+M36</f>
        <v>19800000</v>
      </c>
      <c r="N34" s="94">
        <f>maret!R34</f>
        <v>2617100</v>
      </c>
      <c r="O34" s="99">
        <f t="shared" si="0"/>
        <v>13.217676767676767</v>
      </c>
      <c r="P34" s="116">
        <f>P35+P36+P37</f>
        <v>870600</v>
      </c>
      <c r="Q34" s="95">
        <f t="shared" si="1"/>
        <v>4.3969696969696974</v>
      </c>
      <c r="R34" s="116">
        <f>R35+R36</f>
        <v>3487700</v>
      </c>
      <c r="S34" s="95">
        <f>R34/M34*100</f>
        <v>17.614646464646462</v>
      </c>
      <c r="T34" s="95">
        <f>SUM(T35:T37)/3</f>
        <v>33.333333333333329</v>
      </c>
      <c r="U34" s="10"/>
      <c r="V34" s="10"/>
      <c r="W34" s="133"/>
    </row>
    <row r="35" spans="1:24" ht="15" customHeight="1" x14ac:dyDescent="0.25">
      <c r="A35" s="10"/>
      <c r="B35" s="10"/>
      <c r="C35" s="10"/>
      <c r="D35" s="10"/>
      <c r="E35" s="10"/>
      <c r="F35" s="54"/>
      <c r="G35" s="54"/>
      <c r="H35" s="54"/>
      <c r="I35" s="48"/>
      <c r="J35" s="43" t="s">
        <v>28</v>
      </c>
      <c r="K35" s="73" t="s">
        <v>41</v>
      </c>
      <c r="L35" s="164"/>
      <c r="M35" s="97">
        <v>12000000</v>
      </c>
      <c r="N35" s="94">
        <f>maret!R35</f>
        <v>2603100</v>
      </c>
      <c r="O35" s="99">
        <f t="shared" si="0"/>
        <v>21.692499999999999</v>
      </c>
      <c r="P35" s="26">
        <v>867700</v>
      </c>
      <c r="Q35" s="99">
        <f t="shared" si="1"/>
        <v>7.2308333333333339</v>
      </c>
      <c r="R35" s="101">
        <f>N35+P35</f>
        <v>3470800</v>
      </c>
      <c r="S35" s="99">
        <f>R35/M35*100</f>
        <v>28.923333333333336</v>
      </c>
      <c r="T35" s="99">
        <f>4/12*100</f>
        <v>33.333333333333329</v>
      </c>
      <c r="U35" s="10"/>
      <c r="V35" s="10"/>
      <c r="W35" s="133"/>
    </row>
    <row r="36" spans="1:24" ht="15" customHeight="1" x14ac:dyDescent="0.25">
      <c r="A36" s="6"/>
      <c r="B36" s="7"/>
      <c r="C36" s="7"/>
      <c r="D36" s="6"/>
      <c r="E36" s="6"/>
      <c r="F36" s="54"/>
      <c r="G36" s="54"/>
      <c r="H36" s="54"/>
      <c r="I36" s="48"/>
      <c r="J36" s="43" t="s">
        <v>29</v>
      </c>
      <c r="K36" s="74" t="s">
        <v>42</v>
      </c>
      <c r="L36" s="54"/>
      <c r="M36" s="107">
        <v>600000</v>
      </c>
      <c r="N36" s="94">
        <f>maret!R36</f>
        <v>14000</v>
      </c>
      <c r="O36" s="99">
        <f t="shared" si="0"/>
        <v>2.3333333333333335</v>
      </c>
      <c r="P36" s="26">
        <v>2900</v>
      </c>
      <c r="Q36" s="99">
        <f t="shared" si="1"/>
        <v>0.48333333333333334</v>
      </c>
      <c r="R36" s="101">
        <f>N36+P36</f>
        <v>16900</v>
      </c>
      <c r="S36" s="99">
        <f>R36/M36*100</f>
        <v>2.8166666666666664</v>
      </c>
      <c r="T36" s="100">
        <f>4/12*100</f>
        <v>33.333333333333329</v>
      </c>
      <c r="U36" s="10"/>
      <c r="V36" s="10"/>
      <c r="W36" s="133"/>
    </row>
    <row r="37" spans="1:24" ht="15" customHeight="1" x14ac:dyDescent="0.25">
      <c r="A37" s="10"/>
      <c r="B37" s="10"/>
      <c r="C37" s="10"/>
      <c r="D37" s="10"/>
      <c r="E37" s="10"/>
      <c r="F37" s="57"/>
      <c r="G37" s="57"/>
      <c r="H37" s="57"/>
      <c r="I37" s="125"/>
      <c r="J37" s="58" t="s">
        <v>47</v>
      </c>
      <c r="K37" s="75" t="s">
        <v>64</v>
      </c>
      <c r="L37" s="164"/>
      <c r="M37" s="97">
        <v>7200000</v>
      </c>
      <c r="N37" s="94">
        <f>maret!R37</f>
        <v>1120000</v>
      </c>
      <c r="O37" s="99">
        <f t="shared" si="0"/>
        <v>15.555555555555555</v>
      </c>
      <c r="P37" s="101"/>
      <c r="Q37" s="99">
        <f t="shared" si="1"/>
        <v>0</v>
      </c>
      <c r="R37" s="101">
        <f>N37+P37</f>
        <v>1120000</v>
      </c>
      <c r="S37" s="99">
        <f t="shared" si="2"/>
        <v>15.555555555555555</v>
      </c>
      <c r="T37" s="100">
        <f>1/3*100</f>
        <v>33.333333333333329</v>
      </c>
      <c r="U37" s="10"/>
      <c r="V37" s="10"/>
      <c r="W37" s="133"/>
    </row>
    <row r="38" spans="1:24" ht="9.9499999999999993" customHeight="1" x14ac:dyDescent="0.25">
      <c r="A38" s="10"/>
      <c r="B38" s="10"/>
      <c r="C38" s="10"/>
      <c r="D38" s="10"/>
      <c r="E38" s="10"/>
      <c r="F38" s="57"/>
      <c r="G38" s="57"/>
      <c r="H38" s="57"/>
      <c r="I38" s="125"/>
      <c r="J38" s="126"/>
      <c r="K38" s="84"/>
      <c r="L38" s="165"/>
      <c r="M38" s="115"/>
      <c r="N38" s="94">
        <f>maret!R38</f>
        <v>0</v>
      </c>
      <c r="O38" s="99"/>
      <c r="P38" s="101"/>
      <c r="Q38" s="99"/>
      <c r="R38" s="101"/>
      <c r="S38" s="99"/>
      <c r="T38" s="101"/>
      <c r="U38" s="10"/>
      <c r="V38" s="10"/>
      <c r="W38" s="133"/>
    </row>
    <row r="39" spans="1:24" ht="20.100000000000001" customHeight="1" x14ac:dyDescent="0.25">
      <c r="A39" s="8">
        <v>1</v>
      </c>
      <c r="B39" s="9" t="s">
        <v>17</v>
      </c>
      <c r="C39" s="9" t="s">
        <v>18</v>
      </c>
      <c r="D39" s="8">
        <v>38</v>
      </c>
      <c r="E39" s="8">
        <v>14</v>
      </c>
      <c r="F39" s="41">
        <v>5</v>
      </c>
      <c r="G39" s="41">
        <v>2</v>
      </c>
      <c r="H39" s="41">
        <v>2</v>
      </c>
      <c r="I39" s="42" t="s">
        <v>27</v>
      </c>
      <c r="J39" s="155"/>
      <c r="K39" s="154" t="s">
        <v>105</v>
      </c>
      <c r="L39" s="14"/>
      <c r="M39" s="103">
        <f>M40</f>
        <v>900000</v>
      </c>
      <c r="N39" s="94">
        <f>maret!R39</f>
        <v>0</v>
      </c>
      <c r="O39" s="99">
        <f t="shared" si="0"/>
        <v>0</v>
      </c>
      <c r="P39" s="101">
        <f>P40</f>
        <v>0</v>
      </c>
      <c r="Q39" s="99">
        <f t="shared" si="1"/>
        <v>0</v>
      </c>
      <c r="R39" s="101">
        <f>R40</f>
        <v>0</v>
      </c>
      <c r="S39" s="99">
        <f t="shared" si="2"/>
        <v>0</v>
      </c>
      <c r="T39" s="96">
        <f>T40</f>
        <v>0</v>
      </c>
      <c r="U39" s="10"/>
      <c r="V39" s="10"/>
      <c r="W39" s="133"/>
    </row>
    <row r="40" spans="1:24" ht="15" customHeight="1" x14ac:dyDescent="0.25">
      <c r="A40" s="63"/>
      <c r="B40" s="63"/>
      <c r="C40" s="63"/>
      <c r="D40" s="63"/>
      <c r="E40" s="63"/>
      <c r="F40" s="57"/>
      <c r="G40" s="57"/>
      <c r="H40" s="57"/>
      <c r="I40" s="67"/>
      <c r="J40" s="43" t="s">
        <v>17</v>
      </c>
      <c r="K40" s="75" t="s">
        <v>106</v>
      </c>
      <c r="L40" s="13"/>
      <c r="M40" s="97">
        <v>900000</v>
      </c>
      <c r="N40" s="94">
        <f>maret!R40</f>
        <v>0</v>
      </c>
      <c r="O40" s="99">
        <f t="shared" si="0"/>
        <v>0</v>
      </c>
      <c r="P40" s="101"/>
      <c r="Q40" s="99">
        <f t="shared" si="1"/>
        <v>0</v>
      </c>
      <c r="R40" s="101">
        <f>N40+P40</f>
        <v>0</v>
      </c>
      <c r="S40" s="99">
        <f t="shared" si="2"/>
        <v>0</v>
      </c>
      <c r="T40" s="100">
        <f>0/1*100</f>
        <v>0</v>
      </c>
      <c r="U40" s="10"/>
      <c r="V40" s="10"/>
      <c r="W40" s="133"/>
    </row>
    <row r="41" spans="1:24" ht="9.9499999999999993" customHeight="1" x14ac:dyDescent="0.25">
      <c r="A41" s="63"/>
      <c r="B41" s="63"/>
      <c r="C41" s="63"/>
      <c r="D41" s="63"/>
      <c r="E41" s="63"/>
      <c r="F41" s="57"/>
      <c r="G41" s="57"/>
      <c r="H41" s="57"/>
      <c r="I41" s="67"/>
      <c r="J41" s="68"/>
      <c r="K41" s="84"/>
      <c r="L41" s="165"/>
      <c r="M41" s="115"/>
      <c r="N41" s="94">
        <f>maret!R41</f>
        <v>0</v>
      </c>
      <c r="O41" s="99"/>
      <c r="P41" s="101"/>
      <c r="Q41" s="99"/>
      <c r="R41" s="101"/>
      <c r="S41" s="99"/>
      <c r="T41" s="101"/>
      <c r="U41" s="10"/>
      <c r="V41" s="10"/>
      <c r="W41" s="133"/>
    </row>
    <row r="42" spans="1:24" ht="20.100000000000001" customHeight="1" x14ac:dyDescent="0.25">
      <c r="A42" s="8">
        <v>1</v>
      </c>
      <c r="B42" s="9" t="s">
        <v>17</v>
      </c>
      <c r="C42" s="9" t="s">
        <v>18</v>
      </c>
      <c r="D42" s="8">
        <v>38</v>
      </c>
      <c r="E42" s="8">
        <v>14</v>
      </c>
      <c r="F42" s="42" t="s">
        <v>21</v>
      </c>
      <c r="G42" s="42" t="s">
        <v>22</v>
      </c>
      <c r="H42" s="42" t="s">
        <v>22</v>
      </c>
      <c r="I42" s="60" t="s">
        <v>28</v>
      </c>
      <c r="J42" s="56"/>
      <c r="K42" s="85" t="s">
        <v>53</v>
      </c>
      <c r="L42" s="14"/>
      <c r="M42" s="103">
        <f>SUM(M43:M44)</f>
        <v>29487500</v>
      </c>
      <c r="N42" s="94">
        <f>maret!R42</f>
        <v>450000</v>
      </c>
      <c r="O42" s="99">
        <f t="shared" si="0"/>
        <v>1.526070368800339</v>
      </c>
      <c r="P42" s="104">
        <f>P44+P43</f>
        <v>150000</v>
      </c>
      <c r="Q42" s="95">
        <f t="shared" si="1"/>
        <v>0.5086901229334464</v>
      </c>
      <c r="R42" s="104">
        <f>SUM(R43:R44)</f>
        <v>600000</v>
      </c>
      <c r="S42" s="95">
        <f t="shared" si="2"/>
        <v>2.0347604917337856</v>
      </c>
      <c r="T42" s="95">
        <f>SUM(T43:T44)/2</f>
        <v>4.287245444801715</v>
      </c>
      <c r="U42" s="10"/>
      <c r="V42" s="10"/>
      <c r="W42" s="133"/>
    </row>
    <row r="43" spans="1:24" ht="15" customHeight="1" x14ac:dyDescent="0.25">
      <c r="A43" s="8"/>
      <c r="B43" s="9"/>
      <c r="C43" s="9"/>
      <c r="D43" s="8"/>
      <c r="E43" s="8"/>
      <c r="F43" s="42"/>
      <c r="G43" s="42"/>
      <c r="H43" s="42"/>
      <c r="I43" s="59"/>
      <c r="J43" s="50" t="s">
        <v>18</v>
      </c>
      <c r="K43" s="81" t="s">
        <v>65</v>
      </c>
      <c r="L43" s="14"/>
      <c r="M43" s="97">
        <v>22490000</v>
      </c>
      <c r="N43" s="94">
        <f>maret!R43</f>
        <v>0</v>
      </c>
      <c r="O43" s="99">
        <f t="shared" si="0"/>
        <v>0</v>
      </c>
      <c r="P43" s="26"/>
      <c r="Q43" s="99">
        <f t="shared" si="1"/>
        <v>0</v>
      </c>
      <c r="R43" s="98">
        <f>N43+P43</f>
        <v>0</v>
      </c>
      <c r="S43" s="99">
        <f>R43/M43*100</f>
        <v>0</v>
      </c>
      <c r="T43" s="99">
        <v>0</v>
      </c>
      <c r="U43" s="10"/>
      <c r="V43" s="10"/>
      <c r="W43" s="133"/>
    </row>
    <row r="44" spans="1:24" ht="15" customHeight="1" x14ac:dyDescent="0.25">
      <c r="A44" s="6"/>
      <c r="B44" s="7"/>
      <c r="C44" s="7"/>
      <c r="D44" s="6"/>
      <c r="E44" s="6"/>
      <c r="F44" s="48"/>
      <c r="G44" s="48"/>
      <c r="H44" s="48"/>
      <c r="I44" s="51"/>
      <c r="J44" s="50" t="s">
        <v>17</v>
      </c>
      <c r="K44" s="82" t="s">
        <v>54</v>
      </c>
      <c r="L44" s="162"/>
      <c r="M44" s="97">
        <v>6997500</v>
      </c>
      <c r="N44" s="94">
        <f>maret!R44</f>
        <v>450000</v>
      </c>
      <c r="O44" s="99">
        <f t="shared" si="0"/>
        <v>6.430868167202572</v>
      </c>
      <c r="P44" s="26">
        <v>150000</v>
      </c>
      <c r="Q44" s="99">
        <f t="shared" si="1"/>
        <v>2.1436227224008575</v>
      </c>
      <c r="R44" s="98">
        <f>N44+P44</f>
        <v>600000</v>
      </c>
      <c r="S44" s="99">
        <f>R44/M44*100</f>
        <v>8.57449088960343</v>
      </c>
      <c r="T44" s="100">
        <f>2400/27990*100</f>
        <v>8.57449088960343</v>
      </c>
      <c r="U44" s="10"/>
      <c r="V44" s="10"/>
      <c r="W44" s="133"/>
    </row>
    <row r="45" spans="1:24" ht="9.9499999999999993" customHeight="1" x14ac:dyDescent="0.25">
      <c r="A45" s="10"/>
      <c r="B45" s="10"/>
      <c r="C45" s="10"/>
      <c r="D45" s="10"/>
      <c r="E45" s="10"/>
      <c r="F45" s="48"/>
      <c r="G45" s="48"/>
      <c r="H45" s="48"/>
      <c r="I45" s="53"/>
      <c r="J45" s="56"/>
      <c r="K45" s="86"/>
      <c r="L45" s="165"/>
      <c r="M45" s="115"/>
      <c r="N45" s="94">
        <f>maret!R45</f>
        <v>0</v>
      </c>
      <c r="O45" s="99"/>
      <c r="P45" s="117"/>
      <c r="Q45" s="99"/>
      <c r="R45" s="117"/>
      <c r="S45" s="99"/>
      <c r="T45" s="101"/>
      <c r="U45" s="10"/>
      <c r="V45" s="10"/>
      <c r="W45" s="133"/>
    </row>
    <row r="46" spans="1:24" ht="20.100000000000001" customHeight="1" x14ac:dyDescent="0.25">
      <c r="A46" s="8">
        <v>1</v>
      </c>
      <c r="B46" s="9" t="s">
        <v>17</v>
      </c>
      <c r="C46" s="9" t="s">
        <v>18</v>
      </c>
      <c r="D46" s="8">
        <v>38</v>
      </c>
      <c r="E46" s="8">
        <v>14</v>
      </c>
      <c r="F46" s="41">
        <v>5</v>
      </c>
      <c r="G46" s="41">
        <v>2</v>
      </c>
      <c r="H46" s="41">
        <v>2</v>
      </c>
      <c r="I46" s="60" t="s">
        <v>37</v>
      </c>
      <c r="J46" s="46"/>
      <c r="K46" s="85" t="s">
        <v>55</v>
      </c>
      <c r="L46" s="13"/>
      <c r="M46" s="105">
        <f>M47</f>
        <v>30300000</v>
      </c>
      <c r="N46" s="94">
        <f>maret!R46</f>
        <v>8550000</v>
      </c>
      <c r="O46" s="99">
        <f t="shared" si="0"/>
        <v>28.217821782178216</v>
      </c>
      <c r="P46" s="106">
        <f>P47</f>
        <v>0</v>
      </c>
      <c r="Q46" s="95">
        <f t="shared" si="1"/>
        <v>0</v>
      </c>
      <c r="R46" s="106">
        <f>R47</f>
        <v>8550000</v>
      </c>
      <c r="S46" s="95">
        <f t="shared" si="2"/>
        <v>28.217821782178216</v>
      </c>
      <c r="T46" s="95">
        <f>T47</f>
        <v>18.613138686131386</v>
      </c>
      <c r="U46" s="10"/>
      <c r="V46" s="10"/>
      <c r="W46" s="133"/>
    </row>
    <row r="47" spans="1:24" ht="15" customHeight="1" x14ac:dyDescent="0.25">
      <c r="A47" s="127"/>
      <c r="B47" s="127"/>
      <c r="C47" s="127"/>
      <c r="D47" s="127"/>
      <c r="E47" s="127"/>
      <c r="F47" s="42"/>
      <c r="G47" s="42"/>
      <c r="H47" s="42"/>
      <c r="I47" s="42"/>
      <c r="J47" s="55" t="s">
        <v>17</v>
      </c>
      <c r="K47" s="78" t="s">
        <v>56</v>
      </c>
      <c r="L47" s="10"/>
      <c r="M47" s="107">
        <v>30300000</v>
      </c>
      <c r="N47" s="94">
        <f>maret!R47</f>
        <v>8550000</v>
      </c>
      <c r="O47" s="99">
        <f t="shared" si="0"/>
        <v>28.217821782178216</v>
      </c>
      <c r="P47" s="26"/>
      <c r="Q47" s="99">
        <f t="shared" si="1"/>
        <v>0</v>
      </c>
      <c r="R47" s="108">
        <f>N47+P47</f>
        <v>8550000</v>
      </c>
      <c r="S47" s="99">
        <f>R47/M47*100</f>
        <v>28.217821782178216</v>
      </c>
      <c r="T47" s="100">
        <f>306/1644*100</f>
        <v>18.613138686131386</v>
      </c>
      <c r="U47" s="10"/>
      <c r="V47" s="10"/>
      <c r="W47" s="133"/>
      <c r="X47" s="168" t="s">
        <v>68</v>
      </c>
    </row>
    <row r="48" spans="1:24" ht="9.9499999999999993" customHeight="1" x14ac:dyDescent="0.25">
      <c r="A48" s="127"/>
      <c r="B48" s="127"/>
      <c r="C48" s="127"/>
      <c r="D48" s="127"/>
      <c r="E48" s="127"/>
      <c r="F48" s="42"/>
      <c r="G48" s="42"/>
      <c r="H48" s="42"/>
      <c r="I48" s="42"/>
      <c r="J48" s="59"/>
      <c r="K48" s="87"/>
      <c r="L48" s="166"/>
      <c r="M48" s="118"/>
      <c r="N48" s="94">
        <f>maret!R48</f>
        <v>0</v>
      </c>
      <c r="O48" s="99"/>
      <c r="P48" s="119"/>
      <c r="Q48" s="99"/>
      <c r="R48" s="119"/>
      <c r="S48" s="99"/>
      <c r="T48" s="63"/>
      <c r="U48" s="10"/>
      <c r="V48" s="10"/>
      <c r="W48" s="133"/>
    </row>
    <row r="49" spans="1:24" s="174" customFormat="1" ht="20.100000000000001" customHeight="1" x14ac:dyDescent="0.25">
      <c r="A49" s="8">
        <v>1</v>
      </c>
      <c r="B49" s="9" t="s">
        <v>17</v>
      </c>
      <c r="C49" s="9" t="s">
        <v>18</v>
      </c>
      <c r="D49" s="8">
        <v>38</v>
      </c>
      <c r="E49" s="8">
        <v>14</v>
      </c>
      <c r="F49" s="41">
        <v>5</v>
      </c>
      <c r="G49" s="41">
        <v>2</v>
      </c>
      <c r="H49" s="41">
        <v>2</v>
      </c>
      <c r="I49" s="60" t="s">
        <v>82</v>
      </c>
      <c r="J49" s="46"/>
      <c r="K49" s="79" t="s">
        <v>83</v>
      </c>
      <c r="L49" s="127"/>
      <c r="M49" s="105">
        <f>M50</f>
        <v>3300000</v>
      </c>
      <c r="N49" s="94">
        <f>maret!R49</f>
        <v>0</v>
      </c>
      <c r="O49" s="95">
        <f t="shared" si="0"/>
        <v>0</v>
      </c>
      <c r="P49" s="106">
        <f>P50</f>
        <v>0</v>
      </c>
      <c r="Q49" s="95">
        <f t="shared" si="1"/>
        <v>0</v>
      </c>
      <c r="R49" s="106">
        <f>R50</f>
        <v>0</v>
      </c>
      <c r="S49" s="95">
        <f t="shared" si="2"/>
        <v>0</v>
      </c>
      <c r="T49" s="95">
        <f>T50</f>
        <v>0</v>
      </c>
      <c r="U49" s="127"/>
      <c r="V49" s="127"/>
      <c r="W49" s="173"/>
    </row>
    <row r="50" spans="1:24" ht="15" customHeight="1" x14ac:dyDescent="0.25">
      <c r="A50" s="63"/>
      <c r="B50" s="63"/>
      <c r="C50" s="63"/>
      <c r="D50" s="63"/>
      <c r="E50" s="63"/>
      <c r="F50" s="48"/>
      <c r="G50" s="48"/>
      <c r="H50" s="48"/>
      <c r="I50" s="48"/>
      <c r="J50" s="55" t="s">
        <v>35</v>
      </c>
      <c r="K50" s="78" t="s">
        <v>84</v>
      </c>
      <c r="L50" s="10"/>
      <c r="M50" s="107">
        <v>3300000</v>
      </c>
      <c r="N50" s="94">
        <f>maret!R50</f>
        <v>0</v>
      </c>
      <c r="O50" s="99">
        <f t="shared" si="0"/>
        <v>0</v>
      </c>
      <c r="P50" s="108"/>
      <c r="Q50" s="99">
        <f t="shared" si="1"/>
        <v>0</v>
      </c>
      <c r="R50" s="108">
        <f>N50+P50</f>
        <v>0</v>
      </c>
      <c r="S50" s="99">
        <f t="shared" si="2"/>
        <v>0</v>
      </c>
      <c r="T50" s="100">
        <f>0/1*100</f>
        <v>0</v>
      </c>
      <c r="U50" s="10"/>
      <c r="V50" s="10"/>
      <c r="W50" s="133"/>
    </row>
    <row r="51" spans="1:24" ht="9.9499999999999993" customHeight="1" x14ac:dyDescent="0.25">
      <c r="A51" s="152"/>
      <c r="B51" s="152"/>
      <c r="C51" s="152"/>
      <c r="D51" s="152"/>
      <c r="E51" s="152"/>
      <c r="F51" s="42"/>
      <c r="G51" s="42"/>
      <c r="H51" s="42"/>
      <c r="I51" s="42"/>
      <c r="J51" s="59"/>
      <c r="K51" s="87"/>
      <c r="L51" s="166"/>
      <c r="M51" s="118"/>
      <c r="N51" s="94">
        <f>maret!R51</f>
        <v>0</v>
      </c>
      <c r="O51" s="99"/>
      <c r="P51" s="119"/>
      <c r="Q51" s="99"/>
      <c r="R51" s="119"/>
      <c r="S51" s="99"/>
      <c r="T51" s="63"/>
      <c r="U51" s="10"/>
      <c r="V51" s="10"/>
      <c r="W51" s="133"/>
    </row>
    <row r="52" spans="1:24" ht="20.100000000000001" customHeight="1" x14ac:dyDescent="0.25">
      <c r="A52" s="8">
        <v>1</v>
      </c>
      <c r="B52" s="9" t="s">
        <v>17</v>
      </c>
      <c r="C52" s="9" t="s">
        <v>18</v>
      </c>
      <c r="D52" s="8">
        <v>38</v>
      </c>
      <c r="E52" s="8">
        <v>14</v>
      </c>
      <c r="F52" s="61" t="s">
        <v>21</v>
      </c>
      <c r="G52" s="61" t="s">
        <v>22</v>
      </c>
      <c r="H52" s="61" t="s">
        <v>22</v>
      </c>
      <c r="I52" s="128">
        <v>15</v>
      </c>
      <c r="J52" s="61"/>
      <c r="K52" s="88" t="s">
        <v>43</v>
      </c>
      <c r="L52" s="10"/>
      <c r="M52" s="105">
        <f>M53</f>
        <v>15612000</v>
      </c>
      <c r="N52" s="94">
        <f>maret!R52</f>
        <v>5626800</v>
      </c>
      <c r="O52" s="99">
        <f t="shared" si="0"/>
        <v>36.041506533435822</v>
      </c>
      <c r="P52" s="106">
        <f>P53</f>
        <v>0</v>
      </c>
      <c r="Q52" s="95">
        <f t="shared" si="1"/>
        <v>0</v>
      </c>
      <c r="R52" s="106">
        <f>R53</f>
        <v>5626800</v>
      </c>
      <c r="S52" s="95">
        <f t="shared" si="2"/>
        <v>36.041506533435822</v>
      </c>
      <c r="T52" s="96">
        <f>T53</f>
        <v>50</v>
      </c>
      <c r="U52" s="10"/>
      <c r="V52" s="10"/>
      <c r="W52" s="133"/>
    </row>
    <row r="53" spans="1:24" ht="20.100000000000001" customHeight="1" x14ac:dyDescent="0.25">
      <c r="A53" s="10"/>
      <c r="B53" s="10"/>
      <c r="C53" s="10"/>
      <c r="D53" s="10"/>
      <c r="E53" s="10"/>
      <c r="F53" s="57"/>
      <c r="G53" s="57"/>
      <c r="H53" s="57"/>
      <c r="I53" s="129"/>
      <c r="J53" s="57" t="s">
        <v>17</v>
      </c>
      <c r="K53" s="89" t="s">
        <v>69</v>
      </c>
      <c r="L53" s="10"/>
      <c r="M53" s="107">
        <v>15612000</v>
      </c>
      <c r="N53" s="94">
        <f>maret!R53</f>
        <v>5626800</v>
      </c>
      <c r="O53" s="99">
        <f t="shared" si="0"/>
        <v>36.041506533435822</v>
      </c>
      <c r="P53" s="120"/>
      <c r="Q53" s="99">
        <f t="shared" si="1"/>
        <v>0</v>
      </c>
      <c r="R53" s="108">
        <f>N53+P53</f>
        <v>5626800</v>
      </c>
      <c r="S53" s="99">
        <f t="shared" si="2"/>
        <v>36.041506533435822</v>
      </c>
      <c r="T53" s="100">
        <f>1/2*100</f>
        <v>50</v>
      </c>
      <c r="U53" s="10"/>
      <c r="V53" s="10"/>
      <c r="W53" s="133"/>
      <c r="X53" s="168" t="s">
        <v>67</v>
      </c>
    </row>
    <row r="54" spans="1:24" ht="9.9499999999999993" customHeight="1" x14ac:dyDescent="0.25">
      <c r="A54" s="10"/>
      <c r="B54" s="10"/>
      <c r="C54" s="10"/>
      <c r="D54" s="10"/>
      <c r="E54" s="10"/>
      <c r="F54" s="48"/>
      <c r="G54" s="48"/>
      <c r="H54" s="48"/>
      <c r="I54" s="53"/>
      <c r="J54" s="53"/>
      <c r="K54" s="78"/>
      <c r="L54" s="10"/>
      <c r="M54" s="107"/>
      <c r="N54" s="94">
        <f>maret!R54</f>
        <v>0</v>
      </c>
      <c r="O54" s="99"/>
      <c r="P54" s="108"/>
      <c r="Q54" s="99"/>
      <c r="R54" s="108"/>
      <c r="S54" s="99"/>
      <c r="T54" s="63"/>
      <c r="U54" s="10"/>
      <c r="V54" s="10"/>
      <c r="W54" s="133"/>
    </row>
    <row r="55" spans="1:24" ht="26.25" customHeight="1" x14ac:dyDescent="0.25">
      <c r="A55" s="8">
        <v>1</v>
      </c>
      <c r="B55" s="9" t="s">
        <v>17</v>
      </c>
      <c r="C55" s="9" t="s">
        <v>18</v>
      </c>
      <c r="D55" s="8">
        <v>38</v>
      </c>
      <c r="E55" s="8">
        <v>14</v>
      </c>
      <c r="F55" s="61" t="s">
        <v>21</v>
      </c>
      <c r="G55" s="61" t="s">
        <v>22</v>
      </c>
      <c r="H55" s="61" t="s">
        <v>22</v>
      </c>
      <c r="I55" s="128" t="s">
        <v>48</v>
      </c>
      <c r="J55" s="42"/>
      <c r="K55" s="79" t="s">
        <v>57</v>
      </c>
      <c r="L55" s="10"/>
      <c r="M55" s="105">
        <f>M56</f>
        <v>20000000</v>
      </c>
      <c r="N55" s="94">
        <f>maret!R55</f>
        <v>15000000</v>
      </c>
      <c r="O55" s="99">
        <f t="shared" si="0"/>
        <v>75</v>
      </c>
      <c r="P55" s="106">
        <f>P56</f>
        <v>0</v>
      </c>
      <c r="Q55" s="95">
        <f t="shared" si="1"/>
        <v>0</v>
      </c>
      <c r="R55" s="106">
        <f>R56</f>
        <v>15000000</v>
      </c>
      <c r="S55" s="95">
        <f t="shared" si="2"/>
        <v>75</v>
      </c>
      <c r="T55" s="96">
        <f>T56</f>
        <v>75</v>
      </c>
      <c r="U55" s="10"/>
      <c r="V55" s="10"/>
      <c r="W55" s="133"/>
    </row>
    <row r="56" spans="1:24" ht="15" customHeight="1" x14ac:dyDescent="0.25">
      <c r="A56" s="10"/>
      <c r="B56" s="10"/>
      <c r="C56" s="10"/>
      <c r="D56" s="10"/>
      <c r="E56" s="10"/>
      <c r="F56" s="48"/>
      <c r="G56" s="48"/>
      <c r="H56" s="48"/>
      <c r="I56" s="48"/>
      <c r="J56" s="48" t="s">
        <v>18</v>
      </c>
      <c r="K56" s="78" t="s">
        <v>58</v>
      </c>
      <c r="L56" s="10"/>
      <c r="M56" s="107">
        <v>20000000</v>
      </c>
      <c r="N56" s="94">
        <f>maret!R56</f>
        <v>15000000</v>
      </c>
      <c r="O56" s="99">
        <f t="shared" si="0"/>
        <v>75</v>
      </c>
      <c r="P56" s="26"/>
      <c r="Q56" s="99">
        <f t="shared" si="1"/>
        <v>0</v>
      </c>
      <c r="R56" s="108">
        <f>N56+P56</f>
        <v>15000000</v>
      </c>
      <c r="S56" s="99">
        <f t="shared" si="2"/>
        <v>75</v>
      </c>
      <c r="T56" s="100">
        <f>3/4*100</f>
        <v>75</v>
      </c>
      <c r="U56" s="10"/>
      <c r="V56" s="10"/>
      <c r="W56" s="133"/>
    </row>
    <row r="57" spans="1:24" ht="9.9499999999999993" customHeight="1" x14ac:dyDescent="0.25">
      <c r="A57" s="10"/>
      <c r="B57" s="10"/>
      <c r="C57" s="10"/>
      <c r="D57" s="10"/>
      <c r="E57" s="10"/>
      <c r="F57" s="48"/>
      <c r="G57" s="48"/>
      <c r="H57" s="48"/>
      <c r="I57" s="53"/>
      <c r="J57" s="53"/>
      <c r="K57" s="90"/>
      <c r="L57" s="10"/>
      <c r="M57" s="97"/>
      <c r="N57" s="94">
        <f>maret!R57</f>
        <v>0</v>
      </c>
      <c r="O57" s="99"/>
      <c r="P57" s="98"/>
      <c r="Q57" s="99"/>
      <c r="R57" s="98"/>
      <c r="S57" s="99"/>
      <c r="T57" s="63"/>
      <c r="U57" s="10"/>
      <c r="V57" s="10"/>
      <c r="W57" s="133"/>
    </row>
    <row r="58" spans="1:24" ht="20.100000000000001" customHeight="1" x14ac:dyDescent="0.25">
      <c r="A58" s="8">
        <v>1</v>
      </c>
      <c r="B58" s="9" t="s">
        <v>17</v>
      </c>
      <c r="C58" s="9" t="s">
        <v>18</v>
      </c>
      <c r="D58" s="8">
        <v>38</v>
      </c>
      <c r="E58" s="8">
        <v>14</v>
      </c>
      <c r="F58" s="61" t="s">
        <v>21</v>
      </c>
      <c r="G58" s="61" t="s">
        <v>22</v>
      </c>
      <c r="H58" s="61" t="s">
        <v>22</v>
      </c>
      <c r="I58" s="128" t="s">
        <v>51</v>
      </c>
      <c r="J58" s="130"/>
      <c r="K58" s="88" t="s">
        <v>59</v>
      </c>
      <c r="L58" s="10"/>
      <c r="M58" s="103">
        <f>SUM(M59:M62)</f>
        <v>24000000</v>
      </c>
      <c r="N58" s="94">
        <f>maret!R58</f>
        <v>9785000</v>
      </c>
      <c r="O58" s="99">
        <f t="shared" si="0"/>
        <v>40.770833333333336</v>
      </c>
      <c r="P58" s="104">
        <f>SUM(P59:P62)</f>
        <v>0</v>
      </c>
      <c r="Q58" s="95">
        <f t="shared" si="1"/>
        <v>0</v>
      </c>
      <c r="R58" s="104">
        <f>SUM(R59:R62)</f>
        <v>9785000</v>
      </c>
      <c r="S58" s="95">
        <f t="shared" si="2"/>
        <v>40.770833333333336</v>
      </c>
      <c r="T58" s="96">
        <f>SUM(T59:T61)/4</f>
        <v>25</v>
      </c>
      <c r="U58" s="10"/>
      <c r="V58" s="10"/>
      <c r="W58" s="133"/>
    </row>
    <row r="59" spans="1:24" ht="15" customHeight="1" x14ac:dyDescent="0.25">
      <c r="A59" s="10"/>
      <c r="B59" s="10"/>
      <c r="C59" s="10"/>
      <c r="D59" s="10"/>
      <c r="E59" s="10"/>
      <c r="F59" s="57"/>
      <c r="G59" s="57"/>
      <c r="H59" s="57"/>
      <c r="I59" s="129"/>
      <c r="J59" s="62" t="s">
        <v>34</v>
      </c>
      <c r="K59" s="89" t="s">
        <v>60</v>
      </c>
      <c r="L59" s="10"/>
      <c r="M59" s="97">
        <v>1000000</v>
      </c>
      <c r="N59" s="94">
        <f>maret!R59</f>
        <v>0</v>
      </c>
      <c r="O59" s="99">
        <f t="shared" si="0"/>
        <v>0</v>
      </c>
      <c r="P59" s="98"/>
      <c r="Q59" s="99">
        <f t="shared" si="1"/>
        <v>0</v>
      </c>
      <c r="R59" s="98">
        <f>N59+P59</f>
        <v>0</v>
      </c>
      <c r="S59" s="99">
        <f t="shared" si="2"/>
        <v>0</v>
      </c>
      <c r="T59" s="100">
        <f>0/1*100</f>
        <v>0</v>
      </c>
      <c r="U59" s="10"/>
      <c r="V59" s="10"/>
      <c r="W59" s="133"/>
    </row>
    <row r="60" spans="1:24" ht="15" customHeight="1" x14ac:dyDescent="0.25">
      <c r="A60" s="10"/>
      <c r="B60" s="10"/>
      <c r="C60" s="10"/>
      <c r="D60" s="10"/>
      <c r="E60" s="10"/>
      <c r="F60" s="54"/>
      <c r="G60" s="54"/>
      <c r="H60" s="54"/>
      <c r="I60" s="48"/>
      <c r="J60" s="55" t="s">
        <v>35</v>
      </c>
      <c r="K60" s="73" t="s">
        <v>61</v>
      </c>
      <c r="L60" s="10"/>
      <c r="M60" s="97">
        <v>13000000</v>
      </c>
      <c r="N60" s="94">
        <f>maret!R60</f>
        <v>9785000</v>
      </c>
      <c r="O60" s="99">
        <f t="shared" si="0"/>
        <v>75.269230769230759</v>
      </c>
      <c r="P60" s="98"/>
      <c r="Q60" s="99">
        <f t="shared" si="1"/>
        <v>0</v>
      </c>
      <c r="R60" s="98">
        <f t="shared" ref="R60:R62" si="5">N60+P60</f>
        <v>9785000</v>
      </c>
      <c r="S60" s="99">
        <f t="shared" si="2"/>
        <v>75.269230769230759</v>
      </c>
      <c r="T60" s="100">
        <f>1/1*100</f>
        <v>100</v>
      </c>
      <c r="U60" s="10"/>
      <c r="V60" s="10"/>
      <c r="W60" s="133"/>
    </row>
    <row r="61" spans="1:24" ht="15" customHeight="1" x14ac:dyDescent="0.25">
      <c r="A61" s="10"/>
      <c r="B61" s="10"/>
      <c r="C61" s="10"/>
      <c r="D61" s="10"/>
      <c r="E61" s="10"/>
      <c r="F61" s="57"/>
      <c r="G61" s="57"/>
      <c r="H61" s="57"/>
      <c r="I61" s="129"/>
      <c r="J61" s="62" t="s">
        <v>50</v>
      </c>
      <c r="K61" s="89" t="s">
        <v>62</v>
      </c>
      <c r="L61" s="10"/>
      <c r="M61" s="97">
        <v>5000000</v>
      </c>
      <c r="N61" s="94">
        <f>maret!R61</f>
        <v>0</v>
      </c>
      <c r="O61" s="99">
        <f t="shared" si="0"/>
        <v>0</v>
      </c>
      <c r="P61" s="98"/>
      <c r="Q61" s="99">
        <f t="shared" si="1"/>
        <v>0</v>
      </c>
      <c r="R61" s="98">
        <f t="shared" si="5"/>
        <v>0</v>
      </c>
      <c r="S61" s="99">
        <f t="shared" si="2"/>
        <v>0</v>
      </c>
      <c r="T61" s="100">
        <f>0/2*100</f>
        <v>0</v>
      </c>
      <c r="U61" s="10"/>
      <c r="V61" s="10"/>
      <c r="W61" s="133"/>
    </row>
    <row r="62" spans="1:24" ht="15" customHeight="1" x14ac:dyDescent="0.25">
      <c r="A62" s="10"/>
      <c r="B62" s="10"/>
      <c r="C62" s="10"/>
      <c r="D62" s="10"/>
      <c r="E62" s="10"/>
      <c r="F62" s="57"/>
      <c r="G62" s="57"/>
      <c r="H62" s="57"/>
      <c r="I62" s="129"/>
      <c r="J62" s="62" t="s">
        <v>36</v>
      </c>
      <c r="K62" s="89" t="s">
        <v>80</v>
      </c>
      <c r="L62" s="10"/>
      <c r="M62" s="97">
        <v>5000000</v>
      </c>
      <c r="N62" s="94">
        <f>maret!R62</f>
        <v>0</v>
      </c>
      <c r="O62" s="99">
        <v>0</v>
      </c>
      <c r="P62" s="98"/>
      <c r="Q62" s="99">
        <v>0</v>
      </c>
      <c r="R62" s="98">
        <f t="shared" si="5"/>
        <v>0</v>
      </c>
      <c r="S62" s="99">
        <f t="shared" si="2"/>
        <v>0</v>
      </c>
      <c r="T62" s="100">
        <f>0/1*100</f>
        <v>0</v>
      </c>
      <c r="U62" s="10"/>
      <c r="V62" s="10"/>
      <c r="W62" s="133"/>
    </row>
    <row r="63" spans="1:24" ht="9.9499999999999993" customHeight="1" x14ac:dyDescent="0.25">
      <c r="A63" s="10"/>
      <c r="B63" s="10"/>
      <c r="C63" s="10"/>
      <c r="D63" s="10"/>
      <c r="E63" s="10"/>
      <c r="F63" s="48"/>
      <c r="G63" s="48"/>
      <c r="H63" s="48"/>
      <c r="I63" s="53"/>
      <c r="J63" s="53"/>
      <c r="K63" s="78"/>
      <c r="L63" s="10"/>
      <c r="M63" s="97"/>
      <c r="N63" s="94">
        <f>maret!R63</f>
        <v>0</v>
      </c>
      <c r="O63" s="99"/>
      <c r="P63" s="98"/>
      <c r="Q63" s="99"/>
      <c r="R63" s="98"/>
      <c r="S63" s="99"/>
      <c r="T63" s="63"/>
      <c r="U63" s="10"/>
      <c r="V63" s="10"/>
      <c r="W63" s="133"/>
    </row>
    <row r="64" spans="1:24" ht="20.100000000000001" customHeight="1" x14ac:dyDescent="0.25">
      <c r="A64" s="127">
        <v>1</v>
      </c>
      <c r="B64" s="127" t="s">
        <v>17</v>
      </c>
      <c r="C64" s="127" t="s">
        <v>18</v>
      </c>
      <c r="D64" s="127">
        <v>38</v>
      </c>
      <c r="E64" s="127">
        <v>14</v>
      </c>
      <c r="F64" s="42" t="s">
        <v>21</v>
      </c>
      <c r="G64" s="42" t="s">
        <v>22</v>
      </c>
      <c r="H64" s="42" t="s">
        <v>22</v>
      </c>
      <c r="I64" s="42" t="s">
        <v>78</v>
      </c>
      <c r="J64" s="42"/>
      <c r="K64" s="79" t="s">
        <v>76</v>
      </c>
      <c r="L64" s="127"/>
      <c r="M64" s="103">
        <f>SUM(M65:M66)</f>
        <v>10000000</v>
      </c>
      <c r="N64" s="94">
        <f>maret!R64</f>
        <v>2000000</v>
      </c>
      <c r="O64" s="95">
        <f t="shared" ref="O64:O66" si="6">N64/M64*100</f>
        <v>20</v>
      </c>
      <c r="P64" s="104">
        <f>SUM(P65:P66)</f>
        <v>0</v>
      </c>
      <c r="Q64" s="95">
        <f t="shared" ref="Q64:Q66" si="7">P64/M64*100</f>
        <v>0</v>
      </c>
      <c r="R64" s="104">
        <f>SUM(R65:R66)</f>
        <v>2000000</v>
      </c>
      <c r="S64" s="95">
        <f t="shared" ref="S64:S66" si="8">R64/M64*100</f>
        <v>20</v>
      </c>
      <c r="T64" s="96">
        <f>SUM(T65:T66)/2</f>
        <v>50</v>
      </c>
      <c r="U64" s="10"/>
      <c r="V64" s="10"/>
      <c r="W64" s="133"/>
    </row>
    <row r="65" spans="1:24" ht="15" customHeight="1" x14ac:dyDescent="0.25">
      <c r="A65" s="6"/>
      <c r="B65" s="7"/>
      <c r="C65" s="7"/>
      <c r="D65" s="6"/>
      <c r="E65" s="6"/>
      <c r="F65" s="57"/>
      <c r="G65" s="57"/>
      <c r="H65" s="57"/>
      <c r="I65" s="70"/>
      <c r="J65" s="62" t="s">
        <v>34</v>
      </c>
      <c r="K65" s="89" t="s">
        <v>107</v>
      </c>
      <c r="L65" s="10"/>
      <c r="M65" s="97">
        <v>7000000</v>
      </c>
      <c r="N65" s="94">
        <f>maret!R65</f>
        <v>0</v>
      </c>
      <c r="O65" s="99">
        <f t="shared" si="6"/>
        <v>0</v>
      </c>
      <c r="P65" s="98"/>
      <c r="Q65" s="99">
        <f t="shared" si="7"/>
        <v>0</v>
      </c>
      <c r="R65" s="98">
        <f>N65+P65</f>
        <v>0</v>
      </c>
      <c r="S65" s="99">
        <f t="shared" si="8"/>
        <v>0</v>
      </c>
      <c r="T65" s="100">
        <f>0/1*100</f>
        <v>0</v>
      </c>
      <c r="U65" s="10"/>
      <c r="V65" s="10"/>
      <c r="W65" s="133"/>
    </row>
    <row r="66" spans="1:24" ht="15" customHeight="1" x14ac:dyDescent="0.25">
      <c r="A66" s="10"/>
      <c r="B66" s="10"/>
      <c r="C66" s="10"/>
      <c r="D66" s="10"/>
      <c r="E66" s="10"/>
      <c r="F66" s="48"/>
      <c r="G66" s="48"/>
      <c r="H66" s="48"/>
      <c r="I66" s="48"/>
      <c r="J66" s="48" t="s">
        <v>30</v>
      </c>
      <c r="K66" s="78" t="s">
        <v>77</v>
      </c>
      <c r="L66" s="10"/>
      <c r="M66" s="97">
        <v>3000000</v>
      </c>
      <c r="N66" s="94">
        <f>maret!R66</f>
        <v>2000000</v>
      </c>
      <c r="O66" s="99">
        <f t="shared" si="6"/>
        <v>66.666666666666657</v>
      </c>
      <c r="P66" s="98"/>
      <c r="Q66" s="99">
        <f t="shared" si="7"/>
        <v>0</v>
      </c>
      <c r="R66" s="98">
        <f>N66+P66</f>
        <v>2000000</v>
      </c>
      <c r="S66" s="99">
        <f t="shared" si="8"/>
        <v>66.666666666666657</v>
      </c>
      <c r="T66" s="100">
        <f>1/1*100</f>
        <v>100</v>
      </c>
      <c r="U66" s="10"/>
      <c r="V66" s="10"/>
      <c r="W66" s="133"/>
    </row>
    <row r="67" spans="1:24" ht="9.9499999999999993" customHeight="1" x14ac:dyDescent="0.25">
      <c r="A67" s="10"/>
      <c r="B67" s="10"/>
      <c r="C67" s="10"/>
      <c r="D67" s="10"/>
      <c r="E67" s="10"/>
      <c r="F67" s="48"/>
      <c r="G67" s="48"/>
      <c r="H67" s="48"/>
      <c r="I67" s="53"/>
      <c r="J67" s="53"/>
      <c r="K67" s="78"/>
      <c r="L67" s="10"/>
      <c r="M67" s="97"/>
      <c r="N67" s="94">
        <f>maret!R67</f>
        <v>0</v>
      </c>
      <c r="O67" s="99"/>
      <c r="P67" s="98"/>
      <c r="Q67" s="99"/>
      <c r="R67" s="98"/>
      <c r="S67" s="99"/>
      <c r="T67" s="63"/>
      <c r="U67" s="10"/>
      <c r="V67" s="10"/>
      <c r="W67" s="133"/>
    </row>
    <row r="68" spans="1:24" ht="25.5" x14ac:dyDescent="0.25">
      <c r="A68" s="8">
        <v>1</v>
      </c>
      <c r="B68" s="9" t="s">
        <v>17</v>
      </c>
      <c r="C68" s="9" t="s">
        <v>18</v>
      </c>
      <c r="D68" s="8">
        <v>38</v>
      </c>
      <c r="E68" s="8">
        <v>14</v>
      </c>
      <c r="F68" s="61" t="s">
        <v>21</v>
      </c>
      <c r="G68" s="61" t="s">
        <v>22</v>
      </c>
      <c r="H68" s="61" t="s">
        <v>22</v>
      </c>
      <c r="I68" s="131" t="s">
        <v>49</v>
      </c>
      <c r="J68" s="61"/>
      <c r="K68" s="88" t="s">
        <v>63</v>
      </c>
      <c r="L68" s="10"/>
      <c r="M68" s="105">
        <f>SUM(M69:M70)</f>
        <v>19450000</v>
      </c>
      <c r="N68" s="94">
        <f>maret!R68</f>
        <v>4050000</v>
      </c>
      <c r="O68" s="99">
        <f t="shared" si="0"/>
        <v>20.822622107969153</v>
      </c>
      <c r="P68" s="106">
        <f>SUM(P69:P70)</f>
        <v>0</v>
      </c>
      <c r="Q68" s="95">
        <f t="shared" si="1"/>
        <v>0</v>
      </c>
      <c r="R68" s="106">
        <f>SUM(R69:R70)</f>
        <v>4050000</v>
      </c>
      <c r="S68" s="95">
        <f t="shared" si="2"/>
        <v>20.822622107969153</v>
      </c>
      <c r="T68" s="96">
        <f>SUM(T69:T70)/2</f>
        <v>50</v>
      </c>
      <c r="U68" s="10"/>
      <c r="V68" s="10"/>
      <c r="W68" s="133"/>
    </row>
    <row r="69" spans="1:24" ht="15" customHeight="1" x14ac:dyDescent="0.25">
      <c r="A69" s="10"/>
      <c r="B69" s="10"/>
      <c r="C69" s="10"/>
      <c r="D69" s="10"/>
      <c r="E69" s="10"/>
      <c r="F69" s="57"/>
      <c r="G69" s="57"/>
      <c r="H69" s="57"/>
      <c r="I69" s="129"/>
      <c r="J69" s="62" t="s">
        <v>17</v>
      </c>
      <c r="K69" s="89" t="s">
        <v>66</v>
      </c>
      <c r="L69" s="10"/>
      <c r="M69" s="107">
        <v>7200000</v>
      </c>
      <c r="N69" s="94">
        <f>maret!R69</f>
        <v>1800000</v>
      </c>
      <c r="O69" s="99">
        <f t="shared" si="0"/>
        <v>25</v>
      </c>
      <c r="P69" s="26"/>
      <c r="Q69" s="99">
        <f t="shared" si="1"/>
        <v>0</v>
      </c>
      <c r="R69" s="108">
        <f>N69+P69</f>
        <v>1800000</v>
      </c>
      <c r="S69" s="99">
        <f t="shared" si="2"/>
        <v>25</v>
      </c>
      <c r="T69" s="100">
        <f>6/24*100</f>
        <v>25</v>
      </c>
      <c r="U69" s="10"/>
      <c r="V69" s="10"/>
      <c r="W69" s="133"/>
    </row>
    <row r="70" spans="1:24" ht="15" customHeight="1" x14ac:dyDescent="0.25">
      <c r="A70" s="63"/>
      <c r="B70" s="63"/>
      <c r="C70" s="63"/>
      <c r="D70" s="63"/>
      <c r="E70" s="63"/>
      <c r="F70" s="57"/>
      <c r="G70" s="57"/>
      <c r="H70" s="57"/>
      <c r="I70" s="70"/>
      <c r="J70" s="62" t="s">
        <v>34</v>
      </c>
      <c r="K70" s="89" t="s">
        <v>81</v>
      </c>
      <c r="L70" s="10"/>
      <c r="M70" s="107">
        <v>12250000</v>
      </c>
      <c r="N70" s="94">
        <f>maret!R70</f>
        <v>2250000</v>
      </c>
      <c r="O70" s="99">
        <f t="shared" si="0"/>
        <v>18.367346938775512</v>
      </c>
      <c r="P70" s="26"/>
      <c r="Q70" s="99">
        <f t="shared" si="1"/>
        <v>0</v>
      </c>
      <c r="R70" s="108">
        <f>N70+P70</f>
        <v>2250000</v>
      </c>
      <c r="S70" s="99">
        <f t="shared" si="2"/>
        <v>18.367346938775512</v>
      </c>
      <c r="T70" s="100">
        <f>9/12*100</f>
        <v>75</v>
      </c>
      <c r="U70" s="10"/>
      <c r="V70" s="10"/>
      <c r="W70" s="133"/>
    </row>
    <row r="71" spans="1:24" ht="9.9499999999999993" customHeight="1" x14ac:dyDescent="0.25">
      <c r="A71" s="10"/>
      <c r="B71" s="10"/>
      <c r="C71" s="10"/>
      <c r="D71" s="10"/>
      <c r="E71" s="10"/>
      <c r="F71" s="48"/>
      <c r="G71" s="48"/>
      <c r="H71" s="48"/>
      <c r="I71" s="53"/>
      <c r="J71" s="53"/>
      <c r="K71" s="78"/>
      <c r="L71" s="10"/>
      <c r="M71" s="97"/>
      <c r="N71" s="94">
        <f>maret!R71</f>
        <v>0</v>
      </c>
      <c r="O71" s="99"/>
      <c r="P71" s="98"/>
      <c r="Q71" s="99"/>
      <c r="R71" s="98"/>
      <c r="S71" s="99"/>
      <c r="T71" s="63"/>
      <c r="U71" s="10"/>
      <c r="V71" s="10"/>
      <c r="W71" s="133"/>
    </row>
    <row r="72" spans="1:24" ht="25.5" x14ac:dyDescent="0.25">
      <c r="A72" s="8">
        <v>1</v>
      </c>
      <c r="B72" s="9" t="s">
        <v>17</v>
      </c>
      <c r="C72" s="9" t="s">
        <v>18</v>
      </c>
      <c r="D72" s="8">
        <v>38</v>
      </c>
      <c r="E72" s="8">
        <v>14</v>
      </c>
      <c r="F72" s="42" t="s">
        <v>21</v>
      </c>
      <c r="G72" s="42" t="s">
        <v>22</v>
      </c>
      <c r="H72" s="42" t="s">
        <v>22</v>
      </c>
      <c r="I72" s="42" t="s">
        <v>108</v>
      </c>
      <c r="J72" s="44"/>
      <c r="K72" s="79" t="s">
        <v>109</v>
      </c>
      <c r="L72" s="10"/>
      <c r="M72" s="103">
        <f>M73</f>
        <v>500000</v>
      </c>
      <c r="N72" s="94">
        <f>maret!R72</f>
        <v>0</v>
      </c>
      <c r="O72" s="99">
        <f t="shared" si="0"/>
        <v>0</v>
      </c>
      <c r="P72" s="104">
        <f>P73</f>
        <v>0</v>
      </c>
      <c r="Q72" s="95">
        <f t="shared" si="1"/>
        <v>0</v>
      </c>
      <c r="R72" s="104">
        <f>R73</f>
        <v>0</v>
      </c>
      <c r="S72" s="95">
        <f t="shared" si="2"/>
        <v>0</v>
      </c>
      <c r="T72" s="96">
        <v>0</v>
      </c>
      <c r="U72" s="10"/>
      <c r="V72" s="10"/>
      <c r="W72" s="133"/>
    </row>
    <row r="73" spans="1:24" ht="15" customHeight="1" x14ac:dyDescent="0.25">
      <c r="A73" s="10"/>
      <c r="B73" s="10"/>
      <c r="C73" s="10"/>
      <c r="D73" s="10"/>
      <c r="E73" s="10"/>
      <c r="F73" s="48"/>
      <c r="G73" s="48"/>
      <c r="H73" s="48"/>
      <c r="I73" s="53"/>
      <c r="J73" s="55" t="s">
        <v>17</v>
      </c>
      <c r="K73" s="82" t="s">
        <v>110</v>
      </c>
      <c r="L73" s="10"/>
      <c r="M73" s="97">
        <v>500000</v>
      </c>
      <c r="N73" s="94">
        <f>maret!R73</f>
        <v>0</v>
      </c>
      <c r="O73" s="99">
        <f t="shared" si="0"/>
        <v>0</v>
      </c>
      <c r="P73" s="26"/>
      <c r="Q73" s="99">
        <f t="shared" si="1"/>
        <v>0</v>
      </c>
      <c r="R73" s="98">
        <f>N73+P73</f>
        <v>0</v>
      </c>
      <c r="S73" s="99">
        <f t="shared" si="2"/>
        <v>0</v>
      </c>
      <c r="T73" s="100">
        <f>0/1*100</f>
        <v>0</v>
      </c>
      <c r="U73" s="10"/>
      <c r="V73" s="160"/>
      <c r="W73" s="133"/>
      <c r="X73" s="182"/>
    </row>
    <row r="74" spans="1:24" ht="9.9499999999999993" customHeight="1" x14ac:dyDescent="0.25">
      <c r="A74" s="10"/>
      <c r="B74" s="10"/>
      <c r="C74" s="10"/>
      <c r="D74" s="10"/>
      <c r="E74" s="10"/>
      <c r="F74" s="48"/>
      <c r="G74" s="48"/>
      <c r="H74" s="48"/>
      <c r="I74" s="53"/>
      <c r="J74" s="59"/>
      <c r="K74" s="91"/>
      <c r="L74" s="166"/>
      <c r="M74" s="115"/>
      <c r="N74" s="94">
        <f>maret!R74</f>
        <v>0</v>
      </c>
      <c r="O74" s="99"/>
      <c r="P74" s="117"/>
      <c r="Q74" s="99"/>
      <c r="R74" s="117"/>
      <c r="S74" s="99"/>
      <c r="T74" s="63"/>
      <c r="U74" s="10"/>
      <c r="V74" s="10"/>
      <c r="W74" s="133"/>
    </row>
    <row r="75" spans="1:24" ht="20.100000000000001" customHeight="1" x14ac:dyDescent="0.25">
      <c r="A75" s="8">
        <v>1</v>
      </c>
      <c r="B75" s="9" t="s">
        <v>17</v>
      </c>
      <c r="C75" s="9" t="s">
        <v>18</v>
      </c>
      <c r="D75" s="8">
        <v>38</v>
      </c>
      <c r="E75" s="8">
        <v>14</v>
      </c>
      <c r="F75" s="42" t="s">
        <v>21</v>
      </c>
      <c r="G75" s="42" t="s">
        <v>22</v>
      </c>
      <c r="H75" s="42" t="s">
        <v>24</v>
      </c>
      <c r="I75" s="42"/>
      <c r="J75" s="44"/>
      <c r="K75" s="79" t="s">
        <v>25</v>
      </c>
      <c r="L75" s="10"/>
      <c r="M75" s="105">
        <f>M79+M76+M83+M86+M89</f>
        <v>68700000</v>
      </c>
      <c r="N75" s="94">
        <f>maret!R75</f>
        <v>0</v>
      </c>
      <c r="O75" s="99">
        <f t="shared" si="0"/>
        <v>0</v>
      </c>
      <c r="P75" s="106">
        <f>P79+P76+P83+P86+P89</f>
        <v>0</v>
      </c>
      <c r="Q75" s="95">
        <f t="shared" si="1"/>
        <v>0</v>
      </c>
      <c r="R75" s="106">
        <f>R79+R76+R83+R86+R89</f>
        <v>0</v>
      </c>
      <c r="S75" s="95">
        <f t="shared" si="2"/>
        <v>0</v>
      </c>
      <c r="T75" s="96">
        <f>(T79+T76+T83+T86+T89)/5</f>
        <v>0</v>
      </c>
      <c r="U75" s="10"/>
      <c r="V75" s="10"/>
      <c r="W75" s="133"/>
    </row>
    <row r="76" spans="1:24" ht="20.100000000000001" customHeight="1" x14ac:dyDescent="0.25">
      <c r="A76" s="8">
        <v>1</v>
      </c>
      <c r="B76" s="9" t="s">
        <v>17</v>
      </c>
      <c r="C76" s="9" t="s">
        <v>18</v>
      </c>
      <c r="D76" s="8">
        <v>38</v>
      </c>
      <c r="E76" s="8">
        <v>14</v>
      </c>
      <c r="F76" s="42" t="s">
        <v>21</v>
      </c>
      <c r="G76" s="42" t="s">
        <v>22</v>
      </c>
      <c r="H76" s="42" t="s">
        <v>24</v>
      </c>
      <c r="I76" s="42" t="s">
        <v>44</v>
      </c>
      <c r="J76" s="44"/>
      <c r="K76" s="80" t="s">
        <v>111</v>
      </c>
      <c r="L76" s="10"/>
      <c r="M76" s="103">
        <f>M77</f>
        <v>7500000</v>
      </c>
      <c r="N76" s="94">
        <f>maret!R76</f>
        <v>0</v>
      </c>
      <c r="O76" s="99">
        <f t="shared" si="0"/>
        <v>0</v>
      </c>
      <c r="P76" s="104">
        <f>P77</f>
        <v>0</v>
      </c>
      <c r="Q76" s="95">
        <f t="shared" si="1"/>
        <v>0</v>
      </c>
      <c r="R76" s="104">
        <f>R77</f>
        <v>0</v>
      </c>
      <c r="S76" s="95">
        <f t="shared" si="2"/>
        <v>0</v>
      </c>
      <c r="T76" s="96">
        <f>T77</f>
        <v>0</v>
      </c>
      <c r="U76" s="10"/>
      <c r="V76" s="10"/>
      <c r="W76" s="133"/>
    </row>
    <row r="77" spans="1:24" ht="15" customHeight="1" x14ac:dyDescent="0.25">
      <c r="A77" s="8"/>
      <c r="B77" s="9"/>
      <c r="C77" s="9"/>
      <c r="D77" s="8"/>
      <c r="E77" s="8"/>
      <c r="F77" s="42"/>
      <c r="G77" s="42"/>
      <c r="H77" s="42"/>
      <c r="I77" s="48"/>
      <c r="J77" s="55" t="s">
        <v>35</v>
      </c>
      <c r="K77" s="73" t="s">
        <v>112</v>
      </c>
      <c r="L77" s="10"/>
      <c r="M77" s="97">
        <v>7500000</v>
      </c>
      <c r="N77" s="94">
        <f>maret!R77</f>
        <v>0</v>
      </c>
      <c r="O77" s="99">
        <f t="shared" ref="O77:O90" si="9">N77/M77*100</f>
        <v>0</v>
      </c>
      <c r="P77" s="98"/>
      <c r="Q77" s="99">
        <f t="shared" ref="Q77:Q90" si="10">P77/M77*100</f>
        <v>0</v>
      </c>
      <c r="R77" s="98">
        <f>N77+P77</f>
        <v>0</v>
      </c>
      <c r="S77" s="99">
        <f t="shared" ref="S77:S90" si="11">R77/M77*100</f>
        <v>0</v>
      </c>
      <c r="T77" s="100">
        <f>0/3*100</f>
        <v>0</v>
      </c>
      <c r="U77" s="10"/>
      <c r="V77" s="10"/>
      <c r="W77" s="133"/>
    </row>
    <row r="78" spans="1:24" ht="9.9499999999999993" customHeight="1" x14ac:dyDescent="0.25">
      <c r="A78" s="8"/>
      <c r="B78" s="9"/>
      <c r="C78" s="9"/>
      <c r="D78" s="8"/>
      <c r="E78" s="8"/>
      <c r="F78" s="42"/>
      <c r="G78" s="42"/>
      <c r="H78" s="42"/>
      <c r="I78" s="55"/>
      <c r="J78" s="55"/>
      <c r="K78" s="78"/>
      <c r="L78" s="10"/>
      <c r="M78" s="97"/>
      <c r="N78" s="94">
        <f>maret!R78</f>
        <v>0</v>
      </c>
      <c r="O78" s="99"/>
      <c r="P78" s="26"/>
      <c r="Q78" s="95"/>
      <c r="R78" s="98"/>
      <c r="S78" s="95"/>
      <c r="T78" s="100"/>
      <c r="U78" s="10"/>
      <c r="V78" s="10"/>
      <c r="W78" s="133"/>
    </row>
    <row r="79" spans="1:24" s="174" customFormat="1" ht="20.100000000000001" customHeight="1" x14ac:dyDescent="0.25">
      <c r="A79" s="8">
        <v>1</v>
      </c>
      <c r="B79" s="9" t="s">
        <v>17</v>
      </c>
      <c r="C79" s="9" t="s">
        <v>18</v>
      </c>
      <c r="D79" s="8">
        <v>38</v>
      </c>
      <c r="E79" s="8">
        <v>14</v>
      </c>
      <c r="F79" s="42" t="s">
        <v>21</v>
      </c>
      <c r="G79" s="42" t="s">
        <v>22</v>
      </c>
      <c r="H79" s="42" t="s">
        <v>24</v>
      </c>
      <c r="I79" s="60" t="s">
        <v>113</v>
      </c>
      <c r="J79" s="60"/>
      <c r="K79" s="79" t="s">
        <v>45</v>
      </c>
      <c r="L79" s="127"/>
      <c r="M79" s="103">
        <f>SUM(M80:M81)</f>
        <v>12200000</v>
      </c>
      <c r="N79" s="94">
        <f>maret!R79</f>
        <v>0</v>
      </c>
      <c r="O79" s="95">
        <f t="shared" si="9"/>
        <v>0</v>
      </c>
      <c r="P79" s="147">
        <f>SUM(P80:P81)</f>
        <v>0</v>
      </c>
      <c r="Q79" s="95">
        <f t="shared" si="10"/>
        <v>0</v>
      </c>
      <c r="R79" s="104">
        <f>SUM(R80:R81)</f>
        <v>0</v>
      </c>
      <c r="S79" s="95">
        <f t="shared" si="11"/>
        <v>0</v>
      </c>
      <c r="T79" s="96">
        <f>SUM(T80:T81)/2</f>
        <v>0</v>
      </c>
      <c r="U79" s="127"/>
      <c r="V79" s="127"/>
      <c r="W79" s="173"/>
    </row>
    <row r="80" spans="1:24" ht="15" customHeight="1" x14ac:dyDescent="0.25">
      <c r="A80" s="6"/>
      <c r="B80" s="7"/>
      <c r="C80" s="7"/>
      <c r="D80" s="6"/>
      <c r="E80" s="6"/>
      <c r="F80" s="48"/>
      <c r="G80" s="48"/>
      <c r="H80" s="48"/>
      <c r="I80" s="55"/>
      <c r="J80" s="55" t="s">
        <v>18</v>
      </c>
      <c r="K80" s="78" t="s">
        <v>114</v>
      </c>
      <c r="L80" s="10"/>
      <c r="M80" s="97">
        <v>11200000</v>
      </c>
      <c r="N80" s="94">
        <f>maret!R80</f>
        <v>0</v>
      </c>
      <c r="O80" s="99">
        <f t="shared" si="9"/>
        <v>0</v>
      </c>
      <c r="P80" s="26"/>
      <c r="Q80" s="99">
        <f t="shared" si="10"/>
        <v>0</v>
      </c>
      <c r="R80" s="98">
        <f>N80+P80</f>
        <v>0</v>
      </c>
      <c r="S80" s="99">
        <f t="shared" si="11"/>
        <v>0</v>
      </c>
      <c r="T80" s="100">
        <f>0/4*100</f>
        <v>0</v>
      </c>
      <c r="U80" s="10"/>
      <c r="V80" s="10"/>
      <c r="W80" s="133"/>
    </row>
    <row r="81" spans="1:23" ht="15" customHeight="1" x14ac:dyDescent="0.25">
      <c r="A81" s="6"/>
      <c r="B81" s="7"/>
      <c r="C81" s="7"/>
      <c r="D81" s="6"/>
      <c r="E81" s="6"/>
      <c r="F81" s="48"/>
      <c r="G81" s="48"/>
      <c r="H81" s="48"/>
      <c r="I81" s="55"/>
      <c r="J81" s="55" t="s">
        <v>17</v>
      </c>
      <c r="K81" s="78" t="s">
        <v>115</v>
      </c>
      <c r="L81" s="10"/>
      <c r="M81" s="97">
        <v>1000000</v>
      </c>
      <c r="N81" s="94">
        <f>maret!R81</f>
        <v>0</v>
      </c>
      <c r="O81" s="99">
        <f t="shared" si="9"/>
        <v>0</v>
      </c>
      <c r="P81" s="26"/>
      <c r="Q81" s="95">
        <f t="shared" si="10"/>
        <v>0</v>
      </c>
      <c r="R81" s="98">
        <f>N81+P81</f>
        <v>0</v>
      </c>
      <c r="S81" s="95">
        <f t="shared" si="11"/>
        <v>0</v>
      </c>
      <c r="T81" s="100">
        <f>0/1*100</f>
        <v>0</v>
      </c>
      <c r="U81" s="10"/>
      <c r="V81" s="10"/>
      <c r="W81" s="133"/>
    </row>
    <row r="82" spans="1:23" ht="9.9499999999999993" customHeight="1" x14ac:dyDescent="0.25">
      <c r="A82" s="8"/>
      <c r="B82" s="9"/>
      <c r="C82" s="9"/>
      <c r="D82" s="8"/>
      <c r="E82" s="8"/>
      <c r="F82" s="42"/>
      <c r="G82" s="42"/>
      <c r="H82" s="42"/>
      <c r="I82" s="55"/>
      <c r="J82" s="55"/>
      <c r="K82" s="78"/>
      <c r="L82" s="10"/>
      <c r="M82" s="97"/>
      <c r="N82" s="94">
        <f>maret!R82</f>
        <v>0</v>
      </c>
      <c r="O82" s="99"/>
      <c r="P82" s="26"/>
      <c r="Q82" s="95"/>
      <c r="R82" s="98"/>
      <c r="S82" s="95"/>
      <c r="T82" s="100"/>
      <c r="U82" s="10"/>
      <c r="V82" s="10"/>
      <c r="W82" s="133"/>
    </row>
    <row r="83" spans="1:23" s="174" customFormat="1" ht="30" customHeight="1" x14ac:dyDescent="0.25">
      <c r="A83" s="8">
        <v>1</v>
      </c>
      <c r="B83" s="9" t="s">
        <v>17</v>
      </c>
      <c r="C83" s="9" t="s">
        <v>18</v>
      </c>
      <c r="D83" s="8">
        <v>38</v>
      </c>
      <c r="E83" s="8">
        <v>14</v>
      </c>
      <c r="F83" s="42" t="s">
        <v>21</v>
      </c>
      <c r="G83" s="42" t="s">
        <v>22</v>
      </c>
      <c r="H83" s="42" t="s">
        <v>24</v>
      </c>
      <c r="I83" s="60" t="s">
        <v>78</v>
      </c>
      <c r="J83" s="60"/>
      <c r="K83" s="79" t="s">
        <v>116</v>
      </c>
      <c r="L83" s="127"/>
      <c r="M83" s="103">
        <f>M84</f>
        <v>26000000</v>
      </c>
      <c r="N83" s="94">
        <f>maret!R83</f>
        <v>0</v>
      </c>
      <c r="O83" s="95">
        <f t="shared" si="9"/>
        <v>0</v>
      </c>
      <c r="P83" s="147">
        <f>P84</f>
        <v>0</v>
      </c>
      <c r="Q83" s="95">
        <f t="shared" si="10"/>
        <v>0</v>
      </c>
      <c r="R83" s="104">
        <f>R84</f>
        <v>0</v>
      </c>
      <c r="S83" s="95">
        <f t="shared" si="11"/>
        <v>0</v>
      </c>
      <c r="T83" s="96">
        <f>T84</f>
        <v>0</v>
      </c>
      <c r="U83" s="127"/>
      <c r="V83" s="127"/>
      <c r="W83" s="173"/>
    </row>
    <row r="84" spans="1:23" ht="15" customHeight="1" x14ac:dyDescent="0.25">
      <c r="A84" s="6"/>
      <c r="B84" s="7"/>
      <c r="C84" s="7"/>
      <c r="D84" s="6"/>
      <c r="E84" s="6"/>
      <c r="F84" s="48"/>
      <c r="G84" s="48"/>
      <c r="H84" s="48"/>
      <c r="I84" s="55"/>
      <c r="J84" s="55" t="s">
        <v>117</v>
      </c>
      <c r="K84" s="78" t="s">
        <v>118</v>
      </c>
      <c r="L84" s="10"/>
      <c r="M84" s="97">
        <v>26000000</v>
      </c>
      <c r="N84" s="94">
        <f>maret!R84</f>
        <v>0</v>
      </c>
      <c r="O84" s="99">
        <f t="shared" si="9"/>
        <v>0</v>
      </c>
      <c r="P84" s="26"/>
      <c r="Q84" s="95">
        <f t="shared" si="10"/>
        <v>0</v>
      </c>
      <c r="R84" s="98">
        <f>N84+P84</f>
        <v>0</v>
      </c>
      <c r="S84" s="95">
        <f t="shared" si="11"/>
        <v>0</v>
      </c>
      <c r="T84" s="100">
        <f>0/2*100</f>
        <v>0</v>
      </c>
      <c r="U84" s="10"/>
      <c r="V84" s="10"/>
      <c r="W84" s="133"/>
    </row>
    <row r="85" spans="1:23" ht="9.9499999999999993" customHeight="1" x14ac:dyDescent="0.25">
      <c r="A85" s="8"/>
      <c r="B85" s="9"/>
      <c r="C85" s="9"/>
      <c r="D85" s="8"/>
      <c r="E85" s="8"/>
      <c r="F85" s="42"/>
      <c r="G85" s="42"/>
      <c r="H85" s="42"/>
      <c r="I85" s="55"/>
      <c r="J85" s="55"/>
      <c r="K85" s="78"/>
      <c r="L85" s="10"/>
      <c r="M85" s="97"/>
      <c r="N85" s="94">
        <f>maret!R85</f>
        <v>0</v>
      </c>
      <c r="O85" s="99"/>
      <c r="P85" s="26"/>
      <c r="Q85" s="95"/>
      <c r="R85" s="98"/>
      <c r="S85" s="95"/>
      <c r="T85" s="100"/>
      <c r="U85" s="10"/>
      <c r="V85" s="10"/>
      <c r="W85" s="133"/>
    </row>
    <row r="86" spans="1:23" s="174" customFormat="1" ht="20.100000000000001" customHeight="1" x14ac:dyDescent="0.25">
      <c r="A86" s="8">
        <v>1</v>
      </c>
      <c r="B86" s="9" t="s">
        <v>17</v>
      </c>
      <c r="C86" s="9" t="s">
        <v>18</v>
      </c>
      <c r="D86" s="8">
        <v>38</v>
      </c>
      <c r="E86" s="8">
        <v>14</v>
      </c>
      <c r="F86" s="42" t="s">
        <v>21</v>
      </c>
      <c r="G86" s="42" t="s">
        <v>22</v>
      </c>
      <c r="H86" s="42" t="s">
        <v>24</v>
      </c>
      <c r="I86" s="60" t="s">
        <v>119</v>
      </c>
      <c r="J86" s="60"/>
      <c r="K86" s="79" t="s">
        <v>120</v>
      </c>
      <c r="L86" s="127"/>
      <c r="M86" s="103">
        <f>M87</f>
        <v>14000000</v>
      </c>
      <c r="N86" s="94">
        <f>maret!R86</f>
        <v>0</v>
      </c>
      <c r="O86" s="95">
        <f t="shared" si="9"/>
        <v>0</v>
      </c>
      <c r="P86" s="147">
        <f>P87</f>
        <v>0</v>
      </c>
      <c r="Q86" s="95">
        <f t="shared" si="10"/>
        <v>0</v>
      </c>
      <c r="R86" s="104">
        <f>R87</f>
        <v>0</v>
      </c>
      <c r="S86" s="95">
        <f t="shared" si="11"/>
        <v>0</v>
      </c>
      <c r="T86" s="96">
        <f>T87</f>
        <v>0</v>
      </c>
      <c r="U86" s="127"/>
      <c r="V86" s="127"/>
      <c r="W86" s="173"/>
    </row>
    <row r="87" spans="1:23" ht="15" customHeight="1" x14ac:dyDescent="0.25">
      <c r="A87" s="6"/>
      <c r="B87" s="7"/>
      <c r="C87" s="7"/>
      <c r="D87" s="6"/>
      <c r="E87" s="6"/>
      <c r="F87" s="157"/>
      <c r="G87" s="157"/>
      <c r="H87" s="157"/>
      <c r="I87" s="48"/>
      <c r="J87" s="48" t="s">
        <v>17</v>
      </c>
      <c r="K87" s="78" t="s">
        <v>121</v>
      </c>
      <c r="L87" s="10"/>
      <c r="M87" s="107">
        <v>14000000</v>
      </c>
      <c r="N87" s="94">
        <f>maret!R87</f>
        <v>0</v>
      </c>
      <c r="O87" s="99">
        <f t="shared" si="9"/>
        <v>0</v>
      </c>
      <c r="P87" s="108"/>
      <c r="Q87" s="99">
        <f t="shared" si="10"/>
        <v>0</v>
      </c>
      <c r="R87" s="108">
        <f>N87+P87</f>
        <v>0</v>
      </c>
      <c r="S87" s="99">
        <f t="shared" si="11"/>
        <v>0</v>
      </c>
      <c r="T87" s="100">
        <f>0/2*100</f>
        <v>0</v>
      </c>
      <c r="U87" s="10"/>
      <c r="V87" s="10"/>
      <c r="W87" s="133"/>
    </row>
    <row r="88" spans="1:23" ht="9.9499999999999993" customHeight="1" x14ac:dyDescent="0.25">
      <c r="A88" s="63"/>
      <c r="B88" s="63"/>
      <c r="C88" s="63"/>
      <c r="D88" s="63"/>
      <c r="E88" s="63"/>
      <c r="F88" s="42"/>
      <c r="G88" s="42"/>
      <c r="H88" s="42"/>
      <c r="I88" s="42"/>
      <c r="J88" s="65"/>
      <c r="K88" s="92"/>
      <c r="L88" s="10"/>
      <c r="M88" s="107"/>
      <c r="N88" s="94">
        <f>maret!R88</f>
        <v>0</v>
      </c>
      <c r="O88" s="99"/>
      <c r="P88" s="26"/>
      <c r="Q88" s="95"/>
      <c r="R88" s="108"/>
      <c r="S88" s="95"/>
      <c r="T88" s="100"/>
      <c r="U88" s="10"/>
      <c r="V88" s="10"/>
      <c r="W88" s="133"/>
    </row>
    <row r="89" spans="1:23" s="174" customFormat="1" ht="30" customHeight="1" x14ac:dyDescent="0.25">
      <c r="A89" s="8">
        <v>1</v>
      </c>
      <c r="B89" s="9" t="s">
        <v>17</v>
      </c>
      <c r="C89" s="9" t="s">
        <v>18</v>
      </c>
      <c r="D89" s="8">
        <v>38</v>
      </c>
      <c r="E89" s="8">
        <v>14</v>
      </c>
      <c r="F89" s="42" t="s">
        <v>21</v>
      </c>
      <c r="G89" s="42" t="s">
        <v>22</v>
      </c>
      <c r="H89" s="42" t="s">
        <v>24</v>
      </c>
      <c r="I89" s="42" t="s">
        <v>122</v>
      </c>
      <c r="J89" s="71"/>
      <c r="K89" s="150" t="s">
        <v>123</v>
      </c>
      <c r="L89" s="127"/>
      <c r="M89" s="105">
        <f>M90</f>
        <v>9000000</v>
      </c>
      <c r="N89" s="94">
        <f>maret!R89</f>
        <v>0</v>
      </c>
      <c r="O89" s="95">
        <f t="shared" si="9"/>
        <v>0</v>
      </c>
      <c r="P89" s="147">
        <f>P90</f>
        <v>0</v>
      </c>
      <c r="Q89" s="95">
        <f t="shared" si="10"/>
        <v>0</v>
      </c>
      <c r="R89" s="106">
        <f>R90</f>
        <v>0</v>
      </c>
      <c r="S89" s="95">
        <f t="shared" si="11"/>
        <v>0</v>
      </c>
      <c r="T89" s="96">
        <f>T90</f>
        <v>0</v>
      </c>
      <c r="U89" s="127"/>
      <c r="V89" s="127"/>
      <c r="W89" s="173"/>
    </row>
    <row r="90" spans="1:23" ht="15" customHeight="1" x14ac:dyDescent="0.25">
      <c r="A90" s="63"/>
      <c r="B90" s="63"/>
      <c r="C90" s="63"/>
      <c r="D90" s="63"/>
      <c r="E90" s="63"/>
      <c r="F90" s="48"/>
      <c r="G90" s="48"/>
      <c r="H90" s="48"/>
      <c r="I90" s="48"/>
      <c r="J90" s="65" t="s">
        <v>34</v>
      </c>
      <c r="K90" s="92" t="s">
        <v>124</v>
      </c>
      <c r="L90" s="10"/>
      <c r="M90" s="107">
        <v>9000000</v>
      </c>
      <c r="N90" s="94">
        <f>maret!R90</f>
        <v>0</v>
      </c>
      <c r="O90" s="99">
        <f t="shared" si="9"/>
        <v>0</v>
      </c>
      <c r="P90" s="26"/>
      <c r="Q90" s="99">
        <f t="shared" si="10"/>
        <v>0</v>
      </c>
      <c r="R90" s="108">
        <f>N90+P90</f>
        <v>0</v>
      </c>
      <c r="S90" s="99">
        <f t="shared" si="11"/>
        <v>0</v>
      </c>
      <c r="T90" s="100">
        <f>0/3*100</f>
        <v>0</v>
      </c>
      <c r="U90" s="10"/>
      <c r="V90" s="10"/>
      <c r="W90" s="133"/>
    </row>
    <row r="91" spans="1:23" ht="9.9499999999999993" customHeight="1" x14ac:dyDescent="0.25">
      <c r="A91" s="63"/>
      <c r="B91" s="63"/>
      <c r="C91" s="63"/>
      <c r="D91" s="63"/>
      <c r="E91" s="63"/>
      <c r="F91" s="42"/>
      <c r="G91" s="42"/>
      <c r="H91" s="42"/>
      <c r="I91" s="42"/>
      <c r="J91" s="65"/>
      <c r="K91" s="92"/>
      <c r="L91" s="10"/>
      <c r="M91" s="107"/>
      <c r="N91" s="94"/>
      <c r="O91" s="99"/>
      <c r="P91" s="26"/>
      <c r="Q91" s="99"/>
      <c r="R91" s="108"/>
      <c r="S91" s="99"/>
      <c r="T91" s="100"/>
      <c r="U91" s="10"/>
      <c r="V91" s="10"/>
      <c r="W91" s="133"/>
    </row>
    <row r="92" spans="1:23" x14ac:dyDescent="0.25">
      <c r="A92" s="171"/>
      <c r="B92" s="171"/>
      <c r="C92" s="171"/>
      <c r="D92" s="171"/>
      <c r="E92" s="171"/>
      <c r="F92" s="171"/>
      <c r="G92" s="171"/>
      <c r="H92" s="171"/>
      <c r="I92" s="171"/>
      <c r="J92" s="171"/>
      <c r="K92" s="171"/>
      <c r="L92" s="171"/>
      <c r="M92" s="175"/>
      <c r="N92" s="171"/>
      <c r="O92" s="171"/>
      <c r="P92" s="171"/>
      <c r="Q92" s="171"/>
      <c r="R92" s="171"/>
      <c r="S92" s="171"/>
      <c r="T92" s="171"/>
      <c r="U92" s="171"/>
      <c r="V92" s="171"/>
      <c r="W92" s="171"/>
    </row>
    <row r="93" spans="1:23" x14ac:dyDescent="0.25">
      <c r="A93" s="171"/>
      <c r="B93" s="171"/>
      <c r="C93" s="171"/>
      <c r="D93" s="171"/>
      <c r="E93" s="171"/>
      <c r="F93" s="171"/>
      <c r="G93" s="171"/>
      <c r="H93" s="171"/>
      <c r="I93" s="171"/>
      <c r="J93" s="171"/>
      <c r="K93" s="171"/>
      <c r="L93" s="171"/>
      <c r="M93" s="175"/>
      <c r="N93" s="171"/>
      <c r="O93" s="171"/>
      <c r="P93" s="192" t="s">
        <v>129</v>
      </c>
      <c r="Q93" s="192"/>
      <c r="R93" s="192"/>
      <c r="S93" s="192"/>
      <c r="T93" s="192"/>
      <c r="U93" s="192"/>
      <c r="V93" s="192"/>
      <c r="W93" s="176"/>
    </row>
    <row r="94" spans="1:23" x14ac:dyDescent="0.25">
      <c r="A94" s="171"/>
      <c r="B94" s="171"/>
      <c r="C94" s="171"/>
      <c r="D94" s="171"/>
      <c r="E94" s="171"/>
      <c r="F94" s="171"/>
      <c r="G94" s="171"/>
      <c r="H94" s="171"/>
      <c r="I94" s="171"/>
      <c r="J94" s="171"/>
      <c r="K94" s="171"/>
      <c r="L94" s="171"/>
      <c r="M94" s="175"/>
      <c r="N94" s="171"/>
      <c r="O94" s="171"/>
      <c r="P94" s="192" t="s">
        <v>46</v>
      </c>
      <c r="Q94" s="192"/>
      <c r="R94" s="192"/>
      <c r="S94" s="192"/>
      <c r="T94" s="192"/>
      <c r="U94" s="192"/>
      <c r="V94" s="192"/>
      <c r="W94" s="176"/>
    </row>
    <row r="95" spans="1:23" x14ac:dyDescent="0.25">
      <c r="A95" s="171"/>
      <c r="B95" s="171"/>
      <c r="C95" s="171"/>
      <c r="D95" s="171"/>
      <c r="E95" s="171"/>
      <c r="F95" s="171"/>
      <c r="G95" s="171"/>
      <c r="H95" s="171"/>
      <c r="I95" s="171"/>
      <c r="J95" s="171"/>
      <c r="K95" s="171"/>
      <c r="L95" s="171"/>
      <c r="M95" s="175"/>
      <c r="N95" s="171"/>
      <c r="O95" s="171"/>
      <c r="P95" s="177"/>
      <c r="Q95" s="177"/>
      <c r="R95" s="177"/>
      <c r="S95" s="177"/>
      <c r="T95" s="177"/>
      <c r="U95" s="177"/>
      <c r="V95" s="177"/>
      <c r="W95" s="171"/>
    </row>
    <row r="96" spans="1:23" x14ac:dyDescent="0.25">
      <c r="A96" s="171"/>
      <c r="B96" s="171"/>
      <c r="C96" s="171"/>
      <c r="D96" s="171"/>
      <c r="E96" s="171"/>
      <c r="F96" s="171"/>
      <c r="G96" s="171"/>
      <c r="H96" s="171"/>
      <c r="I96" s="171"/>
      <c r="J96" s="171"/>
      <c r="K96" s="171"/>
      <c r="L96" s="171"/>
      <c r="M96" s="175"/>
      <c r="N96" s="171"/>
      <c r="O96" s="171"/>
      <c r="P96" s="177"/>
      <c r="Q96" s="177"/>
      <c r="R96" s="177"/>
      <c r="S96" s="177"/>
      <c r="T96" s="177"/>
      <c r="U96" s="177"/>
      <c r="V96" s="177"/>
      <c r="W96" s="171"/>
    </row>
    <row r="97" spans="1:23" x14ac:dyDescent="0.25">
      <c r="A97" s="171"/>
      <c r="B97" s="171"/>
      <c r="C97" s="171"/>
      <c r="D97" s="171"/>
      <c r="E97" s="171"/>
      <c r="F97" s="171"/>
      <c r="G97" s="171"/>
      <c r="H97" s="171"/>
      <c r="I97" s="171"/>
      <c r="J97" s="171"/>
      <c r="K97" s="171"/>
      <c r="L97" s="171"/>
      <c r="M97" s="175"/>
      <c r="N97" s="171"/>
      <c r="O97" s="171"/>
      <c r="P97" s="177"/>
      <c r="Q97" s="177"/>
      <c r="R97" s="177"/>
      <c r="S97" s="177"/>
      <c r="T97" s="177"/>
      <c r="U97" s="177"/>
      <c r="V97" s="177"/>
      <c r="W97" s="171"/>
    </row>
    <row r="98" spans="1:23" x14ac:dyDescent="0.25">
      <c r="A98" s="171"/>
      <c r="B98" s="171"/>
      <c r="C98" s="171"/>
      <c r="D98" s="171"/>
      <c r="E98" s="171"/>
      <c r="F98" s="171"/>
      <c r="G98" s="171"/>
      <c r="H98" s="171"/>
      <c r="I98" s="171"/>
      <c r="J98" s="171"/>
      <c r="K98" s="171"/>
      <c r="L98" s="171"/>
      <c r="M98" s="175"/>
      <c r="N98" s="171"/>
      <c r="O98" s="171"/>
      <c r="P98" s="177"/>
      <c r="Q98" s="177"/>
      <c r="R98" s="177"/>
      <c r="S98" s="177"/>
      <c r="T98" s="177"/>
      <c r="U98" s="177"/>
      <c r="V98" s="177"/>
      <c r="W98" s="171"/>
    </row>
    <row r="99" spans="1:23" x14ac:dyDescent="0.25">
      <c r="A99" s="171"/>
      <c r="B99" s="171"/>
      <c r="C99" s="171"/>
      <c r="D99" s="171"/>
      <c r="E99" s="171"/>
      <c r="F99" s="171"/>
      <c r="G99" s="171"/>
      <c r="H99" s="171"/>
      <c r="I99" s="171"/>
      <c r="J99" s="171"/>
      <c r="K99" s="171"/>
      <c r="L99" s="171"/>
      <c r="M99" s="175"/>
      <c r="N99" s="171"/>
      <c r="O99" s="171"/>
      <c r="P99" s="193" t="s">
        <v>70</v>
      </c>
      <c r="Q99" s="193"/>
      <c r="R99" s="193"/>
      <c r="S99" s="193"/>
      <c r="T99" s="193"/>
      <c r="U99" s="193"/>
      <c r="V99" s="193"/>
      <c r="W99" s="178"/>
    </row>
    <row r="100" spans="1:23" x14ac:dyDescent="0.25">
      <c r="A100" s="171"/>
      <c r="B100" s="171"/>
      <c r="C100" s="171"/>
      <c r="D100" s="171"/>
      <c r="E100" s="171"/>
      <c r="F100" s="171"/>
      <c r="G100" s="171"/>
      <c r="H100" s="171"/>
      <c r="I100" s="171"/>
      <c r="J100" s="171"/>
      <c r="K100" s="171"/>
      <c r="L100" s="171"/>
      <c r="M100" s="175"/>
      <c r="N100" s="171"/>
      <c r="O100" s="171"/>
      <c r="P100" s="189" t="s">
        <v>71</v>
      </c>
      <c r="Q100" s="189"/>
      <c r="R100" s="189"/>
      <c r="S100" s="189"/>
      <c r="T100" s="189"/>
      <c r="U100" s="189"/>
      <c r="V100" s="189"/>
      <c r="W100" s="179"/>
    </row>
  </sheetData>
  <mergeCells count="24"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T7"/>
    <mergeCell ref="N8:O8"/>
    <mergeCell ref="P8:Q8"/>
    <mergeCell ref="R8:S8"/>
    <mergeCell ref="P100:V100"/>
    <mergeCell ref="A10:J10"/>
    <mergeCell ref="L10:L11"/>
    <mergeCell ref="A11:J11"/>
    <mergeCell ref="P93:V93"/>
    <mergeCell ref="P94:V94"/>
    <mergeCell ref="P99:V99"/>
  </mergeCells>
  <pageMargins left="0.39370078740157483" right="0.39370078740157483" top="0.39370078740157483" bottom="0.19685039370078741" header="0.31496062992125984" footer="0.31496062992125984"/>
  <pageSetup paperSize="10000"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C000"/>
  </sheetPr>
  <dimension ref="A1:W100"/>
  <sheetViews>
    <sheetView topLeftCell="D1" workbookViewId="0">
      <selection activeCell="N102" sqref="N102"/>
    </sheetView>
  </sheetViews>
  <sheetFormatPr defaultRowHeight="15" x14ac:dyDescent="0.25"/>
  <cols>
    <col min="1" max="8" width="2.7109375" style="168" customWidth="1"/>
    <col min="9" max="9" width="3.140625" style="168" customWidth="1"/>
    <col min="10" max="10" width="3.5703125" style="168" customWidth="1"/>
    <col min="11" max="11" width="52.5703125" style="168" customWidth="1"/>
    <col min="12" max="12" width="11" style="168" customWidth="1"/>
    <col min="13" max="13" width="14.5703125" style="170" customWidth="1"/>
    <col min="14" max="14" width="13" style="168" customWidth="1"/>
    <col min="15" max="15" width="7.5703125" style="168" customWidth="1"/>
    <col min="16" max="16" width="13.28515625" style="168" customWidth="1"/>
    <col min="17" max="17" width="8" style="168" customWidth="1"/>
    <col min="18" max="18" width="13" style="168" customWidth="1"/>
    <col min="19" max="19" width="9.42578125" style="168" customWidth="1"/>
    <col min="20" max="20" width="11.140625" style="168" customWidth="1"/>
    <col min="21" max="21" width="15.5703125" style="168" customWidth="1"/>
    <col min="22" max="22" width="22.42578125" style="168" customWidth="1"/>
    <col min="23" max="23" width="18.28515625" style="168" customWidth="1"/>
    <col min="24" max="24" width="15.5703125" style="168" bestFit="1" customWidth="1"/>
    <col min="25" max="25" width="12.85546875" style="168" bestFit="1" customWidth="1"/>
    <col min="26" max="16384" width="9.140625" style="168"/>
  </cols>
  <sheetData>
    <row r="1" spans="1:23" ht="16.5" x14ac:dyDescent="0.25">
      <c r="A1" s="194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67"/>
    </row>
    <row r="2" spans="1:23" ht="16.5" x14ac:dyDescent="0.25">
      <c r="A2" s="194" t="s">
        <v>72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67"/>
    </row>
    <row r="3" spans="1:23" ht="16.5" x14ac:dyDescent="0.25">
      <c r="A3" s="194" t="s">
        <v>73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67"/>
    </row>
    <row r="4" spans="1:23" ht="16.5" x14ac:dyDescent="0.25">
      <c r="A4" s="194" t="s">
        <v>91</v>
      </c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67"/>
    </row>
    <row r="5" spans="1:23" ht="18" x14ac:dyDescent="0.25">
      <c r="A5" s="169"/>
      <c r="B5" s="169"/>
      <c r="C5" s="169"/>
      <c r="D5" s="169"/>
      <c r="E5" s="169"/>
    </row>
    <row r="6" spans="1:23" x14ac:dyDescent="0.25">
      <c r="A6" s="195" t="s">
        <v>1</v>
      </c>
      <c r="B6" s="195"/>
      <c r="C6" s="195"/>
      <c r="D6" s="195"/>
      <c r="E6" s="195"/>
      <c r="F6" s="195"/>
      <c r="G6" s="195"/>
      <c r="H6" s="195"/>
      <c r="I6" s="195"/>
      <c r="J6" s="195"/>
      <c r="K6" s="195" t="s">
        <v>2</v>
      </c>
      <c r="L6" s="188" t="s">
        <v>3</v>
      </c>
      <c r="M6" s="196" t="s">
        <v>4</v>
      </c>
      <c r="N6" s="195" t="s">
        <v>5</v>
      </c>
      <c r="O6" s="195"/>
      <c r="P6" s="195"/>
      <c r="Q6" s="195"/>
      <c r="R6" s="195"/>
      <c r="S6" s="195"/>
      <c r="T6" s="195"/>
      <c r="U6" s="188" t="s">
        <v>6</v>
      </c>
      <c r="V6" s="188" t="s">
        <v>7</v>
      </c>
      <c r="W6" s="21"/>
    </row>
    <row r="7" spans="1:23" x14ac:dyDescent="0.25">
      <c r="A7" s="195"/>
      <c r="B7" s="195"/>
      <c r="C7" s="195"/>
      <c r="D7" s="195"/>
      <c r="E7" s="195"/>
      <c r="F7" s="195"/>
      <c r="G7" s="195"/>
      <c r="H7" s="195"/>
      <c r="I7" s="195"/>
      <c r="J7" s="195"/>
      <c r="K7" s="195"/>
      <c r="L7" s="188"/>
      <c r="M7" s="196"/>
      <c r="N7" s="200" t="s">
        <v>8</v>
      </c>
      <c r="O7" s="201"/>
      <c r="P7" s="200" t="s">
        <v>9</v>
      </c>
      <c r="Q7" s="201"/>
      <c r="R7" s="202" t="s">
        <v>10</v>
      </c>
      <c r="S7" s="203"/>
      <c r="T7" s="204"/>
      <c r="U7" s="188"/>
      <c r="V7" s="188"/>
      <c r="W7" s="21"/>
    </row>
    <row r="8" spans="1:23" x14ac:dyDescent="0.25">
      <c r="A8" s="195"/>
      <c r="B8" s="195"/>
      <c r="C8" s="195"/>
      <c r="D8" s="195"/>
      <c r="E8" s="195"/>
      <c r="F8" s="195"/>
      <c r="G8" s="195"/>
      <c r="H8" s="195"/>
      <c r="I8" s="195"/>
      <c r="J8" s="195"/>
      <c r="K8" s="195"/>
      <c r="L8" s="188"/>
      <c r="M8" s="196"/>
      <c r="N8" s="188" t="s">
        <v>11</v>
      </c>
      <c r="O8" s="188"/>
      <c r="P8" s="188" t="s">
        <v>11</v>
      </c>
      <c r="Q8" s="188"/>
      <c r="R8" s="188" t="s">
        <v>11</v>
      </c>
      <c r="S8" s="188"/>
      <c r="T8" s="151" t="s">
        <v>12</v>
      </c>
      <c r="U8" s="188"/>
      <c r="V8" s="188"/>
      <c r="W8" s="21"/>
    </row>
    <row r="9" spans="1:23" x14ac:dyDescent="0.25">
      <c r="A9" s="195"/>
      <c r="B9" s="195"/>
      <c r="C9" s="195"/>
      <c r="D9" s="195"/>
      <c r="E9" s="195"/>
      <c r="F9" s="195"/>
      <c r="G9" s="195"/>
      <c r="H9" s="195"/>
      <c r="I9" s="195"/>
      <c r="J9" s="195"/>
      <c r="K9" s="195"/>
      <c r="L9" s="188"/>
      <c r="M9" s="196"/>
      <c r="N9" s="151" t="s">
        <v>13</v>
      </c>
      <c r="O9" s="151" t="s">
        <v>14</v>
      </c>
      <c r="P9" s="151" t="s">
        <v>13</v>
      </c>
      <c r="Q9" s="151" t="s">
        <v>14</v>
      </c>
      <c r="R9" s="151" t="s">
        <v>13</v>
      </c>
      <c r="S9" s="151" t="s">
        <v>14</v>
      </c>
      <c r="T9" s="151" t="s">
        <v>14</v>
      </c>
      <c r="U9" s="188"/>
      <c r="V9" s="188"/>
      <c r="W9" s="21"/>
    </row>
    <row r="10" spans="1:23" s="171" customFormat="1" ht="25.5" x14ac:dyDescent="0.25">
      <c r="A10" s="190" t="s">
        <v>74</v>
      </c>
      <c r="B10" s="190"/>
      <c r="C10" s="190"/>
      <c r="D10" s="190"/>
      <c r="E10" s="190"/>
      <c r="F10" s="190"/>
      <c r="G10" s="190"/>
      <c r="H10" s="190"/>
      <c r="I10" s="190"/>
      <c r="J10" s="190"/>
      <c r="K10" s="76" t="s">
        <v>72</v>
      </c>
      <c r="L10" s="198" t="s">
        <v>15</v>
      </c>
      <c r="M10" s="32"/>
      <c r="N10" s="3"/>
      <c r="O10" s="153"/>
      <c r="P10" s="153"/>
      <c r="Q10" s="153"/>
      <c r="R10" s="153"/>
      <c r="S10" s="153"/>
      <c r="T10" s="153"/>
      <c r="U10" s="153"/>
      <c r="V10" s="153"/>
      <c r="W10" s="22"/>
    </row>
    <row r="11" spans="1:23" s="171" customFormat="1" ht="39.950000000000003" customHeight="1" x14ac:dyDescent="0.25">
      <c r="A11" s="190" t="s">
        <v>75</v>
      </c>
      <c r="B11" s="190"/>
      <c r="C11" s="190"/>
      <c r="D11" s="190"/>
      <c r="E11" s="190"/>
      <c r="F11" s="190"/>
      <c r="G11" s="190"/>
      <c r="H11" s="190"/>
      <c r="I11" s="190"/>
      <c r="J11" s="190"/>
      <c r="K11" s="76" t="s">
        <v>16</v>
      </c>
      <c r="L11" s="199"/>
      <c r="M11" s="33">
        <f>M12</f>
        <v>908784000</v>
      </c>
      <c r="N11" s="3"/>
      <c r="O11" s="153"/>
      <c r="P11" s="153"/>
      <c r="Q11" s="153"/>
      <c r="R11" s="5"/>
      <c r="S11" s="153"/>
      <c r="T11" s="153"/>
      <c r="U11" s="158"/>
      <c r="V11" s="153"/>
      <c r="W11" s="22"/>
    </row>
    <row r="12" spans="1:23" ht="20.100000000000001" customHeight="1" x14ac:dyDescent="0.25">
      <c r="A12" s="8">
        <v>1</v>
      </c>
      <c r="B12" s="9" t="s">
        <v>17</v>
      </c>
      <c r="C12" s="9" t="s">
        <v>18</v>
      </c>
      <c r="D12" s="8">
        <v>38</v>
      </c>
      <c r="E12" s="8">
        <v>14</v>
      </c>
      <c r="F12" s="38">
        <v>5</v>
      </c>
      <c r="G12" s="38">
        <v>2</v>
      </c>
      <c r="H12" s="38"/>
      <c r="I12" s="39"/>
      <c r="J12" s="40"/>
      <c r="K12" s="77" t="s">
        <v>19</v>
      </c>
      <c r="L12" s="159"/>
      <c r="M12" s="93">
        <f>M13+M14+M15</f>
        <v>908784000</v>
      </c>
      <c r="N12" s="94">
        <f>April!R12</f>
        <v>205161200</v>
      </c>
      <c r="O12" s="95">
        <f>N12/M12*100</f>
        <v>22.575353439321113</v>
      </c>
      <c r="P12" s="94">
        <f>P13+P14+P15</f>
        <v>1853760</v>
      </c>
      <c r="Q12" s="95">
        <f>P12/M12*100</f>
        <v>0.20398246448000845</v>
      </c>
      <c r="R12" s="94">
        <f>R13+R14+R15</f>
        <v>207014960</v>
      </c>
      <c r="S12" s="95">
        <f>R12/M12*100</f>
        <v>22.779335903801122</v>
      </c>
      <c r="T12" s="96">
        <f>SUM(T13:T15)/3</f>
        <v>19.362127926741721</v>
      </c>
      <c r="U12" s="10"/>
      <c r="V12" s="160"/>
      <c r="W12" s="172"/>
    </row>
    <row r="13" spans="1:23" ht="20.100000000000001" customHeight="1" x14ac:dyDescent="0.25">
      <c r="A13" s="8">
        <v>1</v>
      </c>
      <c r="B13" s="9" t="s">
        <v>17</v>
      </c>
      <c r="C13" s="9" t="s">
        <v>18</v>
      </c>
      <c r="D13" s="8">
        <v>38</v>
      </c>
      <c r="E13" s="8">
        <v>14</v>
      </c>
      <c r="F13" s="41">
        <v>5</v>
      </c>
      <c r="G13" s="41">
        <v>2</v>
      </c>
      <c r="H13" s="41">
        <v>1</v>
      </c>
      <c r="I13" s="42"/>
      <c r="J13" s="43"/>
      <c r="K13" s="73" t="s">
        <v>20</v>
      </c>
      <c r="L13" s="159"/>
      <c r="M13" s="97">
        <f>M17</f>
        <v>545270400</v>
      </c>
      <c r="N13" s="94">
        <f>April!R13</f>
        <v>145810800</v>
      </c>
      <c r="O13" s="99">
        <f t="shared" ref="O13:O76" si="0">N13/M13*100</f>
        <v>26.741007764221202</v>
      </c>
      <c r="P13" s="98">
        <f>P17</f>
        <v>488160</v>
      </c>
      <c r="Q13" s="99">
        <f t="shared" ref="Q13:Q76" si="1">P13/M13*100</f>
        <v>8.9526224053240372E-2</v>
      </c>
      <c r="R13" s="98">
        <f>N13+P13</f>
        <v>146298960</v>
      </c>
      <c r="S13" s="99">
        <f t="shared" ref="S13:S76" si="2">R13/M13*100</f>
        <v>26.830533988274439</v>
      </c>
      <c r="T13" s="100">
        <f>T17</f>
        <v>33.333333333333329</v>
      </c>
      <c r="U13" s="10"/>
      <c r="V13" s="10"/>
      <c r="W13" s="133"/>
    </row>
    <row r="14" spans="1:23" ht="20.100000000000001" customHeight="1" x14ac:dyDescent="0.25">
      <c r="A14" s="8">
        <v>1</v>
      </c>
      <c r="B14" s="9" t="s">
        <v>17</v>
      </c>
      <c r="C14" s="9" t="s">
        <v>18</v>
      </c>
      <c r="D14" s="8">
        <v>38</v>
      </c>
      <c r="E14" s="8">
        <v>14</v>
      </c>
      <c r="F14" s="42" t="s">
        <v>21</v>
      </c>
      <c r="G14" s="42" t="s">
        <v>22</v>
      </c>
      <c r="H14" s="42" t="s">
        <v>22</v>
      </c>
      <c r="I14" s="44"/>
      <c r="J14" s="45"/>
      <c r="K14" s="78" t="s">
        <v>23</v>
      </c>
      <c r="L14" s="11"/>
      <c r="M14" s="97">
        <f>M21</f>
        <v>294813600</v>
      </c>
      <c r="N14" s="94">
        <f>April!R14</f>
        <v>59350400</v>
      </c>
      <c r="O14" s="99">
        <f t="shared" si="0"/>
        <v>20.131500039346896</v>
      </c>
      <c r="P14" s="98">
        <f>P21</f>
        <v>1365600</v>
      </c>
      <c r="Q14" s="99">
        <f t="shared" si="1"/>
        <v>0.46320793884678313</v>
      </c>
      <c r="R14" s="98">
        <f>N14+P14</f>
        <v>60716000</v>
      </c>
      <c r="S14" s="99">
        <f t="shared" si="2"/>
        <v>20.594707978193679</v>
      </c>
      <c r="T14" s="100">
        <f>T21</f>
        <v>24.753050446891834</v>
      </c>
      <c r="U14" s="10"/>
      <c r="V14" s="10"/>
      <c r="W14" s="133"/>
    </row>
    <row r="15" spans="1:23" ht="20.100000000000001" customHeight="1" x14ac:dyDescent="0.25">
      <c r="A15" s="8">
        <v>1</v>
      </c>
      <c r="B15" s="9" t="s">
        <v>17</v>
      </c>
      <c r="C15" s="9" t="s">
        <v>18</v>
      </c>
      <c r="D15" s="8">
        <v>38</v>
      </c>
      <c r="E15" s="8">
        <v>14</v>
      </c>
      <c r="F15" s="42" t="s">
        <v>21</v>
      </c>
      <c r="G15" s="42" t="s">
        <v>22</v>
      </c>
      <c r="H15" s="42" t="s">
        <v>24</v>
      </c>
      <c r="I15" s="44"/>
      <c r="J15" s="45"/>
      <c r="K15" s="78" t="s">
        <v>25</v>
      </c>
      <c r="L15" s="11"/>
      <c r="M15" s="97">
        <f>M75</f>
        <v>68700000</v>
      </c>
      <c r="N15" s="94">
        <f>April!R15</f>
        <v>0</v>
      </c>
      <c r="O15" s="99">
        <f t="shared" si="0"/>
        <v>0</v>
      </c>
      <c r="P15" s="98">
        <f>P75</f>
        <v>0</v>
      </c>
      <c r="Q15" s="99">
        <f t="shared" si="1"/>
        <v>0</v>
      </c>
      <c r="R15" s="98">
        <f>N15+P15</f>
        <v>0</v>
      </c>
      <c r="S15" s="99">
        <f t="shared" si="2"/>
        <v>0</v>
      </c>
      <c r="T15" s="100">
        <f>T75</f>
        <v>0</v>
      </c>
      <c r="U15" s="10"/>
      <c r="V15" s="10"/>
      <c r="W15" s="133"/>
    </row>
    <row r="16" spans="1:23" ht="9.9499999999999993" customHeight="1" x14ac:dyDescent="0.25">
      <c r="A16" s="8"/>
      <c r="B16" s="9"/>
      <c r="C16" s="9"/>
      <c r="D16" s="8"/>
      <c r="E16" s="8"/>
      <c r="F16" s="42"/>
      <c r="G16" s="42"/>
      <c r="H16" s="42"/>
      <c r="I16" s="44"/>
      <c r="J16" s="45"/>
      <c r="K16" s="78"/>
      <c r="L16" s="11"/>
      <c r="M16" s="97"/>
      <c r="N16" s="94">
        <f>April!R16</f>
        <v>0</v>
      </c>
      <c r="O16" s="99"/>
      <c r="P16" s="101"/>
      <c r="Q16" s="99"/>
      <c r="R16" s="101"/>
      <c r="S16" s="99"/>
      <c r="T16" s="102"/>
      <c r="U16" s="10"/>
      <c r="V16" s="10"/>
      <c r="W16" s="133"/>
    </row>
    <row r="17" spans="1:23" ht="20.100000000000001" customHeight="1" x14ac:dyDescent="0.25">
      <c r="A17" s="8">
        <v>1</v>
      </c>
      <c r="B17" s="9" t="s">
        <v>17</v>
      </c>
      <c r="C17" s="9" t="s">
        <v>18</v>
      </c>
      <c r="D17" s="8">
        <v>38</v>
      </c>
      <c r="E17" s="8">
        <v>14</v>
      </c>
      <c r="F17" s="42" t="s">
        <v>21</v>
      </c>
      <c r="G17" s="42" t="s">
        <v>22</v>
      </c>
      <c r="H17" s="42" t="s">
        <v>26</v>
      </c>
      <c r="I17" s="42"/>
      <c r="J17" s="46"/>
      <c r="K17" s="79" t="s">
        <v>20</v>
      </c>
      <c r="L17" s="11"/>
      <c r="M17" s="103">
        <f>M18</f>
        <v>545270400</v>
      </c>
      <c r="N17" s="94">
        <f>April!R17</f>
        <v>145810800</v>
      </c>
      <c r="O17" s="99">
        <f t="shared" si="0"/>
        <v>26.741007764221202</v>
      </c>
      <c r="P17" s="104">
        <f>P18</f>
        <v>488160</v>
      </c>
      <c r="Q17" s="95">
        <f t="shared" si="1"/>
        <v>8.9526224053240372E-2</v>
      </c>
      <c r="R17" s="104">
        <f>R18</f>
        <v>146298960</v>
      </c>
      <c r="S17" s="95">
        <f t="shared" si="2"/>
        <v>26.830533988274439</v>
      </c>
      <c r="T17" s="96">
        <f>T18</f>
        <v>33.333333333333329</v>
      </c>
      <c r="U17" s="10"/>
      <c r="V17" s="10"/>
      <c r="W17" s="133"/>
    </row>
    <row r="18" spans="1:23" ht="20.100000000000001" customHeight="1" x14ac:dyDescent="0.25">
      <c r="A18" s="8">
        <v>1</v>
      </c>
      <c r="B18" s="9" t="s">
        <v>17</v>
      </c>
      <c r="C18" s="9" t="s">
        <v>18</v>
      </c>
      <c r="D18" s="8">
        <v>38</v>
      </c>
      <c r="E18" s="8">
        <v>14</v>
      </c>
      <c r="F18" s="41">
        <v>5</v>
      </c>
      <c r="G18" s="41">
        <v>2</v>
      </c>
      <c r="H18" s="41">
        <v>1</v>
      </c>
      <c r="I18" s="42" t="s">
        <v>30</v>
      </c>
      <c r="J18" s="47"/>
      <c r="K18" s="80" t="s">
        <v>31</v>
      </c>
      <c r="L18" s="159"/>
      <c r="M18" s="105">
        <f>M19</f>
        <v>545270400</v>
      </c>
      <c r="N18" s="94">
        <f>April!R18</f>
        <v>145810800</v>
      </c>
      <c r="O18" s="99">
        <f t="shared" si="0"/>
        <v>26.741007764221202</v>
      </c>
      <c r="P18" s="106">
        <f>P19</f>
        <v>488160</v>
      </c>
      <c r="Q18" s="95">
        <f t="shared" si="1"/>
        <v>8.9526224053240372E-2</v>
      </c>
      <c r="R18" s="106">
        <f>R19</f>
        <v>146298960</v>
      </c>
      <c r="S18" s="95">
        <f t="shared" si="2"/>
        <v>26.830533988274439</v>
      </c>
      <c r="T18" s="96">
        <f>T19</f>
        <v>33.333333333333329</v>
      </c>
      <c r="U18" s="10"/>
      <c r="V18" s="10"/>
      <c r="W18" s="133"/>
    </row>
    <row r="19" spans="1:23" ht="15" customHeight="1" x14ac:dyDescent="0.25">
      <c r="A19" s="6"/>
      <c r="B19" s="7"/>
      <c r="C19" s="7"/>
      <c r="D19" s="6"/>
      <c r="E19" s="6"/>
      <c r="F19" s="41"/>
      <c r="G19" s="41"/>
      <c r="H19" s="41"/>
      <c r="I19" s="42"/>
      <c r="J19" s="43" t="s">
        <v>18</v>
      </c>
      <c r="K19" s="73" t="s">
        <v>32</v>
      </c>
      <c r="L19" s="161"/>
      <c r="M19" s="107">
        <v>545270400</v>
      </c>
      <c r="N19" s="94">
        <f>April!R19</f>
        <v>145810800</v>
      </c>
      <c r="O19" s="99">
        <f t="shared" si="0"/>
        <v>26.741007764221202</v>
      </c>
      <c r="P19" s="26">
        <v>488160</v>
      </c>
      <c r="Q19" s="99">
        <f t="shared" si="1"/>
        <v>8.9526224053240372E-2</v>
      </c>
      <c r="R19" s="108">
        <f>N19+P19</f>
        <v>146298960</v>
      </c>
      <c r="S19" s="99">
        <f>R19/M19*100</f>
        <v>26.830533988274439</v>
      </c>
      <c r="T19" s="100">
        <f>4/12*100</f>
        <v>33.333333333333329</v>
      </c>
      <c r="U19" s="10"/>
      <c r="V19" s="10"/>
      <c r="W19" s="133"/>
    </row>
    <row r="20" spans="1:23" ht="9.9499999999999993" customHeight="1" x14ac:dyDescent="0.25">
      <c r="A20" s="10"/>
      <c r="B20" s="10"/>
      <c r="C20" s="10"/>
      <c r="D20" s="10"/>
      <c r="E20" s="10"/>
      <c r="F20" s="121"/>
      <c r="G20" s="121"/>
      <c r="H20" s="121"/>
      <c r="I20" s="122"/>
      <c r="J20" s="123"/>
      <c r="K20" s="73"/>
      <c r="L20" s="78"/>
      <c r="M20" s="107"/>
      <c r="N20" s="94">
        <f>April!R20</f>
        <v>0</v>
      </c>
      <c r="O20" s="99"/>
      <c r="P20" s="101"/>
      <c r="Q20" s="99"/>
      <c r="R20" s="101"/>
      <c r="S20" s="99"/>
      <c r="T20" s="109"/>
      <c r="U20" s="10"/>
      <c r="V20" s="10"/>
      <c r="W20" s="133"/>
    </row>
    <row r="21" spans="1:23" ht="20.100000000000001" customHeight="1" x14ac:dyDescent="0.25">
      <c r="A21" s="8">
        <v>1</v>
      </c>
      <c r="B21" s="9" t="s">
        <v>17</v>
      </c>
      <c r="C21" s="9" t="s">
        <v>18</v>
      </c>
      <c r="D21" s="8">
        <v>38</v>
      </c>
      <c r="E21" s="8">
        <v>14</v>
      </c>
      <c r="F21" s="42" t="s">
        <v>21</v>
      </c>
      <c r="G21" s="42" t="s">
        <v>22</v>
      </c>
      <c r="H21" s="42" t="s">
        <v>22</v>
      </c>
      <c r="I21" s="48"/>
      <c r="J21" s="49"/>
      <c r="K21" s="79" t="s">
        <v>23</v>
      </c>
      <c r="L21" s="11"/>
      <c r="M21" s="105">
        <f>M22+M31+M34+M42+M46+M52+M55+M58+M68+M72+M64+M39+M49</f>
        <v>294813600</v>
      </c>
      <c r="N21" s="94">
        <f>April!R21</f>
        <v>56230400</v>
      </c>
      <c r="O21" s="95">
        <f t="shared" si="0"/>
        <v>19.073204221243525</v>
      </c>
      <c r="P21" s="106">
        <f>P22+P31+P34+P42+P46+P52+P55+P58+P68+P72+P39+P49</f>
        <v>1365600</v>
      </c>
      <c r="Q21" s="95">
        <f t="shared" si="1"/>
        <v>0.46320793884678313</v>
      </c>
      <c r="R21" s="106">
        <f>R22+R31+R34+R42+R46+R52+R55+R58+R68+R72+R39+R49</f>
        <v>57596000</v>
      </c>
      <c r="S21" s="95">
        <f>R21/M21*100</f>
        <v>19.536412160090308</v>
      </c>
      <c r="T21" s="110">
        <f>(T22+T31+T34+T42+T46+T52+T55+T58+T68+T72+T39+T49)/13</f>
        <v>24.753050446891834</v>
      </c>
      <c r="U21" s="160"/>
      <c r="V21" s="10"/>
      <c r="W21" s="133"/>
    </row>
    <row r="22" spans="1:23" ht="20.100000000000001" customHeight="1" x14ac:dyDescent="0.25">
      <c r="A22" s="6">
        <v>1</v>
      </c>
      <c r="B22" s="9" t="s">
        <v>17</v>
      </c>
      <c r="C22" s="9" t="s">
        <v>18</v>
      </c>
      <c r="D22" s="8">
        <v>38</v>
      </c>
      <c r="E22" s="8">
        <v>14</v>
      </c>
      <c r="F22" s="42" t="s">
        <v>21</v>
      </c>
      <c r="G22" s="42" t="s">
        <v>22</v>
      </c>
      <c r="H22" s="42" t="s">
        <v>22</v>
      </c>
      <c r="I22" s="42" t="s">
        <v>18</v>
      </c>
      <c r="J22" s="43"/>
      <c r="K22" s="79" t="s">
        <v>33</v>
      </c>
      <c r="L22" s="17"/>
      <c r="M22" s="105">
        <f>SUM(M23:M29)</f>
        <v>119064100</v>
      </c>
      <c r="N22" s="94">
        <f>April!R22</f>
        <v>8330900</v>
      </c>
      <c r="O22" s="95">
        <f t="shared" si="0"/>
        <v>6.9969873370730555</v>
      </c>
      <c r="P22" s="111">
        <f>SUM(P23:P29)</f>
        <v>145000</v>
      </c>
      <c r="Q22" s="95">
        <f t="shared" si="1"/>
        <v>0.12178314034205105</v>
      </c>
      <c r="R22" s="111">
        <f>SUM(R23:R29)</f>
        <v>8475900</v>
      </c>
      <c r="S22" s="95">
        <f t="shared" si="2"/>
        <v>7.118770477415107</v>
      </c>
      <c r="T22" s="96">
        <f>SUM(T23:T29)/7</f>
        <v>17.261904761904763</v>
      </c>
      <c r="U22" s="10"/>
      <c r="V22" s="160"/>
      <c r="W22" s="133"/>
    </row>
    <row r="23" spans="1:23" ht="15" customHeight="1" x14ac:dyDescent="0.25">
      <c r="A23" s="10"/>
      <c r="B23" s="10"/>
      <c r="C23" s="10"/>
      <c r="D23" s="10"/>
      <c r="E23" s="10"/>
      <c r="F23" s="48"/>
      <c r="G23" s="48"/>
      <c r="H23" s="48"/>
      <c r="I23" s="48"/>
      <c r="J23" s="50" t="s">
        <v>18</v>
      </c>
      <c r="K23" s="81" t="s">
        <v>99</v>
      </c>
      <c r="L23" s="73"/>
      <c r="M23" s="97">
        <v>14306500</v>
      </c>
      <c r="N23" s="94">
        <f>April!R23</f>
        <v>7360900</v>
      </c>
      <c r="O23" s="99">
        <f t="shared" si="0"/>
        <v>51.451438157480865</v>
      </c>
      <c r="P23" s="26"/>
      <c r="Q23" s="99">
        <f t="shared" si="1"/>
        <v>0</v>
      </c>
      <c r="R23" s="112">
        <f>N23+P23</f>
        <v>7360900</v>
      </c>
      <c r="S23" s="99">
        <f t="shared" si="2"/>
        <v>51.451438157480865</v>
      </c>
      <c r="T23" s="100">
        <f>1/2*100</f>
        <v>50</v>
      </c>
      <c r="U23" s="10"/>
      <c r="V23" s="10"/>
      <c r="W23" s="133"/>
    </row>
    <row r="24" spans="1:23" ht="15" customHeight="1" x14ac:dyDescent="0.25">
      <c r="A24" s="6"/>
      <c r="B24" s="7"/>
      <c r="C24" s="7"/>
      <c r="D24" s="6"/>
      <c r="E24" s="6"/>
      <c r="F24" s="48"/>
      <c r="G24" s="48"/>
      <c r="H24" s="48"/>
      <c r="I24" s="48"/>
      <c r="J24" s="50" t="s">
        <v>35</v>
      </c>
      <c r="K24" s="74" t="s">
        <v>100</v>
      </c>
      <c r="L24" s="12"/>
      <c r="M24" s="97">
        <v>780000</v>
      </c>
      <c r="N24" s="94">
        <f>April!R24</f>
        <v>390000</v>
      </c>
      <c r="O24" s="99">
        <f t="shared" si="0"/>
        <v>50</v>
      </c>
      <c r="P24" s="101"/>
      <c r="Q24" s="99">
        <f t="shared" si="1"/>
        <v>0</v>
      </c>
      <c r="R24" s="112">
        <f>N24+P24</f>
        <v>390000</v>
      </c>
      <c r="S24" s="99">
        <f t="shared" si="2"/>
        <v>50</v>
      </c>
      <c r="T24" s="100">
        <f>1/2*100</f>
        <v>50</v>
      </c>
      <c r="U24" s="10"/>
      <c r="V24" s="10"/>
      <c r="W24" s="133"/>
    </row>
    <row r="25" spans="1:23" ht="15" customHeight="1" x14ac:dyDescent="0.25">
      <c r="A25" s="6"/>
      <c r="B25" s="7"/>
      <c r="C25" s="7"/>
      <c r="D25" s="6"/>
      <c r="E25" s="6"/>
      <c r="F25" s="48"/>
      <c r="G25" s="48"/>
      <c r="H25" s="48"/>
      <c r="I25" s="48"/>
      <c r="J25" s="43" t="s">
        <v>28</v>
      </c>
      <c r="K25" s="81" t="s">
        <v>101</v>
      </c>
      <c r="L25" s="12"/>
      <c r="M25" s="97">
        <v>2000000</v>
      </c>
      <c r="N25" s="94">
        <f>April!R25</f>
        <v>0</v>
      </c>
      <c r="O25" s="99">
        <f t="shared" si="0"/>
        <v>0</v>
      </c>
      <c r="P25" s="101"/>
      <c r="Q25" s="99">
        <f t="shared" si="1"/>
        <v>0</v>
      </c>
      <c r="R25" s="112">
        <f t="shared" ref="R25:R29" si="3">N25+P25</f>
        <v>0</v>
      </c>
      <c r="S25" s="99">
        <f t="shared" si="2"/>
        <v>0</v>
      </c>
      <c r="T25" s="100">
        <f>0/10*100</f>
        <v>0</v>
      </c>
      <c r="U25" s="10"/>
      <c r="V25" s="10"/>
      <c r="W25" s="133"/>
    </row>
    <row r="26" spans="1:23" ht="15" customHeight="1" x14ac:dyDescent="0.25">
      <c r="A26" s="6"/>
      <c r="B26" s="7"/>
      <c r="C26" s="7"/>
      <c r="D26" s="6"/>
      <c r="E26" s="6"/>
      <c r="F26" s="48"/>
      <c r="G26" s="48"/>
      <c r="H26" s="48"/>
      <c r="I26" s="51"/>
      <c r="J26" s="43" t="s">
        <v>50</v>
      </c>
      <c r="K26" s="81" t="s">
        <v>102</v>
      </c>
      <c r="L26" s="12"/>
      <c r="M26" s="97">
        <v>800000</v>
      </c>
      <c r="N26" s="94">
        <f>April!R26</f>
        <v>0</v>
      </c>
      <c r="O26" s="99">
        <f t="shared" si="0"/>
        <v>0</v>
      </c>
      <c r="P26" s="101"/>
      <c r="Q26" s="99">
        <f t="shared" si="1"/>
        <v>0</v>
      </c>
      <c r="R26" s="112">
        <f t="shared" si="3"/>
        <v>0</v>
      </c>
      <c r="S26" s="99">
        <f t="shared" si="2"/>
        <v>0</v>
      </c>
      <c r="T26" s="100">
        <f>0/2*100</f>
        <v>0</v>
      </c>
      <c r="U26" s="10"/>
      <c r="V26" s="10"/>
      <c r="W26" s="133"/>
    </row>
    <row r="27" spans="1:23" ht="15" customHeight="1" x14ac:dyDescent="0.25">
      <c r="A27" s="6"/>
      <c r="B27" s="7"/>
      <c r="C27" s="7"/>
      <c r="D27" s="6"/>
      <c r="E27" s="6"/>
      <c r="F27" s="121"/>
      <c r="G27" s="122"/>
      <c r="H27" s="122"/>
      <c r="I27" s="124"/>
      <c r="J27" s="52" t="s">
        <v>30</v>
      </c>
      <c r="K27" s="82" t="s">
        <v>103</v>
      </c>
      <c r="L27" s="12"/>
      <c r="M27" s="97">
        <v>2610000</v>
      </c>
      <c r="N27" s="94">
        <f>April!R27</f>
        <v>580000</v>
      </c>
      <c r="O27" s="99">
        <f t="shared" si="0"/>
        <v>22.222222222222221</v>
      </c>
      <c r="P27" s="132">
        <v>145000</v>
      </c>
      <c r="Q27" s="99">
        <f t="shared" si="1"/>
        <v>5.5555555555555554</v>
      </c>
      <c r="R27" s="112">
        <f t="shared" si="3"/>
        <v>725000</v>
      </c>
      <c r="S27" s="113">
        <f t="shared" si="2"/>
        <v>27.777777777777779</v>
      </c>
      <c r="T27" s="100">
        <f>5/24*100</f>
        <v>20.833333333333336</v>
      </c>
      <c r="U27" s="10"/>
      <c r="V27" s="10"/>
      <c r="W27" s="133"/>
    </row>
    <row r="28" spans="1:23" ht="15" customHeight="1" x14ac:dyDescent="0.25">
      <c r="A28" s="6"/>
      <c r="B28" s="7"/>
      <c r="C28" s="7"/>
      <c r="D28" s="6"/>
      <c r="E28" s="6"/>
      <c r="F28" s="48"/>
      <c r="G28" s="48"/>
      <c r="H28" s="48"/>
      <c r="I28" s="53"/>
      <c r="J28" s="43" t="s">
        <v>37</v>
      </c>
      <c r="K28" s="74" t="s">
        <v>38</v>
      </c>
      <c r="L28" s="162"/>
      <c r="M28" s="97">
        <v>98117600</v>
      </c>
      <c r="N28" s="94">
        <f>April!R28</f>
        <v>0</v>
      </c>
      <c r="O28" s="99">
        <f t="shared" si="0"/>
        <v>0</v>
      </c>
      <c r="P28" s="26"/>
      <c r="Q28" s="99">
        <f t="shared" si="1"/>
        <v>0</v>
      </c>
      <c r="R28" s="112">
        <f t="shared" si="3"/>
        <v>0</v>
      </c>
      <c r="S28" s="99">
        <f t="shared" si="2"/>
        <v>0</v>
      </c>
      <c r="T28" s="100">
        <f>0/2*100</f>
        <v>0</v>
      </c>
      <c r="U28" s="10"/>
      <c r="V28" s="10"/>
      <c r="W28" s="133"/>
    </row>
    <row r="29" spans="1:23" ht="15" customHeight="1" x14ac:dyDescent="0.25">
      <c r="A29" s="6"/>
      <c r="B29" s="7"/>
      <c r="C29" s="7"/>
      <c r="D29" s="6"/>
      <c r="E29" s="6"/>
      <c r="F29" s="48"/>
      <c r="G29" s="48"/>
      <c r="H29" s="48"/>
      <c r="I29" s="48"/>
      <c r="J29" s="43" t="s">
        <v>44</v>
      </c>
      <c r="K29" s="74" t="s">
        <v>104</v>
      </c>
      <c r="L29" s="161"/>
      <c r="M29" s="97">
        <v>450000</v>
      </c>
      <c r="N29" s="94">
        <f>April!R29</f>
        <v>0</v>
      </c>
      <c r="O29" s="99">
        <f t="shared" si="0"/>
        <v>0</v>
      </c>
      <c r="P29" s="101"/>
      <c r="Q29" s="99">
        <f t="shared" si="1"/>
        <v>0</v>
      </c>
      <c r="R29" s="112">
        <f t="shared" si="3"/>
        <v>0</v>
      </c>
      <c r="S29" s="99">
        <f t="shared" si="2"/>
        <v>0</v>
      </c>
      <c r="T29" s="100">
        <f>0/3*100</f>
        <v>0</v>
      </c>
      <c r="U29" s="10"/>
      <c r="V29" s="10"/>
      <c r="W29" s="133"/>
    </row>
    <row r="30" spans="1:23" ht="9.9499999999999993" customHeight="1" x14ac:dyDescent="0.25">
      <c r="A30" s="6"/>
      <c r="B30" s="7"/>
      <c r="C30" s="7"/>
      <c r="D30" s="6"/>
      <c r="E30" s="6"/>
      <c r="F30" s="54"/>
      <c r="G30" s="54"/>
      <c r="H30" s="54"/>
      <c r="I30" s="55"/>
      <c r="J30" s="56"/>
      <c r="K30" s="83"/>
      <c r="L30" s="163"/>
      <c r="M30" s="115"/>
      <c r="N30" s="94">
        <f>April!R30</f>
        <v>0</v>
      </c>
      <c r="O30" s="99"/>
      <c r="P30" s="101"/>
      <c r="Q30" s="99"/>
      <c r="R30" s="101"/>
      <c r="S30" s="99"/>
      <c r="T30" s="101"/>
      <c r="U30" s="10"/>
      <c r="V30" s="10"/>
      <c r="W30" s="133"/>
    </row>
    <row r="31" spans="1:23" ht="20.100000000000001" customHeight="1" x14ac:dyDescent="0.25">
      <c r="A31" s="8">
        <v>1</v>
      </c>
      <c r="B31" s="9" t="s">
        <v>17</v>
      </c>
      <c r="C31" s="9" t="s">
        <v>18</v>
      </c>
      <c r="D31" s="8">
        <v>38</v>
      </c>
      <c r="E31" s="8">
        <v>14</v>
      </c>
      <c r="F31" s="41">
        <v>5</v>
      </c>
      <c r="G31" s="41">
        <v>2</v>
      </c>
      <c r="H31" s="41">
        <v>2</v>
      </c>
      <c r="I31" s="42" t="s">
        <v>17</v>
      </c>
      <c r="J31" s="46"/>
      <c r="K31" s="80" t="s">
        <v>39</v>
      </c>
      <c r="L31" s="14"/>
      <c r="M31" s="105">
        <f>M32</f>
        <v>2400000</v>
      </c>
      <c r="N31" s="94">
        <f>April!R31</f>
        <v>800000</v>
      </c>
      <c r="O31" s="99">
        <f t="shared" si="0"/>
        <v>33.333333333333329</v>
      </c>
      <c r="P31" s="94">
        <f>P32</f>
        <v>200000</v>
      </c>
      <c r="Q31" s="95">
        <f t="shared" si="1"/>
        <v>8.3333333333333321</v>
      </c>
      <c r="R31" s="116">
        <f>R32</f>
        <v>1000000</v>
      </c>
      <c r="S31" s="95">
        <f t="shared" si="2"/>
        <v>41.666666666666671</v>
      </c>
      <c r="T31" s="95">
        <f>(T32)/1</f>
        <v>41.666666666666671</v>
      </c>
      <c r="U31" s="10"/>
      <c r="V31" s="10"/>
      <c r="W31" s="133"/>
    </row>
    <row r="32" spans="1:23" ht="15" customHeight="1" x14ac:dyDescent="0.25">
      <c r="A32" s="6"/>
      <c r="B32" s="7"/>
      <c r="C32" s="7"/>
      <c r="D32" s="6"/>
      <c r="E32" s="6"/>
      <c r="F32" s="48"/>
      <c r="G32" s="48"/>
      <c r="H32" s="48"/>
      <c r="I32" s="53"/>
      <c r="J32" s="43" t="s">
        <v>28</v>
      </c>
      <c r="K32" s="74" t="s">
        <v>40</v>
      </c>
      <c r="L32" s="12"/>
      <c r="M32" s="97">
        <v>2400000</v>
      </c>
      <c r="N32" s="94">
        <f>April!R32</f>
        <v>800000</v>
      </c>
      <c r="O32" s="99">
        <f t="shared" si="0"/>
        <v>33.333333333333329</v>
      </c>
      <c r="P32" s="26">
        <v>200000</v>
      </c>
      <c r="Q32" s="99">
        <f t="shared" si="1"/>
        <v>8.3333333333333321</v>
      </c>
      <c r="R32" s="101">
        <f t="shared" ref="R32" si="4">N32+P32</f>
        <v>1000000</v>
      </c>
      <c r="S32" s="99">
        <f t="shared" si="2"/>
        <v>41.666666666666671</v>
      </c>
      <c r="T32" s="100">
        <f>50/120*100</f>
        <v>41.666666666666671</v>
      </c>
      <c r="U32" s="10"/>
      <c r="V32" s="10"/>
      <c r="W32" s="133"/>
    </row>
    <row r="33" spans="1:23" ht="9.9499999999999993" customHeight="1" x14ac:dyDescent="0.25">
      <c r="A33" s="10"/>
      <c r="B33" s="10"/>
      <c r="C33" s="10"/>
      <c r="D33" s="10"/>
      <c r="E33" s="10"/>
      <c r="F33" s="54"/>
      <c r="G33" s="54"/>
      <c r="H33" s="54"/>
      <c r="I33" s="48"/>
      <c r="J33" s="43"/>
      <c r="K33" s="73"/>
      <c r="L33" s="13"/>
      <c r="M33" s="107"/>
      <c r="N33" s="94">
        <f>April!R33</f>
        <v>0</v>
      </c>
      <c r="O33" s="99"/>
      <c r="P33" s="101"/>
      <c r="Q33" s="99"/>
      <c r="R33" s="101"/>
      <c r="S33" s="99"/>
      <c r="T33" s="101"/>
      <c r="U33" s="10"/>
      <c r="V33" s="10"/>
      <c r="W33" s="133"/>
    </row>
    <row r="34" spans="1:23" ht="20.100000000000001" customHeight="1" x14ac:dyDescent="0.25">
      <c r="A34" s="8">
        <v>1</v>
      </c>
      <c r="B34" s="9" t="s">
        <v>17</v>
      </c>
      <c r="C34" s="9" t="s">
        <v>18</v>
      </c>
      <c r="D34" s="8">
        <v>38</v>
      </c>
      <c r="E34" s="8">
        <v>14</v>
      </c>
      <c r="F34" s="41">
        <v>5</v>
      </c>
      <c r="G34" s="41">
        <v>2</v>
      </c>
      <c r="H34" s="41">
        <v>2</v>
      </c>
      <c r="I34" s="42" t="s">
        <v>34</v>
      </c>
      <c r="J34" s="46"/>
      <c r="K34" s="80" t="s">
        <v>52</v>
      </c>
      <c r="L34" s="14"/>
      <c r="M34" s="103">
        <f>M35+M37+M36</f>
        <v>19800000</v>
      </c>
      <c r="N34" s="94">
        <f>April!R34</f>
        <v>3487700</v>
      </c>
      <c r="O34" s="99">
        <f t="shared" si="0"/>
        <v>17.614646464646462</v>
      </c>
      <c r="P34" s="116">
        <f>P35+P36+P37</f>
        <v>870600</v>
      </c>
      <c r="Q34" s="95">
        <f t="shared" si="1"/>
        <v>4.3969696969696974</v>
      </c>
      <c r="R34" s="116">
        <f>R35+R36</f>
        <v>4358300</v>
      </c>
      <c r="S34" s="95">
        <f>R34/M34*100</f>
        <v>22.011616161616164</v>
      </c>
      <c r="T34" s="95">
        <f>SUM(T35:T37)/3</f>
        <v>38.888888888888893</v>
      </c>
      <c r="U34" s="10"/>
      <c r="V34" s="10"/>
      <c r="W34" s="133"/>
    </row>
    <row r="35" spans="1:23" ht="15" customHeight="1" x14ac:dyDescent="0.25">
      <c r="A35" s="10"/>
      <c r="B35" s="10"/>
      <c r="C35" s="10"/>
      <c r="D35" s="10"/>
      <c r="E35" s="10"/>
      <c r="F35" s="54"/>
      <c r="G35" s="54"/>
      <c r="H35" s="54"/>
      <c r="I35" s="48"/>
      <c r="J35" s="43" t="s">
        <v>28</v>
      </c>
      <c r="K35" s="73" t="s">
        <v>41</v>
      </c>
      <c r="L35" s="164"/>
      <c r="M35" s="97">
        <v>12000000</v>
      </c>
      <c r="N35" s="94">
        <f>April!R35</f>
        <v>3470800</v>
      </c>
      <c r="O35" s="99">
        <f t="shared" si="0"/>
        <v>28.923333333333336</v>
      </c>
      <c r="P35" s="26">
        <v>867700</v>
      </c>
      <c r="Q35" s="99">
        <f t="shared" si="1"/>
        <v>7.2308333333333339</v>
      </c>
      <c r="R35" s="101">
        <f>N35+P35</f>
        <v>4338500</v>
      </c>
      <c r="S35" s="99">
        <f>R35/M35*100</f>
        <v>36.154166666666669</v>
      </c>
      <c r="T35" s="99">
        <f>5/12*100</f>
        <v>41.666666666666671</v>
      </c>
      <c r="U35" s="10"/>
      <c r="V35" s="10"/>
      <c r="W35" s="133"/>
    </row>
    <row r="36" spans="1:23" ht="15" customHeight="1" x14ac:dyDescent="0.25">
      <c r="A36" s="6"/>
      <c r="B36" s="7"/>
      <c r="C36" s="7"/>
      <c r="D36" s="6"/>
      <c r="E36" s="6"/>
      <c r="F36" s="54"/>
      <c r="G36" s="54"/>
      <c r="H36" s="54"/>
      <c r="I36" s="48"/>
      <c r="J36" s="43" t="s">
        <v>29</v>
      </c>
      <c r="K36" s="74" t="s">
        <v>42</v>
      </c>
      <c r="L36" s="54"/>
      <c r="M36" s="107">
        <v>600000</v>
      </c>
      <c r="N36" s="94">
        <f>April!R36</f>
        <v>16900</v>
      </c>
      <c r="O36" s="99">
        <f t="shared" si="0"/>
        <v>2.8166666666666664</v>
      </c>
      <c r="P36" s="26">
        <v>2900</v>
      </c>
      <c r="Q36" s="99">
        <f t="shared" si="1"/>
        <v>0.48333333333333334</v>
      </c>
      <c r="R36" s="101">
        <f>N36+P36</f>
        <v>19800</v>
      </c>
      <c r="S36" s="99">
        <f>R36/M36*100</f>
        <v>3.3000000000000003</v>
      </c>
      <c r="T36" s="100">
        <f>5/12*100</f>
        <v>41.666666666666671</v>
      </c>
      <c r="U36" s="10"/>
      <c r="V36" s="10"/>
      <c r="W36" s="133"/>
    </row>
    <row r="37" spans="1:23" ht="15" customHeight="1" x14ac:dyDescent="0.25">
      <c r="A37" s="10"/>
      <c r="B37" s="10"/>
      <c r="C37" s="10"/>
      <c r="D37" s="10"/>
      <c r="E37" s="10"/>
      <c r="F37" s="57"/>
      <c r="G37" s="57"/>
      <c r="H37" s="57"/>
      <c r="I37" s="125"/>
      <c r="J37" s="58" t="s">
        <v>47</v>
      </c>
      <c r="K37" s="75" t="s">
        <v>64</v>
      </c>
      <c r="L37" s="164"/>
      <c r="M37" s="97">
        <v>7200000</v>
      </c>
      <c r="N37" s="94">
        <f>April!R37</f>
        <v>1120000</v>
      </c>
      <c r="O37" s="99">
        <f t="shared" si="0"/>
        <v>15.555555555555555</v>
      </c>
      <c r="P37" s="101"/>
      <c r="Q37" s="99">
        <f t="shared" si="1"/>
        <v>0</v>
      </c>
      <c r="R37" s="101">
        <f>N37+P37</f>
        <v>1120000</v>
      </c>
      <c r="S37" s="99">
        <f t="shared" si="2"/>
        <v>15.555555555555555</v>
      </c>
      <c r="T37" s="100">
        <f>1/3*100</f>
        <v>33.333333333333329</v>
      </c>
      <c r="U37" s="10"/>
      <c r="V37" s="10"/>
      <c r="W37" s="133"/>
    </row>
    <row r="38" spans="1:23" ht="9.9499999999999993" customHeight="1" x14ac:dyDescent="0.25">
      <c r="A38" s="10"/>
      <c r="B38" s="10"/>
      <c r="C38" s="10"/>
      <c r="D38" s="10"/>
      <c r="E38" s="10"/>
      <c r="F38" s="57"/>
      <c r="G38" s="57"/>
      <c r="H38" s="57"/>
      <c r="I38" s="125"/>
      <c r="J38" s="126"/>
      <c r="K38" s="84"/>
      <c r="L38" s="165"/>
      <c r="M38" s="115"/>
      <c r="N38" s="94">
        <f>April!R38</f>
        <v>0</v>
      </c>
      <c r="O38" s="99"/>
      <c r="P38" s="101"/>
      <c r="Q38" s="99"/>
      <c r="R38" s="101"/>
      <c r="S38" s="99"/>
      <c r="T38" s="101"/>
      <c r="U38" s="10"/>
      <c r="V38" s="10"/>
      <c r="W38" s="133"/>
    </row>
    <row r="39" spans="1:23" ht="20.100000000000001" customHeight="1" x14ac:dyDescent="0.25">
      <c r="A39" s="8">
        <v>1</v>
      </c>
      <c r="B39" s="9" t="s">
        <v>17</v>
      </c>
      <c r="C39" s="9" t="s">
        <v>18</v>
      </c>
      <c r="D39" s="8">
        <v>38</v>
      </c>
      <c r="E39" s="8">
        <v>14</v>
      </c>
      <c r="F39" s="41">
        <v>5</v>
      </c>
      <c r="G39" s="41">
        <v>2</v>
      </c>
      <c r="H39" s="41">
        <v>2</v>
      </c>
      <c r="I39" s="42" t="s">
        <v>27</v>
      </c>
      <c r="J39" s="155"/>
      <c r="K39" s="154" t="s">
        <v>105</v>
      </c>
      <c r="L39" s="14"/>
      <c r="M39" s="103">
        <f>M40</f>
        <v>900000</v>
      </c>
      <c r="N39" s="94">
        <f>April!R39</f>
        <v>0</v>
      </c>
      <c r="O39" s="99">
        <f t="shared" si="0"/>
        <v>0</v>
      </c>
      <c r="P39" s="101">
        <f>P40</f>
        <v>0</v>
      </c>
      <c r="Q39" s="99">
        <f t="shared" si="1"/>
        <v>0</v>
      </c>
      <c r="R39" s="101">
        <f>R40</f>
        <v>0</v>
      </c>
      <c r="S39" s="99">
        <f t="shared" si="2"/>
        <v>0</v>
      </c>
      <c r="T39" s="96">
        <f>T40</f>
        <v>0</v>
      </c>
      <c r="U39" s="10"/>
      <c r="V39" s="10"/>
      <c r="W39" s="133"/>
    </row>
    <row r="40" spans="1:23" ht="15" customHeight="1" x14ac:dyDescent="0.25">
      <c r="A40" s="63"/>
      <c r="B40" s="63"/>
      <c r="C40" s="63"/>
      <c r="D40" s="63"/>
      <c r="E40" s="63"/>
      <c r="F40" s="57"/>
      <c r="G40" s="57"/>
      <c r="H40" s="57"/>
      <c r="I40" s="67"/>
      <c r="J40" s="43" t="s">
        <v>17</v>
      </c>
      <c r="K40" s="75" t="s">
        <v>106</v>
      </c>
      <c r="L40" s="13"/>
      <c r="M40" s="97">
        <v>900000</v>
      </c>
      <c r="N40" s="94">
        <f>April!R40</f>
        <v>0</v>
      </c>
      <c r="O40" s="99">
        <f t="shared" si="0"/>
        <v>0</v>
      </c>
      <c r="P40" s="101"/>
      <c r="Q40" s="99">
        <f t="shared" si="1"/>
        <v>0</v>
      </c>
      <c r="R40" s="101">
        <f>N40+P40</f>
        <v>0</v>
      </c>
      <c r="S40" s="99">
        <f t="shared" si="2"/>
        <v>0</v>
      </c>
      <c r="T40" s="100">
        <f>0/1*100</f>
        <v>0</v>
      </c>
      <c r="U40" s="10"/>
      <c r="V40" s="10"/>
      <c r="W40" s="133"/>
    </row>
    <row r="41" spans="1:23" ht="9.9499999999999993" customHeight="1" x14ac:dyDescent="0.25">
      <c r="A41" s="63"/>
      <c r="B41" s="63"/>
      <c r="C41" s="63"/>
      <c r="D41" s="63"/>
      <c r="E41" s="63"/>
      <c r="F41" s="57"/>
      <c r="G41" s="57"/>
      <c r="H41" s="57"/>
      <c r="I41" s="67"/>
      <c r="J41" s="68"/>
      <c r="K41" s="84"/>
      <c r="L41" s="165"/>
      <c r="M41" s="115"/>
      <c r="N41" s="94">
        <f>April!R41</f>
        <v>0</v>
      </c>
      <c r="O41" s="99"/>
      <c r="P41" s="101"/>
      <c r="Q41" s="99"/>
      <c r="R41" s="101"/>
      <c r="S41" s="99"/>
      <c r="T41" s="101"/>
      <c r="U41" s="10"/>
      <c r="V41" s="10"/>
      <c r="W41" s="133"/>
    </row>
    <row r="42" spans="1:23" ht="20.100000000000001" customHeight="1" x14ac:dyDescent="0.25">
      <c r="A42" s="8">
        <v>1</v>
      </c>
      <c r="B42" s="9" t="s">
        <v>17</v>
      </c>
      <c r="C42" s="9" t="s">
        <v>18</v>
      </c>
      <c r="D42" s="8">
        <v>38</v>
      </c>
      <c r="E42" s="8">
        <v>14</v>
      </c>
      <c r="F42" s="42" t="s">
        <v>21</v>
      </c>
      <c r="G42" s="42" t="s">
        <v>22</v>
      </c>
      <c r="H42" s="42" t="s">
        <v>22</v>
      </c>
      <c r="I42" s="60" t="s">
        <v>28</v>
      </c>
      <c r="J42" s="56"/>
      <c r="K42" s="85" t="s">
        <v>53</v>
      </c>
      <c r="L42" s="14"/>
      <c r="M42" s="103">
        <f>SUM(M43:M44)</f>
        <v>29487500</v>
      </c>
      <c r="N42" s="94">
        <f>April!R42</f>
        <v>600000</v>
      </c>
      <c r="O42" s="99">
        <f t="shared" si="0"/>
        <v>2.0347604917337856</v>
      </c>
      <c r="P42" s="104">
        <f>P44+P43</f>
        <v>150000</v>
      </c>
      <c r="Q42" s="95">
        <f t="shared" si="1"/>
        <v>0.5086901229334464</v>
      </c>
      <c r="R42" s="104">
        <f>SUM(R43:R44)</f>
        <v>750000</v>
      </c>
      <c r="S42" s="95">
        <f t="shared" si="2"/>
        <v>2.5434506146672318</v>
      </c>
      <c r="T42" s="95">
        <f>SUM(T43:T44)/2</f>
        <v>5.359056806002144</v>
      </c>
      <c r="U42" s="10"/>
      <c r="V42" s="10"/>
      <c r="W42" s="133"/>
    </row>
    <row r="43" spans="1:23" ht="15" customHeight="1" x14ac:dyDescent="0.25">
      <c r="A43" s="8"/>
      <c r="B43" s="9"/>
      <c r="C43" s="9"/>
      <c r="D43" s="8"/>
      <c r="E43" s="8"/>
      <c r="F43" s="42"/>
      <c r="G43" s="42"/>
      <c r="H43" s="42"/>
      <c r="I43" s="59"/>
      <c r="J43" s="50" t="s">
        <v>18</v>
      </c>
      <c r="K43" s="81" t="s">
        <v>65</v>
      </c>
      <c r="L43" s="14"/>
      <c r="M43" s="97">
        <v>22490000</v>
      </c>
      <c r="N43" s="94">
        <f>April!R43</f>
        <v>0</v>
      </c>
      <c r="O43" s="99">
        <f t="shared" si="0"/>
        <v>0</v>
      </c>
      <c r="P43" s="26"/>
      <c r="Q43" s="99">
        <f t="shared" si="1"/>
        <v>0</v>
      </c>
      <c r="R43" s="98">
        <f>N43+P43</f>
        <v>0</v>
      </c>
      <c r="S43" s="99">
        <f>R43/M43*100</f>
        <v>0</v>
      </c>
      <c r="T43" s="99">
        <v>0</v>
      </c>
      <c r="U43" s="10"/>
      <c r="V43" s="10"/>
      <c r="W43" s="133"/>
    </row>
    <row r="44" spans="1:23" ht="15" customHeight="1" x14ac:dyDescent="0.25">
      <c r="A44" s="6"/>
      <c r="B44" s="7"/>
      <c r="C44" s="7"/>
      <c r="D44" s="6"/>
      <c r="E44" s="6"/>
      <c r="F44" s="48"/>
      <c r="G44" s="48"/>
      <c r="H44" s="48"/>
      <c r="I44" s="51"/>
      <c r="J44" s="50" t="s">
        <v>17</v>
      </c>
      <c r="K44" s="82" t="s">
        <v>54</v>
      </c>
      <c r="L44" s="162"/>
      <c r="M44" s="97">
        <v>6997500</v>
      </c>
      <c r="N44" s="94">
        <f>April!R44</f>
        <v>600000</v>
      </c>
      <c r="O44" s="99">
        <f t="shared" si="0"/>
        <v>8.57449088960343</v>
      </c>
      <c r="P44" s="26">
        <v>150000</v>
      </c>
      <c r="Q44" s="99">
        <f t="shared" si="1"/>
        <v>2.1436227224008575</v>
      </c>
      <c r="R44" s="98">
        <f>N44+P44</f>
        <v>750000</v>
      </c>
      <c r="S44" s="99">
        <f>R44/M44*100</f>
        <v>10.718113612004288</v>
      </c>
      <c r="T44" s="100">
        <f>3000/27990*100</f>
        <v>10.718113612004288</v>
      </c>
      <c r="U44" s="10"/>
      <c r="V44" s="10"/>
      <c r="W44" s="133"/>
    </row>
    <row r="45" spans="1:23" ht="9.9499999999999993" customHeight="1" x14ac:dyDescent="0.25">
      <c r="A45" s="10"/>
      <c r="B45" s="10"/>
      <c r="C45" s="10"/>
      <c r="D45" s="10"/>
      <c r="E45" s="10"/>
      <c r="F45" s="48"/>
      <c r="G45" s="48"/>
      <c r="H45" s="48"/>
      <c r="I45" s="53"/>
      <c r="J45" s="56"/>
      <c r="K45" s="86"/>
      <c r="L45" s="165"/>
      <c r="M45" s="115"/>
      <c r="N45" s="94">
        <f>April!R45</f>
        <v>0</v>
      </c>
      <c r="O45" s="99"/>
      <c r="P45" s="117"/>
      <c r="Q45" s="99"/>
      <c r="R45" s="117"/>
      <c r="S45" s="99"/>
      <c r="T45" s="101"/>
      <c r="U45" s="10"/>
      <c r="V45" s="10"/>
      <c r="W45" s="133"/>
    </row>
    <row r="46" spans="1:23" ht="20.100000000000001" customHeight="1" x14ac:dyDescent="0.25">
      <c r="A46" s="8">
        <v>1</v>
      </c>
      <c r="B46" s="9" t="s">
        <v>17</v>
      </c>
      <c r="C46" s="9" t="s">
        <v>18</v>
      </c>
      <c r="D46" s="8">
        <v>38</v>
      </c>
      <c r="E46" s="8">
        <v>14</v>
      </c>
      <c r="F46" s="41">
        <v>5</v>
      </c>
      <c r="G46" s="41">
        <v>2</v>
      </c>
      <c r="H46" s="41">
        <v>2</v>
      </c>
      <c r="I46" s="60" t="s">
        <v>37</v>
      </c>
      <c r="J46" s="46"/>
      <c r="K46" s="85" t="s">
        <v>55</v>
      </c>
      <c r="L46" s="13"/>
      <c r="M46" s="105">
        <f>M47</f>
        <v>30300000</v>
      </c>
      <c r="N46" s="94">
        <f>April!R46</f>
        <v>8550000</v>
      </c>
      <c r="O46" s="99">
        <f t="shared" si="0"/>
        <v>28.217821782178216</v>
      </c>
      <c r="P46" s="106">
        <f>P47</f>
        <v>0</v>
      </c>
      <c r="Q46" s="95">
        <f t="shared" si="1"/>
        <v>0</v>
      </c>
      <c r="R46" s="106">
        <f>R47</f>
        <v>8550000</v>
      </c>
      <c r="S46" s="95">
        <f t="shared" si="2"/>
        <v>28.217821782178216</v>
      </c>
      <c r="T46" s="95">
        <f>T47</f>
        <v>18.613138686131386</v>
      </c>
      <c r="U46" s="10"/>
      <c r="V46" s="10"/>
      <c r="W46" s="133"/>
    </row>
    <row r="47" spans="1:23" ht="15" customHeight="1" x14ac:dyDescent="0.25">
      <c r="A47" s="127"/>
      <c r="B47" s="127"/>
      <c r="C47" s="127"/>
      <c r="D47" s="127"/>
      <c r="E47" s="127"/>
      <c r="F47" s="42"/>
      <c r="G47" s="42"/>
      <c r="H47" s="42"/>
      <c r="I47" s="42"/>
      <c r="J47" s="55" t="s">
        <v>17</v>
      </c>
      <c r="K47" s="78" t="s">
        <v>56</v>
      </c>
      <c r="L47" s="10"/>
      <c r="M47" s="107">
        <v>30300000</v>
      </c>
      <c r="N47" s="94">
        <f>April!R47</f>
        <v>8550000</v>
      </c>
      <c r="O47" s="99">
        <f t="shared" si="0"/>
        <v>28.217821782178216</v>
      </c>
      <c r="P47" s="26"/>
      <c r="Q47" s="99">
        <f t="shared" si="1"/>
        <v>0</v>
      </c>
      <c r="R47" s="108">
        <f>N47+P47</f>
        <v>8550000</v>
      </c>
      <c r="S47" s="99">
        <f>R47/M47*100</f>
        <v>28.217821782178216</v>
      </c>
      <c r="T47" s="100">
        <f>306/1644*100</f>
        <v>18.613138686131386</v>
      </c>
      <c r="U47" s="10"/>
      <c r="V47" s="10"/>
      <c r="W47" s="133"/>
    </row>
    <row r="48" spans="1:23" ht="9.9499999999999993" customHeight="1" x14ac:dyDescent="0.25">
      <c r="A48" s="127"/>
      <c r="B48" s="127"/>
      <c r="C48" s="127"/>
      <c r="D48" s="127"/>
      <c r="E48" s="127"/>
      <c r="F48" s="42"/>
      <c r="G48" s="42"/>
      <c r="H48" s="42"/>
      <c r="I48" s="42"/>
      <c r="J48" s="59"/>
      <c r="K48" s="87"/>
      <c r="L48" s="166"/>
      <c r="M48" s="118"/>
      <c r="N48" s="94">
        <f>April!R48</f>
        <v>0</v>
      </c>
      <c r="O48" s="99"/>
      <c r="P48" s="119"/>
      <c r="Q48" s="99"/>
      <c r="R48" s="119"/>
      <c r="S48" s="99"/>
      <c r="T48" s="63"/>
      <c r="U48" s="10"/>
      <c r="V48" s="10"/>
      <c r="W48" s="133"/>
    </row>
    <row r="49" spans="1:23" s="174" customFormat="1" ht="20.100000000000001" customHeight="1" x14ac:dyDescent="0.25">
      <c r="A49" s="8">
        <v>1</v>
      </c>
      <c r="B49" s="9" t="s">
        <v>17</v>
      </c>
      <c r="C49" s="9" t="s">
        <v>18</v>
      </c>
      <c r="D49" s="8">
        <v>38</v>
      </c>
      <c r="E49" s="8">
        <v>14</v>
      </c>
      <c r="F49" s="41">
        <v>5</v>
      </c>
      <c r="G49" s="41">
        <v>2</v>
      </c>
      <c r="H49" s="41">
        <v>2</v>
      </c>
      <c r="I49" s="60" t="s">
        <v>82</v>
      </c>
      <c r="J49" s="46"/>
      <c r="K49" s="79" t="s">
        <v>83</v>
      </c>
      <c r="L49" s="127"/>
      <c r="M49" s="105">
        <f>M50</f>
        <v>3300000</v>
      </c>
      <c r="N49" s="94">
        <f>April!R49</f>
        <v>0</v>
      </c>
      <c r="O49" s="95">
        <f t="shared" si="0"/>
        <v>0</v>
      </c>
      <c r="P49" s="106">
        <f>P50</f>
        <v>0</v>
      </c>
      <c r="Q49" s="95">
        <f t="shared" si="1"/>
        <v>0</v>
      </c>
      <c r="R49" s="106">
        <f>R50</f>
        <v>0</v>
      </c>
      <c r="S49" s="95">
        <f t="shared" si="2"/>
        <v>0</v>
      </c>
      <c r="T49" s="95">
        <f>T50</f>
        <v>0</v>
      </c>
      <c r="U49" s="127"/>
      <c r="V49" s="127"/>
      <c r="W49" s="173"/>
    </row>
    <row r="50" spans="1:23" ht="15" customHeight="1" x14ac:dyDescent="0.25">
      <c r="A50" s="63"/>
      <c r="B50" s="63"/>
      <c r="C50" s="63"/>
      <c r="D50" s="63"/>
      <c r="E50" s="63"/>
      <c r="F50" s="48"/>
      <c r="G50" s="48"/>
      <c r="H50" s="48"/>
      <c r="I50" s="48"/>
      <c r="J50" s="55" t="s">
        <v>35</v>
      </c>
      <c r="K50" s="78" t="s">
        <v>84</v>
      </c>
      <c r="L50" s="10"/>
      <c r="M50" s="107">
        <v>3300000</v>
      </c>
      <c r="N50" s="94">
        <f>April!R50</f>
        <v>0</v>
      </c>
      <c r="O50" s="99">
        <f t="shared" si="0"/>
        <v>0</v>
      </c>
      <c r="P50" s="108"/>
      <c r="Q50" s="99">
        <f t="shared" si="1"/>
        <v>0</v>
      </c>
      <c r="R50" s="108">
        <f>N50+P50</f>
        <v>0</v>
      </c>
      <c r="S50" s="99">
        <f t="shared" si="2"/>
        <v>0</v>
      </c>
      <c r="T50" s="100">
        <f>0/1*100</f>
        <v>0</v>
      </c>
      <c r="U50" s="10"/>
      <c r="V50" s="10"/>
      <c r="W50" s="133"/>
    </row>
    <row r="51" spans="1:23" ht="9.9499999999999993" customHeight="1" x14ac:dyDescent="0.25">
      <c r="A51" s="152"/>
      <c r="B51" s="152"/>
      <c r="C51" s="152"/>
      <c r="D51" s="152"/>
      <c r="E51" s="152"/>
      <c r="F51" s="42"/>
      <c r="G51" s="42"/>
      <c r="H51" s="42"/>
      <c r="I51" s="42"/>
      <c r="J51" s="59"/>
      <c r="K51" s="87"/>
      <c r="L51" s="166"/>
      <c r="M51" s="118"/>
      <c r="N51" s="94">
        <f>April!R51</f>
        <v>0</v>
      </c>
      <c r="O51" s="99"/>
      <c r="P51" s="119"/>
      <c r="Q51" s="99"/>
      <c r="R51" s="119"/>
      <c r="S51" s="99"/>
      <c r="T51" s="63"/>
      <c r="U51" s="10"/>
      <c r="V51" s="10"/>
      <c r="W51" s="133"/>
    </row>
    <row r="52" spans="1:23" ht="20.100000000000001" customHeight="1" x14ac:dyDescent="0.25">
      <c r="A52" s="8">
        <v>1</v>
      </c>
      <c r="B52" s="9" t="s">
        <v>17</v>
      </c>
      <c r="C52" s="9" t="s">
        <v>18</v>
      </c>
      <c r="D52" s="8">
        <v>38</v>
      </c>
      <c r="E52" s="8">
        <v>14</v>
      </c>
      <c r="F52" s="61" t="s">
        <v>21</v>
      </c>
      <c r="G52" s="61" t="s">
        <v>22</v>
      </c>
      <c r="H52" s="61" t="s">
        <v>22</v>
      </c>
      <c r="I52" s="128">
        <v>15</v>
      </c>
      <c r="J52" s="61"/>
      <c r="K52" s="88" t="s">
        <v>43</v>
      </c>
      <c r="L52" s="10"/>
      <c r="M52" s="105">
        <f>M53</f>
        <v>15612000</v>
      </c>
      <c r="N52" s="94">
        <f>April!R52</f>
        <v>5626800</v>
      </c>
      <c r="O52" s="99">
        <f t="shared" si="0"/>
        <v>36.041506533435822</v>
      </c>
      <c r="P52" s="106">
        <f>P53</f>
        <v>0</v>
      </c>
      <c r="Q52" s="95">
        <f t="shared" si="1"/>
        <v>0</v>
      </c>
      <c r="R52" s="106">
        <f>R53</f>
        <v>5626800</v>
      </c>
      <c r="S52" s="95">
        <f t="shared" si="2"/>
        <v>36.041506533435822</v>
      </c>
      <c r="T52" s="96">
        <f>T53</f>
        <v>50</v>
      </c>
      <c r="U52" s="10"/>
      <c r="V52" s="10"/>
      <c r="W52" s="133"/>
    </row>
    <row r="53" spans="1:23" ht="15" customHeight="1" x14ac:dyDescent="0.25">
      <c r="A53" s="10"/>
      <c r="B53" s="10"/>
      <c r="C53" s="10"/>
      <c r="D53" s="10"/>
      <c r="E53" s="10"/>
      <c r="F53" s="57"/>
      <c r="G53" s="57"/>
      <c r="H53" s="57"/>
      <c r="I53" s="129"/>
      <c r="J53" s="57" t="s">
        <v>17</v>
      </c>
      <c r="K53" s="89" t="s">
        <v>69</v>
      </c>
      <c r="L53" s="10"/>
      <c r="M53" s="107">
        <v>15612000</v>
      </c>
      <c r="N53" s="94">
        <f>April!R53</f>
        <v>5626800</v>
      </c>
      <c r="O53" s="99">
        <f t="shared" si="0"/>
        <v>36.041506533435822</v>
      </c>
      <c r="P53" s="120"/>
      <c r="Q53" s="99">
        <f t="shared" si="1"/>
        <v>0</v>
      </c>
      <c r="R53" s="108">
        <f>N53+P53</f>
        <v>5626800</v>
      </c>
      <c r="S53" s="99">
        <f t="shared" si="2"/>
        <v>36.041506533435822</v>
      </c>
      <c r="T53" s="100">
        <f>1/2*100</f>
        <v>50</v>
      </c>
      <c r="U53" s="10"/>
      <c r="V53" s="10"/>
      <c r="W53" s="133"/>
    </row>
    <row r="54" spans="1:23" ht="9.9499999999999993" customHeight="1" x14ac:dyDescent="0.25">
      <c r="A54" s="10"/>
      <c r="B54" s="10"/>
      <c r="C54" s="10"/>
      <c r="D54" s="10"/>
      <c r="E54" s="10"/>
      <c r="F54" s="48"/>
      <c r="G54" s="48"/>
      <c r="H54" s="48"/>
      <c r="I54" s="53"/>
      <c r="J54" s="53"/>
      <c r="K54" s="78"/>
      <c r="L54" s="10"/>
      <c r="M54" s="107"/>
      <c r="N54" s="94">
        <f>April!R54</f>
        <v>0</v>
      </c>
      <c r="O54" s="99"/>
      <c r="P54" s="108"/>
      <c r="Q54" s="99"/>
      <c r="R54" s="108"/>
      <c r="S54" s="99"/>
      <c r="T54" s="63"/>
      <c r="U54" s="10"/>
      <c r="V54" s="10"/>
      <c r="W54" s="133"/>
    </row>
    <row r="55" spans="1:23" ht="30" customHeight="1" x14ac:dyDescent="0.25">
      <c r="A55" s="8">
        <v>1</v>
      </c>
      <c r="B55" s="9" t="s">
        <v>17</v>
      </c>
      <c r="C55" s="9" t="s">
        <v>18</v>
      </c>
      <c r="D55" s="8">
        <v>38</v>
      </c>
      <c r="E55" s="8">
        <v>14</v>
      </c>
      <c r="F55" s="61" t="s">
        <v>21</v>
      </c>
      <c r="G55" s="61" t="s">
        <v>22</v>
      </c>
      <c r="H55" s="61" t="s">
        <v>22</v>
      </c>
      <c r="I55" s="128" t="s">
        <v>48</v>
      </c>
      <c r="J55" s="42"/>
      <c r="K55" s="79" t="s">
        <v>57</v>
      </c>
      <c r="L55" s="10"/>
      <c r="M55" s="105">
        <f>M56</f>
        <v>20000000</v>
      </c>
      <c r="N55" s="94">
        <f>April!R55</f>
        <v>15000000</v>
      </c>
      <c r="O55" s="99">
        <f t="shared" si="0"/>
        <v>75</v>
      </c>
      <c r="P55" s="106">
        <f>P56</f>
        <v>0</v>
      </c>
      <c r="Q55" s="95">
        <f t="shared" si="1"/>
        <v>0</v>
      </c>
      <c r="R55" s="106">
        <f>R56</f>
        <v>15000000</v>
      </c>
      <c r="S55" s="95">
        <f t="shared" si="2"/>
        <v>75</v>
      </c>
      <c r="T55" s="96">
        <f>T56</f>
        <v>75</v>
      </c>
      <c r="U55" s="10"/>
      <c r="V55" s="10"/>
      <c r="W55" s="133"/>
    </row>
    <row r="56" spans="1:23" ht="15" customHeight="1" x14ac:dyDescent="0.25">
      <c r="A56" s="10"/>
      <c r="B56" s="10"/>
      <c r="C56" s="10"/>
      <c r="D56" s="10"/>
      <c r="E56" s="10"/>
      <c r="F56" s="48"/>
      <c r="G56" s="48"/>
      <c r="H56" s="48"/>
      <c r="I56" s="48"/>
      <c r="J56" s="48" t="s">
        <v>18</v>
      </c>
      <c r="K56" s="78" t="s">
        <v>58</v>
      </c>
      <c r="L56" s="10"/>
      <c r="M56" s="107">
        <v>20000000</v>
      </c>
      <c r="N56" s="94">
        <f>April!R56</f>
        <v>15000000</v>
      </c>
      <c r="O56" s="99">
        <f t="shared" si="0"/>
        <v>75</v>
      </c>
      <c r="P56" s="26"/>
      <c r="Q56" s="99">
        <f t="shared" si="1"/>
        <v>0</v>
      </c>
      <c r="R56" s="108">
        <f>N56+P56</f>
        <v>15000000</v>
      </c>
      <c r="S56" s="99">
        <f t="shared" si="2"/>
        <v>75</v>
      </c>
      <c r="T56" s="100">
        <f>3/4*100</f>
        <v>75</v>
      </c>
      <c r="U56" s="10"/>
      <c r="V56" s="10"/>
      <c r="W56" s="133"/>
    </row>
    <row r="57" spans="1:23" ht="9.9499999999999993" customHeight="1" x14ac:dyDescent="0.25">
      <c r="A57" s="10"/>
      <c r="B57" s="10"/>
      <c r="C57" s="10"/>
      <c r="D57" s="10"/>
      <c r="E57" s="10"/>
      <c r="F57" s="48"/>
      <c r="G57" s="48"/>
      <c r="H57" s="48"/>
      <c r="I57" s="53"/>
      <c r="J57" s="53"/>
      <c r="K57" s="90"/>
      <c r="L57" s="10"/>
      <c r="M57" s="97"/>
      <c r="N57" s="94">
        <f>April!R57</f>
        <v>0</v>
      </c>
      <c r="O57" s="99"/>
      <c r="P57" s="98"/>
      <c r="Q57" s="99"/>
      <c r="R57" s="98"/>
      <c r="S57" s="99"/>
      <c r="T57" s="63"/>
      <c r="U57" s="10"/>
      <c r="V57" s="10"/>
      <c r="W57" s="133"/>
    </row>
    <row r="58" spans="1:23" ht="20.100000000000001" customHeight="1" x14ac:dyDescent="0.25">
      <c r="A58" s="8">
        <v>1</v>
      </c>
      <c r="B58" s="9" t="s">
        <v>17</v>
      </c>
      <c r="C58" s="9" t="s">
        <v>18</v>
      </c>
      <c r="D58" s="8">
        <v>38</v>
      </c>
      <c r="E58" s="8">
        <v>14</v>
      </c>
      <c r="F58" s="61" t="s">
        <v>21</v>
      </c>
      <c r="G58" s="61" t="s">
        <v>22</v>
      </c>
      <c r="H58" s="61" t="s">
        <v>22</v>
      </c>
      <c r="I58" s="128" t="s">
        <v>51</v>
      </c>
      <c r="J58" s="130"/>
      <c r="K58" s="88" t="s">
        <v>59</v>
      </c>
      <c r="L58" s="10"/>
      <c r="M58" s="103">
        <f>SUM(M59:M62)</f>
        <v>24000000</v>
      </c>
      <c r="N58" s="94">
        <f>April!R58</f>
        <v>9785000</v>
      </c>
      <c r="O58" s="99">
        <f t="shared" si="0"/>
        <v>40.770833333333336</v>
      </c>
      <c r="P58" s="104">
        <f>SUM(P59:P62)</f>
        <v>0</v>
      </c>
      <c r="Q58" s="95">
        <f t="shared" si="1"/>
        <v>0</v>
      </c>
      <c r="R58" s="104">
        <f>SUM(R59:R62)</f>
        <v>9785000</v>
      </c>
      <c r="S58" s="95">
        <f t="shared" si="2"/>
        <v>40.770833333333336</v>
      </c>
      <c r="T58" s="96">
        <f>SUM(T59:T61)/4</f>
        <v>25</v>
      </c>
      <c r="U58" s="10"/>
      <c r="V58" s="10"/>
      <c r="W58" s="133"/>
    </row>
    <row r="59" spans="1:23" ht="15" customHeight="1" x14ac:dyDescent="0.25">
      <c r="A59" s="10"/>
      <c r="B59" s="10"/>
      <c r="C59" s="10"/>
      <c r="D59" s="10"/>
      <c r="E59" s="10"/>
      <c r="F59" s="57"/>
      <c r="G59" s="57"/>
      <c r="H59" s="57"/>
      <c r="I59" s="129"/>
      <c r="J59" s="62" t="s">
        <v>34</v>
      </c>
      <c r="K59" s="89" t="s">
        <v>60</v>
      </c>
      <c r="L59" s="10"/>
      <c r="M59" s="97">
        <v>1000000</v>
      </c>
      <c r="N59" s="94">
        <f>April!R59</f>
        <v>0</v>
      </c>
      <c r="O59" s="99">
        <f t="shared" si="0"/>
        <v>0</v>
      </c>
      <c r="P59" s="98"/>
      <c r="Q59" s="99">
        <f t="shared" si="1"/>
        <v>0</v>
      </c>
      <c r="R59" s="98">
        <f>N59+P59</f>
        <v>0</v>
      </c>
      <c r="S59" s="99">
        <f t="shared" si="2"/>
        <v>0</v>
      </c>
      <c r="T59" s="100">
        <f>0/1*100</f>
        <v>0</v>
      </c>
      <c r="U59" s="10"/>
      <c r="V59" s="10"/>
      <c r="W59" s="133"/>
    </row>
    <row r="60" spans="1:23" ht="15" customHeight="1" x14ac:dyDescent="0.25">
      <c r="A60" s="10"/>
      <c r="B60" s="10"/>
      <c r="C60" s="10"/>
      <c r="D60" s="10"/>
      <c r="E60" s="10"/>
      <c r="F60" s="54"/>
      <c r="G60" s="54"/>
      <c r="H60" s="54"/>
      <c r="I60" s="48"/>
      <c r="J60" s="55" t="s">
        <v>35</v>
      </c>
      <c r="K60" s="73" t="s">
        <v>61</v>
      </c>
      <c r="L60" s="10"/>
      <c r="M60" s="97">
        <v>13000000</v>
      </c>
      <c r="N60" s="94">
        <f>April!R60</f>
        <v>9785000</v>
      </c>
      <c r="O60" s="99">
        <f t="shared" si="0"/>
        <v>75.269230769230759</v>
      </c>
      <c r="P60" s="98"/>
      <c r="Q60" s="99">
        <f t="shared" si="1"/>
        <v>0</v>
      </c>
      <c r="R60" s="98">
        <f t="shared" ref="R60:R62" si="5">N60+P60</f>
        <v>9785000</v>
      </c>
      <c r="S60" s="99">
        <f t="shared" si="2"/>
        <v>75.269230769230759</v>
      </c>
      <c r="T60" s="100">
        <f>1/1*100</f>
        <v>100</v>
      </c>
      <c r="U60" s="10"/>
      <c r="V60" s="10"/>
      <c r="W60" s="133"/>
    </row>
    <row r="61" spans="1:23" ht="15" customHeight="1" x14ac:dyDescent="0.25">
      <c r="A61" s="10"/>
      <c r="B61" s="10"/>
      <c r="C61" s="10"/>
      <c r="D61" s="10"/>
      <c r="E61" s="10"/>
      <c r="F61" s="57"/>
      <c r="G61" s="57"/>
      <c r="H61" s="57"/>
      <c r="I61" s="129"/>
      <c r="J61" s="62" t="s">
        <v>50</v>
      </c>
      <c r="K61" s="89" t="s">
        <v>62</v>
      </c>
      <c r="L61" s="10"/>
      <c r="M61" s="97">
        <v>5000000</v>
      </c>
      <c r="N61" s="94">
        <f>April!R61</f>
        <v>0</v>
      </c>
      <c r="O61" s="99">
        <f t="shared" si="0"/>
        <v>0</v>
      </c>
      <c r="P61" s="98"/>
      <c r="Q61" s="99">
        <f t="shared" si="1"/>
        <v>0</v>
      </c>
      <c r="R61" s="98">
        <f t="shared" si="5"/>
        <v>0</v>
      </c>
      <c r="S61" s="99">
        <f t="shared" si="2"/>
        <v>0</v>
      </c>
      <c r="T61" s="100">
        <f>0/2*100</f>
        <v>0</v>
      </c>
      <c r="U61" s="10"/>
      <c r="V61" s="10"/>
      <c r="W61" s="133"/>
    </row>
    <row r="62" spans="1:23" ht="15" customHeight="1" x14ac:dyDescent="0.25">
      <c r="A62" s="10"/>
      <c r="B62" s="10"/>
      <c r="C62" s="10"/>
      <c r="D62" s="10"/>
      <c r="E62" s="10"/>
      <c r="F62" s="57"/>
      <c r="G62" s="57"/>
      <c r="H62" s="57"/>
      <c r="I62" s="129"/>
      <c r="J62" s="62" t="s">
        <v>36</v>
      </c>
      <c r="K62" s="89" t="s">
        <v>80</v>
      </c>
      <c r="L62" s="10"/>
      <c r="M62" s="97">
        <v>5000000</v>
      </c>
      <c r="N62" s="94">
        <f>April!R62</f>
        <v>0</v>
      </c>
      <c r="O62" s="99">
        <v>0</v>
      </c>
      <c r="P62" s="98"/>
      <c r="Q62" s="99">
        <v>0</v>
      </c>
      <c r="R62" s="98">
        <f t="shared" si="5"/>
        <v>0</v>
      </c>
      <c r="S62" s="99">
        <f t="shared" si="2"/>
        <v>0</v>
      </c>
      <c r="T62" s="100">
        <f>0/1*100</f>
        <v>0</v>
      </c>
      <c r="U62" s="10"/>
      <c r="V62" s="10"/>
      <c r="W62" s="133"/>
    </row>
    <row r="63" spans="1:23" ht="9.9499999999999993" customHeight="1" x14ac:dyDescent="0.25">
      <c r="A63" s="10"/>
      <c r="B63" s="10"/>
      <c r="C63" s="10"/>
      <c r="D63" s="10"/>
      <c r="E63" s="10"/>
      <c r="F63" s="48"/>
      <c r="G63" s="48"/>
      <c r="H63" s="48"/>
      <c r="I63" s="53"/>
      <c r="J63" s="53"/>
      <c r="K63" s="78"/>
      <c r="L63" s="10"/>
      <c r="M63" s="97"/>
      <c r="N63" s="94">
        <f>April!R63</f>
        <v>0</v>
      </c>
      <c r="O63" s="99"/>
      <c r="P63" s="98"/>
      <c r="Q63" s="99"/>
      <c r="R63" s="98"/>
      <c r="S63" s="99"/>
      <c r="T63" s="63"/>
      <c r="U63" s="10"/>
      <c r="V63" s="10"/>
      <c r="W63" s="133"/>
    </row>
    <row r="64" spans="1:23" ht="20.100000000000001" customHeight="1" x14ac:dyDescent="0.25">
      <c r="A64" s="127">
        <v>1</v>
      </c>
      <c r="B64" s="127" t="s">
        <v>17</v>
      </c>
      <c r="C64" s="127" t="s">
        <v>18</v>
      </c>
      <c r="D64" s="127">
        <v>38</v>
      </c>
      <c r="E64" s="127">
        <v>14</v>
      </c>
      <c r="F64" s="42" t="s">
        <v>21</v>
      </c>
      <c r="G64" s="42" t="s">
        <v>22</v>
      </c>
      <c r="H64" s="42" t="s">
        <v>22</v>
      </c>
      <c r="I64" s="42" t="s">
        <v>78</v>
      </c>
      <c r="J64" s="42"/>
      <c r="K64" s="79" t="s">
        <v>76</v>
      </c>
      <c r="L64" s="127"/>
      <c r="M64" s="103">
        <f>SUM(M65:M66)</f>
        <v>10000000</v>
      </c>
      <c r="N64" s="94">
        <f>April!R64</f>
        <v>2000000</v>
      </c>
      <c r="O64" s="95">
        <f t="shared" ref="O64:O66" si="6">N64/M64*100</f>
        <v>20</v>
      </c>
      <c r="P64" s="104">
        <f>SUM(P65:P66)</f>
        <v>0</v>
      </c>
      <c r="Q64" s="95">
        <f t="shared" ref="Q64:Q66" si="7">P64/M64*100</f>
        <v>0</v>
      </c>
      <c r="R64" s="104">
        <f>SUM(R65:R66)</f>
        <v>2000000</v>
      </c>
      <c r="S64" s="95">
        <f t="shared" ref="S64:S66" si="8">R64/M64*100</f>
        <v>20</v>
      </c>
      <c r="T64" s="96">
        <f>SUM(T65:T66)/2</f>
        <v>50</v>
      </c>
      <c r="U64" s="10"/>
      <c r="V64" s="10"/>
      <c r="W64" s="133"/>
    </row>
    <row r="65" spans="1:23" ht="15" customHeight="1" x14ac:dyDescent="0.25">
      <c r="A65" s="6"/>
      <c r="B65" s="7"/>
      <c r="C65" s="7"/>
      <c r="D65" s="6"/>
      <c r="E65" s="6"/>
      <c r="F65" s="57"/>
      <c r="G65" s="57"/>
      <c r="H65" s="57"/>
      <c r="I65" s="70"/>
      <c r="J65" s="62" t="s">
        <v>34</v>
      </c>
      <c r="K65" s="89" t="s">
        <v>107</v>
      </c>
      <c r="L65" s="10"/>
      <c r="M65" s="97">
        <v>7000000</v>
      </c>
      <c r="N65" s="94">
        <f>April!R65</f>
        <v>0</v>
      </c>
      <c r="O65" s="99">
        <f t="shared" si="6"/>
        <v>0</v>
      </c>
      <c r="P65" s="98"/>
      <c r="Q65" s="99">
        <f t="shared" si="7"/>
        <v>0</v>
      </c>
      <c r="R65" s="98">
        <f>N65+P65</f>
        <v>0</v>
      </c>
      <c r="S65" s="99">
        <f t="shared" si="8"/>
        <v>0</v>
      </c>
      <c r="T65" s="100">
        <f>0/1*100</f>
        <v>0</v>
      </c>
      <c r="U65" s="10"/>
      <c r="V65" s="10"/>
      <c r="W65" s="133"/>
    </row>
    <row r="66" spans="1:23" ht="15" customHeight="1" x14ac:dyDescent="0.25">
      <c r="A66" s="10"/>
      <c r="B66" s="10"/>
      <c r="C66" s="10"/>
      <c r="D66" s="10"/>
      <c r="E66" s="10"/>
      <c r="F66" s="48"/>
      <c r="G66" s="48"/>
      <c r="H66" s="48"/>
      <c r="I66" s="48"/>
      <c r="J66" s="48" t="s">
        <v>30</v>
      </c>
      <c r="K66" s="78" t="s">
        <v>77</v>
      </c>
      <c r="L66" s="10"/>
      <c r="M66" s="97">
        <v>3000000</v>
      </c>
      <c r="N66" s="94">
        <f>April!R66</f>
        <v>2000000</v>
      </c>
      <c r="O66" s="99">
        <f t="shared" si="6"/>
        <v>66.666666666666657</v>
      </c>
      <c r="P66" s="98"/>
      <c r="Q66" s="99">
        <f t="shared" si="7"/>
        <v>0</v>
      </c>
      <c r="R66" s="98">
        <f>N66+P66</f>
        <v>2000000</v>
      </c>
      <c r="S66" s="99">
        <f t="shared" si="8"/>
        <v>66.666666666666657</v>
      </c>
      <c r="T66" s="100">
        <f>1/1*100</f>
        <v>100</v>
      </c>
      <c r="U66" s="10"/>
      <c r="V66" s="10"/>
      <c r="W66" s="133"/>
    </row>
    <row r="67" spans="1:23" ht="9.9499999999999993" customHeight="1" x14ac:dyDescent="0.25">
      <c r="A67" s="10"/>
      <c r="B67" s="10"/>
      <c r="C67" s="10"/>
      <c r="D67" s="10"/>
      <c r="E67" s="10"/>
      <c r="F67" s="48"/>
      <c r="G67" s="48"/>
      <c r="H67" s="48"/>
      <c r="I67" s="53"/>
      <c r="J67" s="53"/>
      <c r="K67" s="78"/>
      <c r="L67" s="10"/>
      <c r="M67" s="97"/>
      <c r="N67" s="94">
        <f>April!R67</f>
        <v>0</v>
      </c>
      <c r="O67" s="99"/>
      <c r="P67" s="98"/>
      <c r="Q67" s="99"/>
      <c r="R67" s="98"/>
      <c r="S67" s="99"/>
      <c r="T67" s="63"/>
      <c r="U67" s="10"/>
      <c r="V67" s="10"/>
      <c r="W67" s="133"/>
    </row>
    <row r="68" spans="1:23" ht="30" customHeight="1" x14ac:dyDescent="0.25">
      <c r="A68" s="8">
        <v>1</v>
      </c>
      <c r="B68" s="9" t="s">
        <v>17</v>
      </c>
      <c r="C68" s="9" t="s">
        <v>18</v>
      </c>
      <c r="D68" s="8">
        <v>38</v>
      </c>
      <c r="E68" s="8">
        <v>14</v>
      </c>
      <c r="F68" s="61" t="s">
        <v>21</v>
      </c>
      <c r="G68" s="61" t="s">
        <v>22</v>
      </c>
      <c r="H68" s="61" t="s">
        <v>22</v>
      </c>
      <c r="I68" s="131" t="s">
        <v>49</v>
      </c>
      <c r="J68" s="61"/>
      <c r="K68" s="88" t="s">
        <v>63</v>
      </c>
      <c r="L68" s="10"/>
      <c r="M68" s="105">
        <f>SUM(M69:M70)</f>
        <v>19450000</v>
      </c>
      <c r="N68" s="94">
        <f>April!R68</f>
        <v>4050000</v>
      </c>
      <c r="O68" s="99">
        <f t="shared" si="0"/>
        <v>20.822622107969153</v>
      </c>
      <c r="P68" s="106">
        <f>SUM(P69:P70)</f>
        <v>0</v>
      </c>
      <c r="Q68" s="95">
        <f t="shared" si="1"/>
        <v>0</v>
      </c>
      <c r="R68" s="106">
        <f>SUM(R69:R70)</f>
        <v>4050000</v>
      </c>
      <c r="S68" s="95">
        <f t="shared" si="2"/>
        <v>20.822622107969153</v>
      </c>
      <c r="T68" s="96">
        <f>SUM(T69:T70)/2</f>
        <v>50</v>
      </c>
      <c r="U68" s="10"/>
      <c r="V68" s="10"/>
      <c r="W68" s="133"/>
    </row>
    <row r="69" spans="1:23" ht="20.100000000000001" customHeight="1" x14ac:dyDescent="0.25">
      <c r="A69" s="10"/>
      <c r="B69" s="10"/>
      <c r="C69" s="10"/>
      <c r="D69" s="10"/>
      <c r="E69" s="10"/>
      <c r="F69" s="57"/>
      <c r="G69" s="57"/>
      <c r="H69" s="57"/>
      <c r="I69" s="129"/>
      <c r="J69" s="62" t="s">
        <v>17</v>
      </c>
      <c r="K69" s="89" t="s">
        <v>66</v>
      </c>
      <c r="L69" s="10"/>
      <c r="M69" s="107">
        <v>7200000</v>
      </c>
      <c r="N69" s="94">
        <f>April!R69</f>
        <v>1800000</v>
      </c>
      <c r="O69" s="99">
        <f t="shared" si="0"/>
        <v>25</v>
      </c>
      <c r="P69" s="26"/>
      <c r="Q69" s="99">
        <f t="shared" si="1"/>
        <v>0</v>
      </c>
      <c r="R69" s="108">
        <f>N69+P69</f>
        <v>1800000</v>
      </c>
      <c r="S69" s="99">
        <f t="shared" si="2"/>
        <v>25</v>
      </c>
      <c r="T69" s="100">
        <f>6/24*100</f>
        <v>25</v>
      </c>
      <c r="U69" s="10"/>
      <c r="V69" s="10"/>
      <c r="W69" s="133"/>
    </row>
    <row r="70" spans="1:23" ht="20.100000000000001" customHeight="1" x14ac:dyDescent="0.25">
      <c r="A70" s="63"/>
      <c r="B70" s="63"/>
      <c r="C70" s="63"/>
      <c r="D70" s="63"/>
      <c r="E70" s="63"/>
      <c r="F70" s="57"/>
      <c r="G70" s="57"/>
      <c r="H70" s="57"/>
      <c r="I70" s="70"/>
      <c r="J70" s="62" t="s">
        <v>34</v>
      </c>
      <c r="K70" s="89" t="s">
        <v>81</v>
      </c>
      <c r="L70" s="10"/>
      <c r="M70" s="107">
        <v>12250000</v>
      </c>
      <c r="N70" s="94">
        <f>April!R70</f>
        <v>2250000</v>
      </c>
      <c r="O70" s="99">
        <f t="shared" si="0"/>
        <v>18.367346938775512</v>
      </c>
      <c r="P70" s="26"/>
      <c r="Q70" s="99">
        <f t="shared" si="1"/>
        <v>0</v>
      </c>
      <c r="R70" s="108">
        <f>N70+P70</f>
        <v>2250000</v>
      </c>
      <c r="S70" s="99">
        <f t="shared" si="2"/>
        <v>18.367346938775512</v>
      </c>
      <c r="T70" s="100">
        <f>9/12*100</f>
        <v>75</v>
      </c>
      <c r="U70" s="10"/>
      <c r="V70" s="10"/>
      <c r="W70" s="133"/>
    </row>
    <row r="71" spans="1:23" ht="9.9499999999999993" customHeight="1" x14ac:dyDescent="0.25">
      <c r="A71" s="10"/>
      <c r="B71" s="10"/>
      <c r="C71" s="10"/>
      <c r="D71" s="10"/>
      <c r="E71" s="10"/>
      <c r="F71" s="48"/>
      <c r="G71" s="48"/>
      <c r="H71" s="48"/>
      <c r="I71" s="53"/>
      <c r="J71" s="53"/>
      <c r="K71" s="78"/>
      <c r="L71" s="10"/>
      <c r="M71" s="97"/>
      <c r="N71" s="94">
        <f>April!R71</f>
        <v>0</v>
      </c>
      <c r="O71" s="99"/>
      <c r="P71" s="98"/>
      <c r="Q71" s="99"/>
      <c r="R71" s="98"/>
      <c r="S71" s="99"/>
      <c r="T71" s="63"/>
      <c r="U71" s="10"/>
      <c r="V71" s="10"/>
      <c r="W71" s="133"/>
    </row>
    <row r="72" spans="1:23" ht="25.5" x14ac:dyDescent="0.25">
      <c r="A72" s="8">
        <v>1</v>
      </c>
      <c r="B72" s="9" t="s">
        <v>17</v>
      </c>
      <c r="C72" s="9" t="s">
        <v>18</v>
      </c>
      <c r="D72" s="8">
        <v>38</v>
      </c>
      <c r="E72" s="8">
        <v>14</v>
      </c>
      <c r="F72" s="42" t="s">
        <v>21</v>
      </c>
      <c r="G72" s="42" t="s">
        <v>22</v>
      </c>
      <c r="H72" s="42" t="s">
        <v>22</v>
      </c>
      <c r="I72" s="42" t="s">
        <v>108</v>
      </c>
      <c r="J72" s="44"/>
      <c r="K72" s="79" t="s">
        <v>109</v>
      </c>
      <c r="L72" s="10"/>
      <c r="M72" s="103">
        <f>M73</f>
        <v>500000</v>
      </c>
      <c r="N72" s="94">
        <f>April!R72</f>
        <v>0</v>
      </c>
      <c r="O72" s="99">
        <f t="shared" si="0"/>
        <v>0</v>
      </c>
      <c r="P72" s="104">
        <f>P73</f>
        <v>0</v>
      </c>
      <c r="Q72" s="95">
        <f t="shared" si="1"/>
        <v>0</v>
      </c>
      <c r="R72" s="104">
        <f>R73</f>
        <v>0</v>
      </c>
      <c r="S72" s="95">
        <f t="shared" si="2"/>
        <v>0</v>
      </c>
      <c r="T72" s="96">
        <v>0</v>
      </c>
      <c r="U72" s="10"/>
      <c r="V72" s="10"/>
      <c r="W72" s="133"/>
    </row>
    <row r="73" spans="1:23" ht="15" customHeight="1" x14ac:dyDescent="0.25">
      <c r="A73" s="10"/>
      <c r="B73" s="10"/>
      <c r="C73" s="10"/>
      <c r="D73" s="10"/>
      <c r="E73" s="10"/>
      <c r="F73" s="48"/>
      <c r="G73" s="48"/>
      <c r="H73" s="48"/>
      <c r="I73" s="53"/>
      <c r="J73" s="55" t="s">
        <v>17</v>
      </c>
      <c r="K73" s="82" t="s">
        <v>110</v>
      </c>
      <c r="L73" s="10"/>
      <c r="M73" s="97">
        <v>500000</v>
      </c>
      <c r="N73" s="94">
        <f>April!R73</f>
        <v>0</v>
      </c>
      <c r="O73" s="99">
        <f t="shared" si="0"/>
        <v>0</v>
      </c>
      <c r="P73" s="26"/>
      <c r="Q73" s="99">
        <f t="shared" si="1"/>
        <v>0</v>
      </c>
      <c r="R73" s="98">
        <f>N73+P73</f>
        <v>0</v>
      </c>
      <c r="S73" s="99">
        <f t="shared" si="2"/>
        <v>0</v>
      </c>
      <c r="T73" s="100">
        <f>0/1*100</f>
        <v>0</v>
      </c>
      <c r="U73" s="10"/>
      <c r="V73" s="160"/>
      <c r="W73" s="133"/>
    </row>
    <row r="74" spans="1:23" ht="9.9499999999999993" customHeight="1" x14ac:dyDescent="0.25">
      <c r="A74" s="10"/>
      <c r="B74" s="10"/>
      <c r="C74" s="10"/>
      <c r="D74" s="10"/>
      <c r="E74" s="10"/>
      <c r="F74" s="48"/>
      <c r="G74" s="48"/>
      <c r="H74" s="48"/>
      <c r="I74" s="53"/>
      <c r="J74" s="59"/>
      <c r="K74" s="91"/>
      <c r="L74" s="166"/>
      <c r="M74" s="115"/>
      <c r="N74" s="94">
        <f>April!R74</f>
        <v>0</v>
      </c>
      <c r="O74" s="99"/>
      <c r="P74" s="117"/>
      <c r="Q74" s="99"/>
      <c r="R74" s="117"/>
      <c r="S74" s="99"/>
      <c r="T74" s="63"/>
      <c r="U74" s="10"/>
      <c r="V74" s="10"/>
      <c r="W74" s="133"/>
    </row>
    <row r="75" spans="1:23" ht="20.100000000000001" customHeight="1" x14ac:dyDescent="0.25">
      <c r="A75" s="8">
        <v>1</v>
      </c>
      <c r="B75" s="9" t="s">
        <v>17</v>
      </c>
      <c r="C75" s="9" t="s">
        <v>18</v>
      </c>
      <c r="D75" s="8">
        <v>38</v>
      </c>
      <c r="E75" s="8">
        <v>14</v>
      </c>
      <c r="F75" s="42" t="s">
        <v>21</v>
      </c>
      <c r="G75" s="42" t="s">
        <v>22</v>
      </c>
      <c r="H75" s="42" t="s">
        <v>24</v>
      </c>
      <c r="I75" s="42"/>
      <c r="J75" s="44"/>
      <c r="K75" s="79" t="s">
        <v>25</v>
      </c>
      <c r="L75" s="10"/>
      <c r="M75" s="105">
        <f>M79+M76+M83+M86+M89</f>
        <v>68700000</v>
      </c>
      <c r="N75" s="94">
        <f>April!R75</f>
        <v>0</v>
      </c>
      <c r="O75" s="99">
        <f t="shared" si="0"/>
        <v>0</v>
      </c>
      <c r="P75" s="106">
        <f>P79+P76+P83+P86+P89</f>
        <v>0</v>
      </c>
      <c r="Q75" s="95">
        <f t="shared" si="1"/>
        <v>0</v>
      </c>
      <c r="R75" s="106">
        <f>R79+R76+R83+R86+R89</f>
        <v>0</v>
      </c>
      <c r="S75" s="95">
        <f t="shared" si="2"/>
        <v>0</v>
      </c>
      <c r="T75" s="96">
        <f>(T79+T76+T83+T86+T89)/5</f>
        <v>0</v>
      </c>
      <c r="U75" s="10"/>
      <c r="V75" s="10"/>
      <c r="W75" s="133"/>
    </row>
    <row r="76" spans="1:23" ht="20.100000000000001" customHeight="1" x14ac:dyDescent="0.25">
      <c r="A76" s="8">
        <v>1</v>
      </c>
      <c r="B76" s="9" t="s">
        <v>17</v>
      </c>
      <c r="C76" s="9" t="s">
        <v>18</v>
      </c>
      <c r="D76" s="8">
        <v>38</v>
      </c>
      <c r="E76" s="8">
        <v>14</v>
      </c>
      <c r="F76" s="42" t="s">
        <v>21</v>
      </c>
      <c r="G76" s="42" t="s">
        <v>22</v>
      </c>
      <c r="H76" s="42" t="s">
        <v>24</v>
      </c>
      <c r="I76" s="42" t="s">
        <v>44</v>
      </c>
      <c r="J76" s="44"/>
      <c r="K76" s="80" t="s">
        <v>111</v>
      </c>
      <c r="L76" s="10"/>
      <c r="M76" s="103">
        <f>M77</f>
        <v>7500000</v>
      </c>
      <c r="N76" s="94">
        <f>April!R76</f>
        <v>0</v>
      </c>
      <c r="O76" s="99">
        <f t="shared" si="0"/>
        <v>0</v>
      </c>
      <c r="P76" s="104">
        <f>P77</f>
        <v>0</v>
      </c>
      <c r="Q76" s="95">
        <f t="shared" si="1"/>
        <v>0</v>
      </c>
      <c r="R76" s="104">
        <f>R77</f>
        <v>0</v>
      </c>
      <c r="S76" s="95">
        <f t="shared" si="2"/>
        <v>0</v>
      </c>
      <c r="T76" s="96">
        <f>T77</f>
        <v>0</v>
      </c>
      <c r="U76" s="10"/>
      <c r="V76" s="10"/>
      <c r="W76" s="133"/>
    </row>
    <row r="77" spans="1:23" ht="15" customHeight="1" x14ac:dyDescent="0.25">
      <c r="A77" s="8"/>
      <c r="B77" s="9"/>
      <c r="C77" s="9"/>
      <c r="D77" s="8"/>
      <c r="E77" s="8"/>
      <c r="F77" s="42"/>
      <c r="G77" s="42"/>
      <c r="H77" s="42"/>
      <c r="I77" s="48"/>
      <c r="J77" s="55" t="s">
        <v>35</v>
      </c>
      <c r="K77" s="73" t="s">
        <v>112</v>
      </c>
      <c r="L77" s="10"/>
      <c r="M77" s="97">
        <v>7500000</v>
      </c>
      <c r="N77" s="94">
        <f>April!R77</f>
        <v>0</v>
      </c>
      <c r="O77" s="99">
        <f t="shared" ref="O77:O90" si="9">N77/M77*100</f>
        <v>0</v>
      </c>
      <c r="P77" s="98"/>
      <c r="Q77" s="99">
        <f t="shared" ref="Q77:Q90" si="10">P77/M77*100</f>
        <v>0</v>
      </c>
      <c r="R77" s="98">
        <f>N77+P77</f>
        <v>0</v>
      </c>
      <c r="S77" s="99">
        <f t="shared" ref="S77:S90" si="11">R77/M77*100</f>
        <v>0</v>
      </c>
      <c r="T77" s="100">
        <f>0/3*100</f>
        <v>0</v>
      </c>
      <c r="U77" s="10"/>
      <c r="V77" s="10"/>
      <c r="W77" s="133"/>
    </row>
    <row r="78" spans="1:23" ht="9.9499999999999993" customHeight="1" x14ac:dyDescent="0.25">
      <c r="A78" s="8"/>
      <c r="B78" s="9"/>
      <c r="C78" s="9"/>
      <c r="D78" s="8"/>
      <c r="E78" s="8"/>
      <c r="F78" s="42"/>
      <c r="G78" s="42"/>
      <c r="H78" s="42"/>
      <c r="I78" s="55"/>
      <c r="J78" s="55"/>
      <c r="K78" s="78"/>
      <c r="L78" s="10"/>
      <c r="M78" s="97"/>
      <c r="N78" s="94">
        <f>April!R78</f>
        <v>0</v>
      </c>
      <c r="O78" s="99"/>
      <c r="P78" s="26"/>
      <c r="Q78" s="95"/>
      <c r="R78" s="98"/>
      <c r="S78" s="95"/>
      <c r="T78" s="100"/>
      <c r="U78" s="10"/>
      <c r="V78" s="10"/>
      <c r="W78" s="133"/>
    </row>
    <row r="79" spans="1:23" s="174" customFormat="1" ht="20.100000000000001" customHeight="1" x14ac:dyDescent="0.25">
      <c r="A79" s="8">
        <v>1</v>
      </c>
      <c r="B79" s="9" t="s">
        <v>17</v>
      </c>
      <c r="C79" s="9" t="s">
        <v>18</v>
      </c>
      <c r="D79" s="8">
        <v>38</v>
      </c>
      <c r="E79" s="8">
        <v>14</v>
      </c>
      <c r="F79" s="42" t="s">
        <v>21</v>
      </c>
      <c r="G79" s="42" t="s">
        <v>22</v>
      </c>
      <c r="H79" s="42" t="s">
        <v>24</v>
      </c>
      <c r="I79" s="60" t="s">
        <v>113</v>
      </c>
      <c r="J79" s="60"/>
      <c r="K79" s="79" t="s">
        <v>45</v>
      </c>
      <c r="L79" s="127"/>
      <c r="M79" s="103">
        <f>SUM(M80:M81)</f>
        <v>12200000</v>
      </c>
      <c r="N79" s="94">
        <f>April!R79</f>
        <v>0</v>
      </c>
      <c r="O79" s="95">
        <f t="shared" si="9"/>
        <v>0</v>
      </c>
      <c r="P79" s="147">
        <f>SUM(P80:P81)</f>
        <v>0</v>
      </c>
      <c r="Q79" s="95">
        <f t="shared" si="10"/>
        <v>0</v>
      </c>
      <c r="R79" s="104">
        <f>SUM(R80:R81)</f>
        <v>0</v>
      </c>
      <c r="S79" s="95">
        <f t="shared" si="11"/>
        <v>0</v>
      </c>
      <c r="T79" s="96">
        <f>SUM(T80:T81)/2</f>
        <v>0</v>
      </c>
      <c r="U79" s="127"/>
      <c r="V79" s="127"/>
      <c r="W79" s="173"/>
    </row>
    <row r="80" spans="1:23" ht="15" customHeight="1" x14ac:dyDescent="0.25">
      <c r="A80" s="6"/>
      <c r="B80" s="7"/>
      <c r="C80" s="7"/>
      <c r="D80" s="6"/>
      <c r="E80" s="6"/>
      <c r="F80" s="48"/>
      <c r="G80" s="48"/>
      <c r="H80" s="48"/>
      <c r="I80" s="55"/>
      <c r="J80" s="55" t="s">
        <v>18</v>
      </c>
      <c r="K80" s="78" t="s">
        <v>114</v>
      </c>
      <c r="L80" s="10"/>
      <c r="M80" s="97">
        <v>11200000</v>
      </c>
      <c r="N80" s="94">
        <f>April!R80</f>
        <v>0</v>
      </c>
      <c r="O80" s="99">
        <f t="shared" si="9"/>
        <v>0</v>
      </c>
      <c r="P80" s="26"/>
      <c r="Q80" s="99">
        <f t="shared" si="10"/>
        <v>0</v>
      </c>
      <c r="R80" s="98">
        <f>N80+P80</f>
        <v>0</v>
      </c>
      <c r="S80" s="99">
        <f t="shared" si="11"/>
        <v>0</v>
      </c>
      <c r="T80" s="100">
        <f>0/4*100</f>
        <v>0</v>
      </c>
      <c r="U80" s="10"/>
      <c r="V80" s="10"/>
      <c r="W80" s="133"/>
    </row>
    <row r="81" spans="1:23" ht="15" customHeight="1" x14ac:dyDescent="0.25">
      <c r="A81" s="6"/>
      <c r="B81" s="7"/>
      <c r="C81" s="7"/>
      <c r="D81" s="6"/>
      <c r="E81" s="6"/>
      <c r="F81" s="48"/>
      <c r="G81" s="48"/>
      <c r="H81" s="48"/>
      <c r="I81" s="55"/>
      <c r="J81" s="55" t="s">
        <v>17</v>
      </c>
      <c r="K81" s="78" t="s">
        <v>115</v>
      </c>
      <c r="L81" s="10"/>
      <c r="M81" s="97">
        <v>1000000</v>
      </c>
      <c r="N81" s="94">
        <f>April!R81</f>
        <v>0</v>
      </c>
      <c r="O81" s="99">
        <f t="shared" si="9"/>
        <v>0</v>
      </c>
      <c r="P81" s="26"/>
      <c r="Q81" s="95">
        <f t="shared" si="10"/>
        <v>0</v>
      </c>
      <c r="R81" s="98">
        <f>N81+P81</f>
        <v>0</v>
      </c>
      <c r="S81" s="95">
        <f t="shared" si="11"/>
        <v>0</v>
      </c>
      <c r="T81" s="100">
        <f>0/1*100</f>
        <v>0</v>
      </c>
      <c r="U81" s="10"/>
      <c r="V81" s="10"/>
      <c r="W81" s="133"/>
    </row>
    <row r="82" spans="1:23" ht="9.9499999999999993" customHeight="1" x14ac:dyDescent="0.25">
      <c r="A82" s="8"/>
      <c r="B82" s="9"/>
      <c r="C82" s="9"/>
      <c r="D82" s="8"/>
      <c r="E82" s="8"/>
      <c r="F82" s="42"/>
      <c r="G82" s="42"/>
      <c r="H82" s="42"/>
      <c r="I82" s="55"/>
      <c r="J82" s="55"/>
      <c r="K82" s="78"/>
      <c r="L82" s="10"/>
      <c r="M82" s="97"/>
      <c r="N82" s="94">
        <f>April!R82</f>
        <v>0</v>
      </c>
      <c r="O82" s="99"/>
      <c r="P82" s="26"/>
      <c r="Q82" s="95"/>
      <c r="R82" s="98"/>
      <c r="S82" s="95"/>
      <c r="T82" s="100"/>
      <c r="U82" s="10"/>
      <c r="V82" s="10"/>
      <c r="W82" s="133"/>
    </row>
    <row r="83" spans="1:23" s="174" customFormat="1" ht="30" customHeight="1" x14ac:dyDescent="0.25">
      <c r="A83" s="8">
        <v>1</v>
      </c>
      <c r="B83" s="9" t="s">
        <v>17</v>
      </c>
      <c r="C83" s="9" t="s">
        <v>18</v>
      </c>
      <c r="D83" s="8">
        <v>38</v>
      </c>
      <c r="E83" s="8">
        <v>14</v>
      </c>
      <c r="F83" s="42" t="s">
        <v>21</v>
      </c>
      <c r="G83" s="42" t="s">
        <v>22</v>
      </c>
      <c r="H83" s="42" t="s">
        <v>24</v>
      </c>
      <c r="I83" s="60" t="s">
        <v>78</v>
      </c>
      <c r="J83" s="60"/>
      <c r="K83" s="79" t="s">
        <v>116</v>
      </c>
      <c r="L83" s="127"/>
      <c r="M83" s="103">
        <f>M84</f>
        <v>26000000</v>
      </c>
      <c r="N83" s="94">
        <f>April!R83</f>
        <v>0</v>
      </c>
      <c r="O83" s="95">
        <f t="shared" si="9"/>
        <v>0</v>
      </c>
      <c r="P83" s="147">
        <f>P84</f>
        <v>0</v>
      </c>
      <c r="Q83" s="95">
        <f t="shared" si="10"/>
        <v>0</v>
      </c>
      <c r="R83" s="104">
        <f>R84</f>
        <v>0</v>
      </c>
      <c r="S83" s="95">
        <f t="shared" si="11"/>
        <v>0</v>
      </c>
      <c r="T83" s="96">
        <f>T84</f>
        <v>0</v>
      </c>
      <c r="U83" s="127"/>
      <c r="V83" s="127"/>
      <c r="W83" s="173"/>
    </row>
    <row r="84" spans="1:23" ht="15" customHeight="1" x14ac:dyDescent="0.25">
      <c r="A84" s="6"/>
      <c r="B84" s="7"/>
      <c r="C84" s="7"/>
      <c r="D84" s="6"/>
      <c r="E84" s="6"/>
      <c r="F84" s="48"/>
      <c r="G84" s="48"/>
      <c r="H84" s="48"/>
      <c r="I84" s="55"/>
      <c r="J84" s="55" t="s">
        <v>117</v>
      </c>
      <c r="K84" s="78" t="s">
        <v>118</v>
      </c>
      <c r="L84" s="10"/>
      <c r="M84" s="97">
        <v>26000000</v>
      </c>
      <c r="N84" s="94">
        <f>April!R84</f>
        <v>0</v>
      </c>
      <c r="O84" s="99">
        <f t="shared" si="9"/>
        <v>0</v>
      </c>
      <c r="P84" s="26"/>
      <c r="Q84" s="95">
        <f t="shared" si="10"/>
        <v>0</v>
      </c>
      <c r="R84" s="98">
        <f>N84+P84</f>
        <v>0</v>
      </c>
      <c r="S84" s="95">
        <f t="shared" si="11"/>
        <v>0</v>
      </c>
      <c r="T84" s="100">
        <f>0/2*100</f>
        <v>0</v>
      </c>
      <c r="U84" s="10"/>
      <c r="V84" s="10"/>
      <c r="W84" s="133"/>
    </row>
    <row r="85" spans="1:23" ht="9.9499999999999993" customHeight="1" x14ac:dyDescent="0.25">
      <c r="A85" s="8"/>
      <c r="B85" s="9"/>
      <c r="C85" s="9"/>
      <c r="D85" s="8"/>
      <c r="E85" s="8"/>
      <c r="F85" s="42"/>
      <c r="G85" s="42"/>
      <c r="H85" s="42"/>
      <c r="I85" s="55"/>
      <c r="J85" s="55"/>
      <c r="K85" s="78"/>
      <c r="L85" s="10"/>
      <c r="M85" s="97"/>
      <c r="N85" s="94">
        <f>April!R85</f>
        <v>0</v>
      </c>
      <c r="O85" s="99"/>
      <c r="P85" s="26"/>
      <c r="Q85" s="95"/>
      <c r="R85" s="98"/>
      <c r="S85" s="95"/>
      <c r="T85" s="100"/>
      <c r="U85" s="10"/>
      <c r="V85" s="10"/>
      <c r="W85" s="133"/>
    </row>
    <row r="86" spans="1:23" s="174" customFormat="1" ht="20.100000000000001" customHeight="1" x14ac:dyDescent="0.25">
      <c r="A86" s="8">
        <v>1</v>
      </c>
      <c r="B86" s="9" t="s">
        <v>17</v>
      </c>
      <c r="C86" s="9" t="s">
        <v>18</v>
      </c>
      <c r="D86" s="8">
        <v>38</v>
      </c>
      <c r="E86" s="8">
        <v>14</v>
      </c>
      <c r="F86" s="42" t="s">
        <v>21</v>
      </c>
      <c r="G86" s="42" t="s">
        <v>22</v>
      </c>
      <c r="H86" s="42" t="s">
        <v>24</v>
      </c>
      <c r="I86" s="60" t="s">
        <v>119</v>
      </c>
      <c r="J86" s="60"/>
      <c r="K86" s="79" t="s">
        <v>120</v>
      </c>
      <c r="L86" s="127"/>
      <c r="M86" s="103">
        <f>M87</f>
        <v>14000000</v>
      </c>
      <c r="N86" s="94">
        <f>April!R86</f>
        <v>0</v>
      </c>
      <c r="O86" s="95">
        <f t="shared" si="9"/>
        <v>0</v>
      </c>
      <c r="P86" s="147">
        <f>P87</f>
        <v>0</v>
      </c>
      <c r="Q86" s="95">
        <f t="shared" si="10"/>
        <v>0</v>
      </c>
      <c r="R86" s="104">
        <f>R87</f>
        <v>0</v>
      </c>
      <c r="S86" s="95">
        <f t="shared" si="11"/>
        <v>0</v>
      </c>
      <c r="T86" s="96">
        <f>T87</f>
        <v>0</v>
      </c>
      <c r="U86" s="127"/>
      <c r="V86" s="127"/>
      <c r="W86" s="173"/>
    </row>
    <row r="87" spans="1:23" ht="15" customHeight="1" x14ac:dyDescent="0.25">
      <c r="A87" s="6"/>
      <c r="B87" s="7"/>
      <c r="C87" s="7"/>
      <c r="D87" s="6"/>
      <c r="E87" s="6"/>
      <c r="F87" s="157"/>
      <c r="G87" s="157"/>
      <c r="H87" s="157"/>
      <c r="I87" s="48"/>
      <c r="J87" s="48" t="s">
        <v>17</v>
      </c>
      <c r="K87" s="78" t="s">
        <v>121</v>
      </c>
      <c r="L87" s="10"/>
      <c r="M87" s="107">
        <v>14000000</v>
      </c>
      <c r="N87" s="94">
        <f>April!R87</f>
        <v>0</v>
      </c>
      <c r="O87" s="99">
        <f t="shared" si="9"/>
        <v>0</v>
      </c>
      <c r="P87" s="108"/>
      <c r="Q87" s="99">
        <f t="shared" si="10"/>
        <v>0</v>
      </c>
      <c r="R87" s="108">
        <f>N87+P87</f>
        <v>0</v>
      </c>
      <c r="S87" s="99">
        <f t="shared" si="11"/>
        <v>0</v>
      </c>
      <c r="T87" s="100">
        <f>0/2*100</f>
        <v>0</v>
      </c>
      <c r="U87" s="10"/>
      <c r="V87" s="10"/>
      <c r="W87" s="133"/>
    </row>
    <row r="88" spans="1:23" ht="9.9499999999999993" customHeight="1" x14ac:dyDescent="0.25">
      <c r="A88" s="63"/>
      <c r="B88" s="63"/>
      <c r="C88" s="63"/>
      <c r="D88" s="63"/>
      <c r="E88" s="63"/>
      <c r="F88" s="42"/>
      <c r="G88" s="42"/>
      <c r="H88" s="42"/>
      <c r="I88" s="42"/>
      <c r="J88" s="65"/>
      <c r="K88" s="92"/>
      <c r="L88" s="10"/>
      <c r="M88" s="107"/>
      <c r="N88" s="94">
        <f>April!R88</f>
        <v>0</v>
      </c>
      <c r="O88" s="99"/>
      <c r="P88" s="26"/>
      <c r="Q88" s="95"/>
      <c r="R88" s="108"/>
      <c r="S88" s="95"/>
      <c r="T88" s="100"/>
      <c r="U88" s="10"/>
      <c r="V88" s="10"/>
      <c r="W88" s="133"/>
    </row>
    <row r="89" spans="1:23" s="174" customFormat="1" ht="30" customHeight="1" x14ac:dyDescent="0.25">
      <c r="A89" s="8">
        <v>1</v>
      </c>
      <c r="B89" s="9" t="s">
        <v>17</v>
      </c>
      <c r="C89" s="9" t="s">
        <v>18</v>
      </c>
      <c r="D89" s="8">
        <v>38</v>
      </c>
      <c r="E89" s="8">
        <v>14</v>
      </c>
      <c r="F89" s="42" t="s">
        <v>21</v>
      </c>
      <c r="G89" s="42" t="s">
        <v>22</v>
      </c>
      <c r="H89" s="42" t="s">
        <v>24</v>
      </c>
      <c r="I89" s="42" t="s">
        <v>122</v>
      </c>
      <c r="J89" s="71"/>
      <c r="K89" s="150" t="s">
        <v>123</v>
      </c>
      <c r="L89" s="127"/>
      <c r="M89" s="105">
        <f>M90</f>
        <v>9000000</v>
      </c>
      <c r="N89" s="94">
        <f>April!R89</f>
        <v>0</v>
      </c>
      <c r="O89" s="95">
        <f t="shared" si="9"/>
        <v>0</v>
      </c>
      <c r="P89" s="147">
        <f>P90</f>
        <v>0</v>
      </c>
      <c r="Q89" s="95">
        <f t="shared" si="10"/>
        <v>0</v>
      </c>
      <c r="R89" s="106">
        <f>R90</f>
        <v>0</v>
      </c>
      <c r="S89" s="95">
        <f t="shared" si="11"/>
        <v>0</v>
      </c>
      <c r="T89" s="96">
        <f>T90</f>
        <v>0</v>
      </c>
      <c r="U89" s="127"/>
      <c r="V89" s="127"/>
      <c r="W89" s="173"/>
    </row>
    <row r="90" spans="1:23" ht="15" customHeight="1" x14ac:dyDescent="0.25">
      <c r="A90" s="63"/>
      <c r="B90" s="63"/>
      <c r="C90" s="63"/>
      <c r="D90" s="63"/>
      <c r="E90" s="63"/>
      <c r="F90" s="48"/>
      <c r="G90" s="48"/>
      <c r="H90" s="48"/>
      <c r="I90" s="48"/>
      <c r="J90" s="65" t="s">
        <v>34</v>
      </c>
      <c r="K90" s="92" t="s">
        <v>124</v>
      </c>
      <c r="L90" s="10"/>
      <c r="M90" s="107">
        <v>9000000</v>
      </c>
      <c r="N90" s="94">
        <f>April!R90</f>
        <v>0</v>
      </c>
      <c r="O90" s="99">
        <f t="shared" si="9"/>
        <v>0</v>
      </c>
      <c r="P90" s="26"/>
      <c r="Q90" s="99">
        <f t="shared" si="10"/>
        <v>0</v>
      </c>
      <c r="R90" s="108">
        <f>N90+P90</f>
        <v>0</v>
      </c>
      <c r="S90" s="99">
        <f t="shared" si="11"/>
        <v>0</v>
      </c>
      <c r="T90" s="100">
        <f>0/3*100</f>
        <v>0</v>
      </c>
      <c r="U90" s="10"/>
      <c r="V90" s="10"/>
      <c r="W90" s="133"/>
    </row>
    <row r="91" spans="1:23" ht="9.9499999999999993" customHeight="1" x14ac:dyDescent="0.25">
      <c r="A91" s="63"/>
      <c r="B91" s="63"/>
      <c r="C91" s="63"/>
      <c r="D91" s="63"/>
      <c r="E91" s="63"/>
      <c r="F91" s="42"/>
      <c r="G91" s="42"/>
      <c r="H91" s="42"/>
      <c r="I91" s="42"/>
      <c r="J91" s="65"/>
      <c r="K91" s="92"/>
      <c r="L91" s="10"/>
      <c r="M91" s="107"/>
      <c r="N91" s="94"/>
      <c r="O91" s="99"/>
      <c r="P91" s="26"/>
      <c r="Q91" s="99"/>
      <c r="R91" s="108"/>
      <c r="S91" s="99"/>
      <c r="T91" s="100"/>
      <c r="U91" s="10"/>
      <c r="V91" s="10"/>
      <c r="W91" s="133"/>
    </row>
    <row r="92" spans="1:23" ht="12.75" customHeight="1" x14ac:dyDescent="0.25">
      <c r="A92" s="171"/>
      <c r="B92" s="171"/>
      <c r="C92" s="171"/>
      <c r="D92" s="171"/>
      <c r="E92" s="171"/>
      <c r="F92" s="171"/>
      <c r="G92" s="171"/>
      <c r="H92" s="171"/>
      <c r="I92" s="171"/>
      <c r="J92" s="171"/>
      <c r="K92" s="171"/>
      <c r="L92" s="171"/>
      <c r="M92" s="175"/>
      <c r="N92" s="171"/>
      <c r="O92" s="171"/>
      <c r="P92" s="171"/>
      <c r="Q92" s="171"/>
      <c r="R92" s="171"/>
      <c r="S92" s="171"/>
      <c r="T92" s="171"/>
      <c r="U92" s="171"/>
      <c r="V92" s="171"/>
      <c r="W92" s="171"/>
    </row>
    <row r="93" spans="1:23" x14ac:dyDescent="0.25">
      <c r="A93" s="171"/>
      <c r="B93" s="171"/>
      <c r="C93" s="171"/>
      <c r="D93" s="171"/>
      <c r="E93" s="171"/>
      <c r="F93" s="171"/>
      <c r="G93" s="171"/>
      <c r="H93" s="171"/>
      <c r="I93" s="171"/>
      <c r="J93" s="171"/>
      <c r="K93" s="171"/>
      <c r="L93" s="171"/>
      <c r="M93" s="175"/>
      <c r="N93" s="171"/>
      <c r="O93" s="171"/>
      <c r="P93" s="192" t="s">
        <v>130</v>
      </c>
      <c r="Q93" s="192"/>
      <c r="R93" s="192"/>
      <c r="S93" s="192"/>
      <c r="T93" s="192"/>
      <c r="U93" s="192"/>
      <c r="V93" s="192"/>
      <c r="W93" s="176"/>
    </row>
    <row r="94" spans="1:23" x14ac:dyDescent="0.25">
      <c r="A94" s="171"/>
      <c r="B94" s="171"/>
      <c r="C94" s="171"/>
      <c r="D94" s="171"/>
      <c r="E94" s="171"/>
      <c r="F94" s="171"/>
      <c r="G94" s="171"/>
      <c r="H94" s="171"/>
      <c r="I94" s="171"/>
      <c r="J94" s="171"/>
      <c r="K94" s="171"/>
      <c r="L94" s="171"/>
      <c r="M94" s="175"/>
      <c r="N94" s="171"/>
      <c r="O94" s="171"/>
      <c r="P94" s="192" t="s">
        <v>46</v>
      </c>
      <c r="Q94" s="192"/>
      <c r="R94" s="192"/>
      <c r="S94" s="192"/>
      <c r="T94" s="192"/>
      <c r="U94" s="192"/>
      <c r="V94" s="192"/>
      <c r="W94" s="176"/>
    </row>
    <row r="95" spans="1:23" x14ac:dyDescent="0.25">
      <c r="A95" s="171"/>
      <c r="B95" s="171"/>
      <c r="C95" s="171"/>
      <c r="D95" s="171"/>
      <c r="E95" s="171"/>
      <c r="F95" s="171"/>
      <c r="G95" s="171"/>
      <c r="H95" s="171"/>
      <c r="I95" s="171"/>
      <c r="J95" s="171"/>
      <c r="K95" s="171"/>
      <c r="L95" s="171"/>
      <c r="M95" s="175"/>
      <c r="N95" s="171"/>
      <c r="O95" s="171"/>
      <c r="P95" s="177"/>
      <c r="Q95" s="177"/>
      <c r="R95" s="177"/>
      <c r="S95" s="177"/>
      <c r="T95" s="177"/>
      <c r="U95" s="177"/>
      <c r="V95" s="177"/>
      <c r="W95" s="171"/>
    </row>
    <row r="96" spans="1:23" x14ac:dyDescent="0.25">
      <c r="A96" s="171"/>
      <c r="B96" s="171"/>
      <c r="C96" s="171"/>
      <c r="D96" s="171"/>
      <c r="E96" s="171"/>
      <c r="F96" s="171"/>
      <c r="G96" s="171"/>
      <c r="H96" s="171"/>
      <c r="I96" s="171"/>
      <c r="J96" s="171"/>
      <c r="K96" s="171"/>
      <c r="L96" s="171"/>
      <c r="M96" s="175"/>
      <c r="N96" s="171"/>
      <c r="O96" s="171"/>
      <c r="P96" s="177"/>
      <c r="Q96" s="177"/>
      <c r="R96" s="177"/>
      <c r="S96" s="177"/>
      <c r="T96" s="177"/>
      <c r="U96" s="177"/>
      <c r="V96" s="177"/>
      <c r="W96" s="171"/>
    </row>
    <row r="97" spans="1:23" ht="13.5" customHeight="1" x14ac:dyDescent="0.25">
      <c r="A97" s="171"/>
      <c r="B97" s="171"/>
      <c r="C97" s="171"/>
      <c r="D97" s="171"/>
      <c r="E97" s="171"/>
      <c r="F97" s="171"/>
      <c r="G97" s="171"/>
      <c r="H97" s="171"/>
      <c r="I97" s="171"/>
      <c r="J97" s="171"/>
      <c r="K97" s="171"/>
      <c r="L97" s="171"/>
      <c r="M97" s="175"/>
      <c r="N97" s="171"/>
      <c r="O97" s="171"/>
      <c r="P97" s="177"/>
      <c r="Q97" s="177"/>
      <c r="R97" s="177"/>
      <c r="S97" s="177"/>
      <c r="T97" s="177"/>
      <c r="U97" s="177"/>
      <c r="V97" s="177"/>
      <c r="W97" s="171"/>
    </row>
    <row r="98" spans="1:23" ht="10.5" customHeight="1" x14ac:dyDescent="0.25">
      <c r="A98" s="171"/>
      <c r="B98" s="171"/>
      <c r="C98" s="171"/>
      <c r="D98" s="171"/>
      <c r="E98" s="171"/>
      <c r="F98" s="171"/>
      <c r="G98" s="171"/>
      <c r="H98" s="171"/>
      <c r="I98" s="171"/>
      <c r="J98" s="171"/>
      <c r="K98" s="171"/>
      <c r="L98" s="171"/>
      <c r="M98" s="175"/>
      <c r="N98" s="171"/>
      <c r="O98" s="171"/>
      <c r="P98" s="177"/>
      <c r="Q98" s="177"/>
      <c r="R98" s="177"/>
      <c r="S98" s="177"/>
      <c r="T98" s="177"/>
      <c r="U98" s="177"/>
      <c r="V98" s="177"/>
      <c r="W98" s="171"/>
    </row>
    <row r="99" spans="1:23" x14ac:dyDescent="0.25">
      <c r="A99" s="171"/>
      <c r="B99" s="171"/>
      <c r="C99" s="171"/>
      <c r="D99" s="171"/>
      <c r="E99" s="171"/>
      <c r="F99" s="171"/>
      <c r="G99" s="171"/>
      <c r="H99" s="171"/>
      <c r="I99" s="171"/>
      <c r="J99" s="171"/>
      <c r="K99" s="171"/>
      <c r="L99" s="171"/>
      <c r="M99" s="175"/>
      <c r="N99" s="171"/>
      <c r="O99" s="171"/>
      <c r="P99" s="193" t="s">
        <v>70</v>
      </c>
      <c r="Q99" s="193"/>
      <c r="R99" s="193"/>
      <c r="S99" s="193"/>
      <c r="T99" s="193"/>
      <c r="U99" s="193"/>
      <c r="V99" s="193"/>
      <c r="W99" s="178"/>
    </row>
    <row r="100" spans="1:23" x14ac:dyDescent="0.25">
      <c r="A100" s="171"/>
      <c r="B100" s="171"/>
      <c r="C100" s="171"/>
      <c r="D100" s="171"/>
      <c r="E100" s="171"/>
      <c r="F100" s="171"/>
      <c r="G100" s="171"/>
      <c r="H100" s="171"/>
      <c r="I100" s="171"/>
      <c r="J100" s="171"/>
      <c r="K100" s="171"/>
      <c r="L100" s="171"/>
      <c r="M100" s="175"/>
      <c r="N100" s="171"/>
      <c r="O100" s="171"/>
      <c r="P100" s="189" t="s">
        <v>71</v>
      </c>
      <c r="Q100" s="189"/>
      <c r="R100" s="189"/>
      <c r="S100" s="189"/>
      <c r="T100" s="189"/>
      <c r="U100" s="189"/>
      <c r="V100" s="189"/>
      <c r="W100" s="179"/>
    </row>
  </sheetData>
  <mergeCells count="24">
    <mergeCell ref="R8:S8"/>
    <mergeCell ref="P100:V100"/>
    <mergeCell ref="A10:J10"/>
    <mergeCell ref="L10:L11"/>
    <mergeCell ref="A11:J11"/>
    <mergeCell ref="P93:V93"/>
    <mergeCell ref="P94:V94"/>
    <mergeCell ref="P99:V99"/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T7"/>
    <mergeCell ref="N8:O8"/>
    <mergeCell ref="P8:Q8"/>
  </mergeCells>
  <pageMargins left="0.51181102362204722" right="0.39370078740157483" top="0.39370078740157483" bottom="0.19685039370078741" header="0.31496062992125984" footer="0.31496062992125984"/>
  <pageSetup paperSize="10000"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C000"/>
  </sheetPr>
  <dimension ref="A1:W100"/>
  <sheetViews>
    <sheetView topLeftCell="L1" zoomScaleNormal="100" workbookViewId="0">
      <selection activeCell="T12" sqref="T12:T90"/>
    </sheetView>
  </sheetViews>
  <sheetFormatPr defaultRowHeight="15" x14ac:dyDescent="0.25"/>
  <cols>
    <col min="1" max="8" width="2.7109375" style="168" customWidth="1"/>
    <col min="9" max="9" width="3.140625" style="168" customWidth="1"/>
    <col min="10" max="10" width="3.5703125" style="168" customWidth="1"/>
    <col min="11" max="11" width="52" style="168" customWidth="1"/>
    <col min="12" max="12" width="11" style="168" customWidth="1"/>
    <col min="13" max="13" width="14.5703125" style="170" customWidth="1"/>
    <col min="14" max="14" width="13" style="168" customWidth="1"/>
    <col min="15" max="15" width="7.5703125" style="168" customWidth="1"/>
    <col min="16" max="16" width="13.28515625" style="168" customWidth="1"/>
    <col min="17" max="17" width="8" style="168" customWidth="1"/>
    <col min="18" max="18" width="13" style="168" customWidth="1"/>
    <col min="19" max="19" width="9.42578125" style="168" customWidth="1"/>
    <col min="20" max="20" width="11.140625" style="168" customWidth="1"/>
    <col min="21" max="21" width="15.5703125" style="168" customWidth="1"/>
    <col min="22" max="22" width="22.42578125" style="168" customWidth="1"/>
    <col min="23" max="23" width="18.28515625" style="168" customWidth="1"/>
    <col min="24" max="24" width="15.5703125" style="168" bestFit="1" customWidth="1"/>
    <col min="25" max="25" width="12.85546875" style="168" bestFit="1" customWidth="1"/>
    <col min="26" max="16384" width="9.140625" style="168"/>
  </cols>
  <sheetData>
    <row r="1" spans="1:23" ht="16.5" x14ac:dyDescent="0.25">
      <c r="A1" s="194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67"/>
    </row>
    <row r="2" spans="1:23" ht="16.5" x14ac:dyDescent="0.25">
      <c r="A2" s="194" t="s">
        <v>72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67"/>
    </row>
    <row r="3" spans="1:23" ht="16.5" x14ac:dyDescent="0.25">
      <c r="A3" s="194" t="s">
        <v>73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67"/>
    </row>
    <row r="4" spans="1:23" ht="16.5" x14ac:dyDescent="0.25">
      <c r="A4" s="194" t="s">
        <v>92</v>
      </c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67"/>
    </row>
    <row r="5" spans="1:23" ht="18" x14ac:dyDescent="0.25">
      <c r="A5" s="169"/>
      <c r="B5" s="169"/>
      <c r="C5" s="169"/>
      <c r="D5" s="169"/>
      <c r="E5" s="169"/>
    </row>
    <row r="6" spans="1:23" x14ac:dyDescent="0.25">
      <c r="A6" s="195" t="s">
        <v>1</v>
      </c>
      <c r="B6" s="195"/>
      <c r="C6" s="195"/>
      <c r="D6" s="195"/>
      <c r="E6" s="195"/>
      <c r="F6" s="195"/>
      <c r="G6" s="195"/>
      <c r="H6" s="195"/>
      <c r="I6" s="195"/>
      <c r="J6" s="195"/>
      <c r="K6" s="195" t="s">
        <v>2</v>
      </c>
      <c r="L6" s="188" t="s">
        <v>3</v>
      </c>
      <c r="M6" s="196" t="s">
        <v>4</v>
      </c>
      <c r="N6" s="195" t="s">
        <v>5</v>
      </c>
      <c r="O6" s="195"/>
      <c r="P6" s="195"/>
      <c r="Q6" s="195"/>
      <c r="R6" s="195"/>
      <c r="S6" s="195"/>
      <c r="T6" s="195"/>
      <c r="U6" s="188" t="s">
        <v>6</v>
      </c>
      <c r="V6" s="188" t="s">
        <v>7</v>
      </c>
      <c r="W6" s="21"/>
    </row>
    <row r="7" spans="1:23" x14ac:dyDescent="0.25">
      <c r="A7" s="195"/>
      <c r="B7" s="195"/>
      <c r="C7" s="195"/>
      <c r="D7" s="195"/>
      <c r="E7" s="195"/>
      <c r="F7" s="195"/>
      <c r="G7" s="195"/>
      <c r="H7" s="195"/>
      <c r="I7" s="195"/>
      <c r="J7" s="195"/>
      <c r="K7" s="195"/>
      <c r="L7" s="188"/>
      <c r="M7" s="196"/>
      <c r="N7" s="200" t="s">
        <v>8</v>
      </c>
      <c r="O7" s="201"/>
      <c r="P7" s="200" t="s">
        <v>9</v>
      </c>
      <c r="Q7" s="201"/>
      <c r="R7" s="202" t="s">
        <v>10</v>
      </c>
      <c r="S7" s="203"/>
      <c r="T7" s="204"/>
      <c r="U7" s="188"/>
      <c r="V7" s="188"/>
      <c r="W7" s="21"/>
    </row>
    <row r="8" spans="1:23" x14ac:dyDescent="0.25">
      <c r="A8" s="195"/>
      <c r="B8" s="195"/>
      <c r="C8" s="195"/>
      <c r="D8" s="195"/>
      <c r="E8" s="195"/>
      <c r="F8" s="195"/>
      <c r="G8" s="195"/>
      <c r="H8" s="195"/>
      <c r="I8" s="195"/>
      <c r="J8" s="195"/>
      <c r="K8" s="195"/>
      <c r="L8" s="188"/>
      <c r="M8" s="196"/>
      <c r="N8" s="188" t="s">
        <v>11</v>
      </c>
      <c r="O8" s="188"/>
      <c r="P8" s="188" t="s">
        <v>11</v>
      </c>
      <c r="Q8" s="188"/>
      <c r="R8" s="188" t="s">
        <v>11</v>
      </c>
      <c r="S8" s="188"/>
      <c r="T8" s="151" t="s">
        <v>12</v>
      </c>
      <c r="U8" s="188"/>
      <c r="V8" s="188"/>
      <c r="W8" s="21"/>
    </row>
    <row r="9" spans="1:23" x14ac:dyDescent="0.25">
      <c r="A9" s="195"/>
      <c r="B9" s="195"/>
      <c r="C9" s="195"/>
      <c r="D9" s="195"/>
      <c r="E9" s="195"/>
      <c r="F9" s="195"/>
      <c r="G9" s="195"/>
      <c r="H9" s="195"/>
      <c r="I9" s="195"/>
      <c r="J9" s="195"/>
      <c r="K9" s="195"/>
      <c r="L9" s="188"/>
      <c r="M9" s="196"/>
      <c r="N9" s="151" t="s">
        <v>13</v>
      </c>
      <c r="O9" s="151" t="s">
        <v>14</v>
      </c>
      <c r="P9" s="151" t="s">
        <v>13</v>
      </c>
      <c r="Q9" s="151" t="s">
        <v>14</v>
      </c>
      <c r="R9" s="151" t="s">
        <v>13</v>
      </c>
      <c r="S9" s="151" t="s">
        <v>14</v>
      </c>
      <c r="T9" s="151" t="s">
        <v>14</v>
      </c>
      <c r="U9" s="188"/>
      <c r="V9" s="188"/>
      <c r="W9" s="21"/>
    </row>
    <row r="10" spans="1:23" s="171" customFormat="1" ht="25.5" x14ac:dyDescent="0.25">
      <c r="A10" s="190" t="s">
        <v>74</v>
      </c>
      <c r="B10" s="190"/>
      <c r="C10" s="190"/>
      <c r="D10" s="190"/>
      <c r="E10" s="190"/>
      <c r="F10" s="190"/>
      <c r="G10" s="190"/>
      <c r="H10" s="190"/>
      <c r="I10" s="190"/>
      <c r="J10" s="190"/>
      <c r="K10" s="76" t="s">
        <v>72</v>
      </c>
      <c r="L10" s="198" t="s">
        <v>15</v>
      </c>
      <c r="M10" s="32"/>
      <c r="N10" s="3"/>
      <c r="O10" s="153"/>
      <c r="P10" s="153"/>
      <c r="Q10" s="153"/>
      <c r="R10" s="153"/>
      <c r="S10" s="153"/>
      <c r="T10" s="153"/>
      <c r="U10" s="153"/>
      <c r="V10" s="153"/>
      <c r="W10" s="22"/>
    </row>
    <row r="11" spans="1:23" s="171" customFormat="1" ht="39.950000000000003" customHeight="1" x14ac:dyDescent="0.25">
      <c r="A11" s="190" t="s">
        <v>75</v>
      </c>
      <c r="B11" s="190"/>
      <c r="C11" s="190"/>
      <c r="D11" s="190"/>
      <c r="E11" s="190"/>
      <c r="F11" s="190"/>
      <c r="G11" s="190"/>
      <c r="H11" s="190"/>
      <c r="I11" s="190"/>
      <c r="J11" s="190"/>
      <c r="K11" s="76" t="s">
        <v>16</v>
      </c>
      <c r="L11" s="199"/>
      <c r="M11" s="33">
        <f>M12</f>
        <v>908784000</v>
      </c>
      <c r="N11" s="3"/>
      <c r="O11" s="153"/>
      <c r="P11" s="153"/>
      <c r="Q11" s="153"/>
      <c r="R11" s="5"/>
      <c r="S11" s="153"/>
      <c r="T11" s="153"/>
      <c r="U11" s="158"/>
      <c r="V11" s="153"/>
      <c r="W11" s="22"/>
    </row>
    <row r="12" spans="1:23" ht="20.100000000000001" customHeight="1" x14ac:dyDescent="0.25">
      <c r="A12" s="8">
        <v>1</v>
      </c>
      <c r="B12" s="9" t="s">
        <v>17</v>
      </c>
      <c r="C12" s="9" t="s">
        <v>18</v>
      </c>
      <c r="D12" s="8">
        <v>38</v>
      </c>
      <c r="E12" s="8">
        <v>14</v>
      </c>
      <c r="F12" s="38">
        <v>5</v>
      </c>
      <c r="G12" s="38">
        <v>2</v>
      </c>
      <c r="H12" s="38"/>
      <c r="I12" s="39"/>
      <c r="J12" s="40"/>
      <c r="K12" s="77" t="s">
        <v>19</v>
      </c>
      <c r="L12" s="159"/>
      <c r="M12" s="93">
        <f>M13+M14+M15</f>
        <v>908784000</v>
      </c>
      <c r="N12" s="94">
        <f>Mei!R12</f>
        <v>207014960</v>
      </c>
      <c r="O12" s="95">
        <f>N12/M12*100</f>
        <v>22.779335903801122</v>
      </c>
      <c r="P12" s="94">
        <f>P13+P14+P15</f>
        <v>137033200</v>
      </c>
      <c r="Q12" s="95">
        <f>P12/M12*100</f>
        <v>15.078742583496188</v>
      </c>
      <c r="R12" s="94">
        <f>R13+R14+R15</f>
        <v>344048160</v>
      </c>
      <c r="S12" s="95">
        <f>R12/M12*100</f>
        <v>37.858078487297313</v>
      </c>
      <c r="T12" s="96">
        <f>SUM(T13:T15)/3</f>
        <v>36.114601664746004</v>
      </c>
      <c r="U12" s="10"/>
      <c r="V12" s="160"/>
      <c r="W12" s="172"/>
    </row>
    <row r="13" spans="1:23" ht="20.100000000000001" customHeight="1" x14ac:dyDescent="0.25">
      <c r="A13" s="8">
        <v>1</v>
      </c>
      <c r="B13" s="9" t="s">
        <v>17</v>
      </c>
      <c r="C13" s="9" t="s">
        <v>18</v>
      </c>
      <c r="D13" s="8">
        <v>38</v>
      </c>
      <c r="E13" s="8">
        <v>14</v>
      </c>
      <c r="F13" s="41">
        <v>5</v>
      </c>
      <c r="G13" s="41">
        <v>2</v>
      </c>
      <c r="H13" s="41">
        <v>1</v>
      </c>
      <c r="I13" s="42"/>
      <c r="J13" s="43"/>
      <c r="K13" s="73" t="s">
        <v>20</v>
      </c>
      <c r="L13" s="159"/>
      <c r="M13" s="97">
        <f>M17</f>
        <v>545270400</v>
      </c>
      <c r="N13" s="94">
        <f>Mei!R13</f>
        <v>146298960</v>
      </c>
      <c r="O13" s="99">
        <f t="shared" ref="O13:O76" si="0">N13/M13*100</f>
        <v>26.830533988274439</v>
      </c>
      <c r="P13" s="98">
        <f>P17</f>
        <v>68947200</v>
      </c>
      <c r="Q13" s="99">
        <f t="shared" ref="Q13:Q76" si="1">P13/M13*100</f>
        <v>12.644588813183329</v>
      </c>
      <c r="R13" s="98">
        <f>N13+P13</f>
        <v>215246160</v>
      </c>
      <c r="S13" s="99">
        <f t="shared" ref="S13:S76" si="2">R13/M13*100</f>
        <v>39.475122801457772</v>
      </c>
      <c r="T13" s="100">
        <f>T17</f>
        <v>50</v>
      </c>
      <c r="U13" s="10"/>
      <c r="V13" s="10"/>
      <c r="W13" s="133"/>
    </row>
    <row r="14" spans="1:23" ht="20.100000000000001" customHeight="1" x14ac:dyDescent="0.25">
      <c r="A14" s="8">
        <v>1</v>
      </c>
      <c r="B14" s="9" t="s">
        <v>17</v>
      </c>
      <c r="C14" s="9" t="s">
        <v>18</v>
      </c>
      <c r="D14" s="8">
        <v>38</v>
      </c>
      <c r="E14" s="8">
        <v>14</v>
      </c>
      <c r="F14" s="42" t="s">
        <v>21</v>
      </c>
      <c r="G14" s="42" t="s">
        <v>22</v>
      </c>
      <c r="H14" s="42" t="s">
        <v>22</v>
      </c>
      <c r="I14" s="44"/>
      <c r="J14" s="45"/>
      <c r="K14" s="78" t="s">
        <v>23</v>
      </c>
      <c r="L14" s="11"/>
      <c r="M14" s="97">
        <f>M21</f>
        <v>294813600</v>
      </c>
      <c r="N14" s="94">
        <f>Mei!R14</f>
        <v>60716000</v>
      </c>
      <c r="O14" s="99">
        <f t="shared" si="0"/>
        <v>20.594707978193679</v>
      </c>
      <c r="P14" s="98">
        <f>P21</f>
        <v>50406000</v>
      </c>
      <c r="Q14" s="99">
        <f t="shared" si="1"/>
        <v>17.097583015166194</v>
      </c>
      <c r="R14" s="98">
        <f>N14+P14</f>
        <v>111122000</v>
      </c>
      <c r="S14" s="99">
        <f t="shared" si="2"/>
        <v>37.692290993359876</v>
      </c>
      <c r="T14" s="100">
        <f>T21</f>
        <v>30.566027216460245</v>
      </c>
      <c r="U14" s="10"/>
      <c r="V14" s="10"/>
      <c r="W14" s="133"/>
    </row>
    <row r="15" spans="1:23" ht="20.100000000000001" customHeight="1" x14ac:dyDescent="0.25">
      <c r="A15" s="8">
        <v>1</v>
      </c>
      <c r="B15" s="9" t="s">
        <v>17</v>
      </c>
      <c r="C15" s="9" t="s">
        <v>18</v>
      </c>
      <c r="D15" s="8">
        <v>38</v>
      </c>
      <c r="E15" s="8">
        <v>14</v>
      </c>
      <c r="F15" s="42" t="s">
        <v>21</v>
      </c>
      <c r="G15" s="42" t="s">
        <v>22</v>
      </c>
      <c r="H15" s="42" t="s">
        <v>24</v>
      </c>
      <c r="I15" s="44"/>
      <c r="J15" s="45"/>
      <c r="K15" s="78" t="s">
        <v>25</v>
      </c>
      <c r="L15" s="11"/>
      <c r="M15" s="97">
        <f>M75</f>
        <v>68700000</v>
      </c>
      <c r="N15" s="94">
        <f>Mei!R15</f>
        <v>0</v>
      </c>
      <c r="O15" s="99">
        <f t="shared" si="0"/>
        <v>0</v>
      </c>
      <c r="P15" s="98">
        <f>P75</f>
        <v>17680000</v>
      </c>
      <c r="Q15" s="99">
        <f t="shared" si="1"/>
        <v>25.735080058224163</v>
      </c>
      <c r="R15" s="98">
        <f>N15+P15</f>
        <v>17680000</v>
      </c>
      <c r="S15" s="99">
        <f t="shared" si="2"/>
        <v>25.735080058224163</v>
      </c>
      <c r="T15" s="100">
        <f>T75</f>
        <v>27.777777777777775</v>
      </c>
      <c r="U15" s="10"/>
      <c r="V15" s="10"/>
      <c r="W15" s="133"/>
    </row>
    <row r="16" spans="1:23" ht="9.9499999999999993" customHeight="1" x14ac:dyDescent="0.25">
      <c r="A16" s="8"/>
      <c r="B16" s="9"/>
      <c r="C16" s="9"/>
      <c r="D16" s="8"/>
      <c r="E16" s="8"/>
      <c r="F16" s="42"/>
      <c r="G16" s="42"/>
      <c r="H16" s="42"/>
      <c r="I16" s="44"/>
      <c r="J16" s="45"/>
      <c r="K16" s="78"/>
      <c r="L16" s="11"/>
      <c r="M16" s="97"/>
      <c r="N16" s="94">
        <f>Mei!R16</f>
        <v>0</v>
      </c>
      <c r="O16" s="99"/>
      <c r="P16" s="101"/>
      <c r="Q16" s="99"/>
      <c r="R16" s="101"/>
      <c r="S16" s="99"/>
      <c r="T16" s="102"/>
      <c r="U16" s="10"/>
      <c r="V16" s="10"/>
      <c r="W16" s="133"/>
    </row>
    <row r="17" spans="1:23" ht="20.100000000000001" customHeight="1" x14ac:dyDescent="0.25">
      <c r="A17" s="8">
        <v>1</v>
      </c>
      <c r="B17" s="9" t="s">
        <v>17</v>
      </c>
      <c r="C17" s="9" t="s">
        <v>18</v>
      </c>
      <c r="D17" s="8">
        <v>38</v>
      </c>
      <c r="E17" s="8">
        <v>14</v>
      </c>
      <c r="F17" s="42" t="s">
        <v>21</v>
      </c>
      <c r="G17" s="42" t="s">
        <v>22</v>
      </c>
      <c r="H17" s="42" t="s">
        <v>26</v>
      </c>
      <c r="I17" s="42"/>
      <c r="J17" s="46"/>
      <c r="K17" s="79" t="s">
        <v>20</v>
      </c>
      <c r="L17" s="11"/>
      <c r="M17" s="103">
        <f>M18</f>
        <v>545270400</v>
      </c>
      <c r="N17" s="94">
        <f>Mei!R17</f>
        <v>146298960</v>
      </c>
      <c r="O17" s="99">
        <f t="shared" si="0"/>
        <v>26.830533988274439</v>
      </c>
      <c r="P17" s="104">
        <f>P18</f>
        <v>68947200</v>
      </c>
      <c r="Q17" s="95">
        <f t="shared" si="1"/>
        <v>12.644588813183329</v>
      </c>
      <c r="R17" s="104">
        <f>R18</f>
        <v>215246160</v>
      </c>
      <c r="S17" s="95">
        <f t="shared" si="2"/>
        <v>39.475122801457772</v>
      </c>
      <c r="T17" s="96">
        <f>T18</f>
        <v>50</v>
      </c>
      <c r="U17" s="10"/>
      <c r="V17" s="10"/>
      <c r="W17" s="133"/>
    </row>
    <row r="18" spans="1:23" ht="20.100000000000001" customHeight="1" x14ac:dyDescent="0.25">
      <c r="A18" s="8">
        <v>1</v>
      </c>
      <c r="B18" s="9" t="s">
        <v>17</v>
      </c>
      <c r="C18" s="9" t="s">
        <v>18</v>
      </c>
      <c r="D18" s="8">
        <v>38</v>
      </c>
      <c r="E18" s="8">
        <v>14</v>
      </c>
      <c r="F18" s="41">
        <v>5</v>
      </c>
      <c r="G18" s="41">
        <v>2</v>
      </c>
      <c r="H18" s="41">
        <v>1</v>
      </c>
      <c r="I18" s="42" t="s">
        <v>30</v>
      </c>
      <c r="J18" s="47"/>
      <c r="K18" s="80" t="s">
        <v>31</v>
      </c>
      <c r="L18" s="159"/>
      <c r="M18" s="105">
        <f>M19</f>
        <v>545270400</v>
      </c>
      <c r="N18" s="94">
        <f>Mei!R18</f>
        <v>146298960</v>
      </c>
      <c r="O18" s="99">
        <f t="shared" si="0"/>
        <v>26.830533988274439</v>
      </c>
      <c r="P18" s="106">
        <f>P19</f>
        <v>68947200</v>
      </c>
      <c r="Q18" s="95">
        <f t="shared" si="1"/>
        <v>12.644588813183329</v>
      </c>
      <c r="R18" s="106">
        <f>R19</f>
        <v>215246160</v>
      </c>
      <c r="S18" s="95">
        <f t="shared" si="2"/>
        <v>39.475122801457772</v>
      </c>
      <c r="T18" s="96">
        <f>T19</f>
        <v>50</v>
      </c>
      <c r="U18" s="10"/>
      <c r="V18" s="10"/>
      <c r="W18" s="133"/>
    </row>
    <row r="19" spans="1:23" ht="15" customHeight="1" x14ac:dyDescent="0.25">
      <c r="A19" s="6"/>
      <c r="B19" s="7"/>
      <c r="C19" s="7"/>
      <c r="D19" s="6"/>
      <c r="E19" s="6"/>
      <c r="F19" s="41"/>
      <c r="G19" s="41"/>
      <c r="H19" s="41"/>
      <c r="I19" s="42"/>
      <c r="J19" s="43" t="s">
        <v>18</v>
      </c>
      <c r="K19" s="73" t="s">
        <v>32</v>
      </c>
      <c r="L19" s="161"/>
      <c r="M19" s="107">
        <v>545270400</v>
      </c>
      <c r="N19" s="94">
        <f>Mei!R19</f>
        <v>146298960</v>
      </c>
      <c r="O19" s="99">
        <f t="shared" si="0"/>
        <v>26.830533988274439</v>
      </c>
      <c r="P19" s="26">
        <v>68947200</v>
      </c>
      <c r="Q19" s="99">
        <f t="shared" si="1"/>
        <v>12.644588813183329</v>
      </c>
      <c r="R19" s="108">
        <f>N19+P19</f>
        <v>215246160</v>
      </c>
      <c r="S19" s="99">
        <f>R19/M19*100</f>
        <v>39.475122801457772</v>
      </c>
      <c r="T19" s="100">
        <f>6/12*100</f>
        <v>50</v>
      </c>
      <c r="U19" s="10"/>
      <c r="V19" s="10"/>
      <c r="W19" s="133"/>
    </row>
    <row r="20" spans="1:23" ht="9.9499999999999993" customHeight="1" x14ac:dyDescent="0.25">
      <c r="A20" s="10"/>
      <c r="B20" s="10"/>
      <c r="C20" s="10"/>
      <c r="D20" s="10"/>
      <c r="E20" s="10"/>
      <c r="F20" s="121"/>
      <c r="G20" s="121"/>
      <c r="H20" s="121"/>
      <c r="I20" s="122"/>
      <c r="J20" s="123"/>
      <c r="K20" s="73"/>
      <c r="L20" s="78"/>
      <c r="M20" s="107"/>
      <c r="N20" s="94">
        <f>Mei!R20</f>
        <v>0</v>
      </c>
      <c r="O20" s="99"/>
      <c r="P20" s="101"/>
      <c r="Q20" s="99"/>
      <c r="R20" s="101"/>
      <c r="S20" s="99"/>
      <c r="T20" s="109"/>
      <c r="U20" s="10"/>
      <c r="V20" s="10"/>
      <c r="W20" s="133"/>
    </row>
    <row r="21" spans="1:23" ht="20.100000000000001" customHeight="1" x14ac:dyDescent="0.25">
      <c r="A21" s="8">
        <v>1</v>
      </c>
      <c r="B21" s="9" t="s">
        <v>17</v>
      </c>
      <c r="C21" s="9" t="s">
        <v>18</v>
      </c>
      <c r="D21" s="8">
        <v>38</v>
      </c>
      <c r="E21" s="8">
        <v>14</v>
      </c>
      <c r="F21" s="42" t="s">
        <v>21</v>
      </c>
      <c r="G21" s="42" t="s">
        <v>22</v>
      </c>
      <c r="H21" s="42" t="s">
        <v>22</v>
      </c>
      <c r="I21" s="48"/>
      <c r="J21" s="49"/>
      <c r="K21" s="79" t="s">
        <v>23</v>
      </c>
      <c r="L21" s="11"/>
      <c r="M21" s="105">
        <f>M22+M31+M34+M42+M46+M52+M55+M58+M68+M72+M64+M39+M49</f>
        <v>294813600</v>
      </c>
      <c r="N21" s="94">
        <f>Mei!R21</f>
        <v>57596000</v>
      </c>
      <c r="O21" s="95">
        <f t="shared" si="0"/>
        <v>19.536412160090308</v>
      </c>
      <c r="P21" s="106">
        <f>P22+P31+P34+P42+P46+P52+P55+P58+P68+P72+P39+P49</f>
        <v>50406000</v>
      </c>
      <c r="Q21" s="95">
        <f t="shared" si="1"/>
        <v>17.097583015166194</v>
      </c>
      <c r="R21" s="106">
        <f>R22+R31+R34+R42+R46+R52+R55+R58+R68+R72+R39+R49</f>
        <v>108002000</v>
      </c>
      <c r="S21" s="95">
        <f>R21/M21*100</f>
        <v>36.633995175256501</v>
      </c>
      <c r="T21" s="110">
        <f>(T22+T31+T34+T42+T46+T52+T55+T58+T68+T72+T39+T49)/13</f>
        <v>30.566027216460245</v>
      </c>
      <c r="U21" s="160"/>
      <c r="V21" s="10"/>
      <c r="W21" s="133"/>
    </row>
    <row r="22" spans="1:23" ht="20.100000000000001" customHeight="1" x14ac:dyDescent="0.25">
      <c r="A22" s="6">
        <v>1</v>
      </c>
      <c r="B22" s="9" t="s">
        <v>17</v>
      </c>
      <c r="C22" s="9" t="s">
        <v>18</v>
      </c>
      <c r="D22" s="8">
        <v>38</v>
      </c>
      <c r="E22" s="8">
        <v>14</v>
      </c>
      <c r="F22" s="42" t="s">
        <v>21</v>
      </c>
      <c r="G22" s="42" t="s">
        <v>22</v>
      </c>
      <c r="H22" s="42" t="s">
        <v>22</v>
      </c>
      <c r="I22" s="42" t="s">
        <v>18</v>
      </c>
      <c r="J22" s="43"/>
      <c r="K22" s="79" t="s">
        <v>33</v>
      </c>
      <c r="L22" s="17"/>
      <c r="M22" s="105">
        <f>SUM(M23:M29)</f>
        <v>119064100</v>
      </c>
      <c r="N22" s="94">
        <f>Mei!R22</f>
        <v>8475900</v>
      </c>
      <c r="O22" s="95">
        <f t="shared" si="0"/>
        <v>7.118770477415107</v>
      </c>
      <c r="P22" s="111">
        <f>SUM(P23:P29)</f>
        <v>44185400</v>
      </c>
      <c r="Q22" s="95">
        <f t="shared" si="1"/>
        <v>37.110598408756289</v>
      </c>
      <c r="R22" s="111">
        <f>SUM(R23:R29)</f>
        <v>52661300</v>
      </c>
      <c r="S22" s="95">
        <f t="shared" si="2"/>
        <v>44.2293688861714</v>
      </c>
      <c r="T22" s="96">
        <f>SUM(T23:T29)/7</f>
        <v>42.142857142857146</v>
      </c>
      <c r="U22" s="10"/>
      <c r="V22" s="160"/>
      <c r="W22" s="133"/>
    </row>
    <row r="23" spans="1:23" ht="15" customHeight="1" x14ac:dyDescent="0.25">
      <c r="A23" s="10"/>
      <c r="B23" s="10"/>
      <c r="C23" s="10"/>
      <c r="D23" s="10"/>
      <c r="E23" s="10"/>
      <c r="F23" s="48"/>
      <c r="G23" s="48"/>
      <c r="H23" s="48"/>
      <c r="I23" s="48"/>
      <c r="J23" s="50" t="s">
        <v>18</v>
      </c>
      <c r="K23" s="81" t="s">
        <v>99</v>
      </c>
      <c r="L23" s="73"/>
      <c r="M23" s="97">
        <v>14306500</v>
      </c>
      <c r="N23" s="94">
        <f>Mei!R23</f>
        <v>7360900</v>
      </c>
      <c r="O23" s="99">
        <f t="shared" si="0"/>
        <v>51.451438157480865</v>
      </c>
      <c r="P23" s="26">
        <v>3500000</v>
      </c>
      <c r="Q23" s="99">
        <f t="shared" si="1"/>
        <v>24.464404291755496</v>
      </c>
      <c r="R23" s="112">
        <f>N23+P23</f>
        <v>10860900</v>
      </c>
      <c r="S23" s="99">
        <f t="shared" si="2"/>
        <v>75.915842449236365</v>
      </c>
      <c r="T23" s="100">
        <f>2/2*100</f>
        <v>100</v>
      </c>
      <c r="U23" s="10"/>
      <c r="V23" s="10"/>
      <c r="W23" s="133"/>
    </row>
    <row r="24" spans="1:23" ht="15" customHeight="1" x14ac:dyDescent="0.25">
      <c r="A24" s="6"/>
      <c r="B24" s="7"/>
      <c r="C24" s="7"/>
      <c r="D24" s="6"/>
      <c r="E24" s="6"/>
      <c r="F24" s="48"/>
      <c r="G24" s="48"/>
      <c r="H24" s="48"/>
      <c r="I24" s="48"/>
      <c r="J24" s="50" t="s">
        <v>35</v>
      </c>
      <c r="K24" s="74" t="s">
        <v>100</v>
      </c>
      <c r="L24" s="12"/>
      <c r="M24" s="97">
        <v>780000</v>
      </c>
      <c r="N24" s="94">
        <f>Mei!R24</f>
        <v>390000</v>
      </c>
      <c r="O24" s="99">
        <f t="shared" si="0"/>
        <v>50</v>
      </c>
      <c r="P24" s="101">
        <v>390000</v>
      </c>
      <c r="Q24" s="99">
        <f t="shared" si="1"/>
        <v>50</v>
      </c>
      <c r="R24" s="112">
        <f>N24+P24</f>
        <v>780000</v>
      </c>
      <c r="S24" s="99">
        <f t="shared" si="2"/>
        <v>100</v>
      </c>
      <c r="T24" s="100">
        <f>2/2*100</f>
        <v>100</v>
      </c>
      <c r="U24" s="10"/>
      <c r="V24" s="10"/>
      <c r="W24" s="133"/>
    </row>
    <row r="25" spans="1:23" ht="15" customHeight="1" x14ac:dyDescent="0.25">
      <c r="A25" s="6"/>
      <c r="B25" s="7"/>
      <c r="C25" s="7"/>
      <c r="D25" s="6"/>
      <c r="E25" s="6"/>
      <c r="F25" s="48"/>
      <c r="G25" s="48"/>
      <c r="H25" s="48"/>
      <c r="I25" s="48"/>
      <c r="J25" s="43" t="s">
        <v>28</v>
      </c>
      <c r="K25" s="81" t="s">
        <v>101</v>
      </c>
      <c r="L25" s="12"/>
      <c r="M25" s="97">
        <v>2000000</v>
      </c>
      <c r="N25" s="94">
        <f>Mei!R25</f>
        <v>0</v>
      </c>
      <c r="O25" s="99">
        <f t="shared" si="0"/>
        <v>0</v>
      </c>
      <c r="P25" s="101">
        <v>150000</v>
      </c>
      <c r="Q25" s="99">
        <f t="shared" si="1"/>
        <v>7.5</v>
      </c>
      <c r="R25" s="112">
        <f t="shared" ref="R25:R29" si="3">N25+P25</f>
        <v>150000</v>
      </c>
      <c r="S25" s="99">
        <f t="shared" si="2"/>
        <v>7.5</v>
      </c>
      <c r="T25" s="100">
        <f>2/10*100</f>
        <v>20</v>
      </c>
      <c r="U25" s="10"/>
      <c r="V25" s="10"/>
      <c r="W25" s="133"/>
    </row>
    <row r="26" spans="1:23" ht="15" customHeight="1" x14ac:dyDescent="0.25">
      <c r="A26" s="6"/>
      <c r="B26" s="7"/>
      <c r="C26" s="7"/>
      <c r="D26" s="6"/>
      <c r="E26" s="6"/>
      <c r="F26" s="48"/>
      <c r="G26" s="48"/>
      <c r="H26" s="48"/>
      <c r="I26" s="51"/>
      <c r="J26" s="43" t="s">
        <v>50</v>
      </c>
      <c r="K26" s="81" t="s">
        <v>102</v>
      </c>
      <c r="L26" s="12"/>
      <c r="M26" s="97">
        <v>800000</v>
      </c>
      <c r="N26" s="94">
        <f>Mei!R26</f>
        <v>0</v>
      </c>
      <c r="O26" s="99">
        <f t="shared" si="0"/>
        <v>0</v>
      </c>
      <c r="P26" s="101"/>
      <c r="Q26" s="99">
        <f t="shared" si="1"/>
        <v>0</v>
      </c>
      <c r="R26" s="112">
        <f t="shared" si="3"/>
        <v>0</v>
      </c>
      <c r="S26" s="99">
        <f t="shared" si="2"/>
        <v>0</v>
      </c>
      <c r="T26" s="100">
        <f>0/2*100</f>
        <v>0</v>
      </c>
      <c r="U26" s="10"/>
      <c r="V26" s="10"/>
      <c r="W26" s="133"/>
    </row>
    <row r="27" spans="1:23" ht="15" customHeight="1" x14ac:dyDescent="0.25">
      <c r="A27" s="6"/>
      <c r="B27" s="7"/>
      <c r="C27" s="7"/>
      <c r="D27" s="6"/>
      <c r="E27" s="6"/>
      <c r="F27" s="121"/>
      <c r="G27" s="122"/>
      <c r="H27" s="122"/>
      <c r="I27" s="124"/>
      <c r="J27" s="52" t="s">
        <v>30</v>
      </c>
      <c r="K27" s="82" t="s">
        <v>103</v>
      </c>
      <c r="L27" s="12"/>
      <c r="M27" s="97">
        <v>2610000</v>
      </c>
      <c r="N27" s="94">
        <f>Mei!R27</f>
        <v>725000</v>
      </c>
      <c r="O27" s="99">
        <f t="shared" si="0"/>
        <v>27.777777777777779</v>
      </c>
      <c r="P27" s="132">
        <v>145000</v>
      </c>
      <c r="Q27" s="99">
        <f t="shared" si="1"/>
        <v>5.5555555555555554</v>
      </c>
      <c r="R27" s="112">
        <f t="shared" si="3"/>
        <v>870000</v>
      </c>
      <c r="S27" s="113">
        <f t="shared" si="2"/>
        <v>33.333333333333329</v>
      </c>
      <c r="T27" s="100">
        <f>6/24*100</f>
        <v>25</v>
      </c>
      <c r="U27" s="10"/>
      <c r="V27" s="10"/>
      <c r="W27" s="133"/>
    </row>
    <row r="28" spans="1:23" ht="15" customHeight="1" x14ac:dyDescent="0.25">
      <c r="A28" s="6"/>
      <c r="B28" s="7"/>
      <c r="C28" s="7"/>
      <c r="D28" s="6"/>
      <c r="E28" s="6"/>
      <c r="F28" s="48"/>
      <c r="G28" s="48"/>
      <c r="H28" s="48"/>
      <c r="I28" s="53"/>
      <c r="J28" s="43" t="s">
        <v>37</v>
      </c>
      <c r="K28" s="74" t="s">
        <v>38</v>
      </c>
      <c r="L28" s="162"/>
      <c r="M28" s="97">
        <v>98117600</v>
      </c>
      <c r="N28" s="94">
        <f>Mei!R28</f>
        <v>0</v>
      </c>
      <c r="O28" s="99">
        <f t="shared" si="0"/>
        <v>0</v>
      </c>
      <c r="P28" s="26">
        <v>40000400</v>
      </c>
      <c r="Q28" s="99">
        <f t="shared" si="1"/>
        <v>40.767813317896071</v>
      </c>
      <c r="R28" s="112">
        <f t="shared" si="3"/>
        <v>40000400</v>
      </c>
      <c r="S28" s="99">
        <f t="shared" si="2"/>
        <v>40.767813317896071</v>
      </c>
      <c r="T28" s="100">
        <f>1/2*100</f>
        <v>50</v>
      </c>
      <c r="U28" s="10"/>
      <c r="V28" s="10"/>
      <c r="W28" s="133"/>
    </row>
    <row r="29" spans="1:23" ht="15" customHeight="1" x14ac:dyDescent="0.25">
      <c r="A29" s="6"/>
      <c r="B29" s="7"/>
      <c r="C29" s="7"/>
      <c r="D29" s="6"/>
      <c r="E29" s="6"/>
      <c r="F29" s="48"/>
      <c r="G29" s="48"/>
      <c r="H29" s="48"/>
      <c r="I29" s="48"/>
      <c r="J29" s="43" t="s">
        <v>44</v>
      </c>
      <c r="K29" s="74" t="s">
        <v>104</v>
      </c>
      <c r="L29" s="161"/>
      <c r="M29" s="97">
        <v>450000</v>
      </c>
      <c r="N29" s="94">
        <f>Mei!R29</f>
        <v>0</v>
      </c>
      <c r="O29" s="99">
        <f t="shared" si="0"/>
        <v>0</v>
      </c>
      <c r="P29" s="101"/>
      <c r="Q29" s="99">
        <f t="shared" si="1"/>
        <v>0</v>
      </c>
      <c r="R29" s="112">
        <f t="shared" si="3"/>
        <v>0</v>
      </c>
      <c r="S29" s="99">
        <f t="shared" si="2"/>
        <v>0</v>
      </c>
      <c r="T29" s="100">
        <f>0/3*100</f>
        <v>0</v>
      </c>
      <c r="U29" s="10"/>
      <c r="V29" s="10"/>
      <c r="W29" s="133"/>
    </row>
    <row r="30" spans="1:23" ht="9.9499999999999993" customHeight="1" x14ac:dyDescent="0.25">
      <c r="A30" s="6"/>
      <c r="B30" s="7"/>
      <c r="C30" s="7"/>
      <c r="D30" s="6"/>
      <c r="E30" s="6"/>
      <c r="F30" s="54"/>
      <c r="G30" s="54"/>
      <c r="H30" s="54"/>
      <c r="I30" s="55"/>
      <c r="J30" s="56"/>
      <c r="K30" s="83"/>
      <c r="L30" s="163"/>
      <c r="M30" s="115"/>
      <c r="N30" s="94">
        <f>Mei!R30</f>
        <v>0</v>
      </c>
      <c r="O30" s="99"/>
      <c r="P30" s="101"/>
      <c r="Q30" s="99"/>
      <c r="R30" s="101"/>
      <c r="S30" s="99"/>
      <c r="T30" s="101"/>
      <c r="U30" s="10"/>
      <c r="V30" s="10"/>
      <c r="W30" s="133"/>
    </row>
    <row r="31" spans="1:23" ht="20.100000000000001" customHeight="1" x14ac:dyDescent="0.25">
      <c r="A31" s="8">
        <v>1</v>
      </c>
      <c r="B31" s="9" t="s">
        <v>17</v>
      </c>
      <c r="C31" s="9" t="s">
        <v>18</v>
      </c>
      <c r="D31" s="8">
        <v>38</v>
      </c>
      <c r="E31" s="8">
        <v>14</v>
      </c>
      <c r="F31" s="41">
        <v>5</v>
      </c>
      <c r="G31" s="41">
        <v>2</v>
      </c>
      <c r="H31" s="41">
        <v>2</v>
      </c>
      <c r="I31" s="42" t="s">
        <v>17</v>
      </c>
      <c r="J31" s="46"/>
      <c r="K31" s="80" t="s">
        <v>39</v>
      </c>
      <c r="L31" s="14"/>
      <c r="M31" s="105">
        <f>M32</f>
        <v>2400000</v>
      </c>
      <c r="N31" s="94">
        <f>Mei!R31</f>
        <v>1000000</v>
      </c>
      <c r="O31" s="99">
        <f t="shared" si="0"/>
        <v>41.666666666666671</v>
      </c>
      <c r="P31" s="94">
        <f>P32</f>
        <v>200000</v>
      </c>
      <c r="Q31" s="95">
        <f t="shared" si="1"/>
        <v>8.3333333333333321</v>
      </c>
      <c r="R31" s="116">
        <f>R32</f>
        <v>1200000</v>
      </c>
      <c r="S31" s="95">
        <f t="shared" si="2"/>
        <v>50</v>
      </c>
      <c r="T31" s="95">
        <f>(T32)/1</f>
        <v>50</v>
      </c>
      <c r="U31" s="10"/>
      <c r="V31" s="10"/>
      <c r="W31" s="133"/>
    </row>
    <row r="32" spans="1:23" ht="15" customHeight="1" x14ac:dyDescent="0.25">
      <c r="A32" s="6"/>
      <c r="B32" s="7"/>
      <c r="C32" s="7"/>
      <c r="D32" s="6"/>
      <c r="E32" s="6"/>
      <c r="F32" s="48"/>
      <c r="G32" s="48"/>
      <c r="H32" s="48"/>
      <c r="I32" s="53"/>
      <c r="J32" s="43" t="s">
        <v>28</v>
      </c>
      <c r="K32" s="74" t="s">
        <v>40</v>
      </c>
      <c r="L32" s="12"/>
      <c r="M32" s="97">
        <v>2400000</v>
      </c>
      <c r="N32" s="94">
        <f>Mei!R32</f>
        <v>1000000</v>
      </c>
      <c r="O32" s="99">
        <f t="shared" si="0"/>
        <v>41.666666666666671</v>
      </c>
      <c r="P32" s="26">
        <v>200000</v>
      </c>
      <c r="Q32" s="99">
        <f t="shared" si="1"/>
        <v>8.3333333333333321</v>
      </c>
      <c r="R32" s="101">
        <f t="shared" ref="R32" si="4">N32+P32</f>
        <v>1200000</v>
      </c>
      <c r="S32" s="99">
        <f t="shared" si="2"/>
        <v>50</v>
      </c>
      <c r="T32" s="100">
        <f>60/120*100</f>
        <v>50</v>
      </c>
      <c r="U32" s="10"/>
      <c r="V32" s="10"/>
      <c r="W32" s="133"/>
    </row>
    <row r="33" spans="1:23" ht="9.9499999999999993" customHeight="1" x14ac:dyDescent="0.25">
      <c r="A33" s="10"/>
      <c r="B33" s="10"/>
      <c r="C33" s="10"/>
      <c r="D33" s="10"/>
      <c r="E33" s="10"/>
      <c r="F33" s="54"/>
      <c r="G33" s="54"/>
      <c r="H33" s="54"/>
      <c r="I33" s="48"/>
      <c r="J33" s="43"/>
      <c r="K33" s="73"/>
      <c r="L33" s="13"/>
      <c r="M33" s="107"/>
      <c r="N33" s="94">
        <f>Mei!R33</f>
        <v>0</v>
      </c>
      <c r="O33" s="99"/>
      <c r="P33" s="101"/>
      <c r="Q33" s="99"/>
      <c r="R33" s="101"/>
      <c r="S33" s="99"/>
      <c r="T33" s="101"/>
      <c r="U33" s="10"/>
      <c r="V33" s="10"/>
      <c r="W33" s="133"/>
    </row>
    <row r="34" spans="1:23" ht="20.100000000000001" customHeight="1" x14ac:dyDescent="0.25">
      <c r="A34" s="8">
        <v>1</v>
      </c>
      <c r="B34" s="9" t="s">
        <v>17</v>
      </c>
      <c r="C34" s="9" t="s">
        <v>18</v>
      </c>
      <c r="D34" s="8">
        <v>38</v>
      </c>
      <c r="E34" s="8">
        <v>14</v>
      </c>
      <c r="F34" s="41">
        <v>5</v>
      </c>
      <c r="G34" s="41">
        <v>2</v>
      </c>
      <c r="H34" s="41">
        <v>2</v>
      </c>
      <c r="I34" s="42" t="s">
        <v>34</v>
      </c>
      <c r="J34" s="46"/>
      <c r="K34" s="80" t="s">
        <v>52</v>
      </c>
      <c r="L34" s="14"/>
      <c r="M34" s="103">
        <f>M35+M37+M36</f>
        <v>19800000</v>
      </c>
      <c r="N34" s="94">
        <f>Mei!R34</f>
        <v>4358300</v>
      </c>
      <c r="O34" s="99">
        <f t="shared" si="0"/>
        <v>22.011616161616164</v>
      </c>
      <c r="P34" s="116">
        <f>P35+P36+P37</f>
        <v>870600</v>
      </c>
      <c r="Q34" s="95">
        <f t="shared" si="1"/>
        <v>4.3969696969696974</v>
      </c>
      <c r="R34" s="116">
        <f>R35+R36</f>
        <v>5228900</v>
      </c>
      <c r="S34" s="95">
        <f>R34/M34*100</f>
        <v>26.408585858585859</v>
      </c>
      <c r="T34" s="95">
        <f>SUM(T35:T37)/3</f>
        <v>44.444444444444436</v>
      </c>
      <c r="U34" s="10"/>
      <c r="V34" s="10"/>
      <c r="W34" s="133"/>
    </row>
    <row r="35" spans="1:23" ht="15" customHeight="1" x14ac:dyDescent="0.25">
      <c r="A35" s="10"/>
      <c r="B35" s="10"/>
      <c r="C35" s="10"/>
      <c r="D35" s="10"/>
      <c r="E35" s="10"/>
      <c r="F35" s="54"/>
      <c r="G35" s="54"/>
      <c r="H35" s="54"/>
      <c r="I35" s="48"/>
      <c r="J35" s="43" t="s">
        <v>28</v>
      </c>
      <c r="K35" s="73" t="s">
        <v>41</v>
      </c>
      <c r="L35" s="164"/>
      <c r="M35" s="97">
        <v>12000000</v>
      </c>
      <c r="N35" s="94">
        <f>Mei!R35</f>
        <v>4338500</v>
      </c>
      <c r="O35" s="99">
        <f t="shared" si="0"/>
        <v>36.154166666666669</v>
      </c>
      <c r="P35" s="26">
        <v>867700</v>
      </c>
      <c r="Q35" s="99">
        <f t="shared" si="1"/>
        <v>7.2308333333333339</v>
      </c>
      <c r="R35" s="101">
        <f>N35+P35</f>
        <v>5206200</v>
      </c>
      <c r="S35" s="99">
        <f>R35/M35*100</f>
        <v>43.384999999999998</v>
      </c>
      <c r="T35" s="99">
        <f>6/12*100</f>
        <v>50</v>
      </c>
      <c r="U35" s="10"/>
      <c r="V35" s="10"/>
      <c r="W35" s="133"/>
    </row>
    <row r="36" spans="1:23" ht="15" customHeight="1" x14ac:dyDescent="0.25">
      <c r="A36" s="6"/>
      <c r="B36" s="7"/>
      <c r="C36" s="7"/>
      <c r="D36" s="6"/>
      <c r="E36" s="6"/>
      <c r="F36" s="54"/>
      <c r="G36" s="54"/>
      <c r="H36" s="54"/>
      <c r="I36" s="48"/>
      <c r="J36" s="43" t="s">
        <v>29</v>
      </c>
      <c r="K36" s="74" t="s">
        <v>42</v>
      </c>
      <c r="L36" s="54"/>
      <c r="M36" s="107">
        <v>600000</v>
      </c>
      <c r="N36" s="94">
        <f>Mei!R36</f>
        <v>19800</v>
      </c>
      <c r="O36" s="99">
        <f t="shared" si="0"/>
        <v>3.3000000000000003</v>
      </c>
      <c r="P36" s="26">
        <v>2900</v>
      </c>
      <c r="Q36" s="99">
        <f t="shared" si="1"/>
        <v>0.48333333333333334</v>
      </c>
      <c r="R36" s="101">
        <f>N36+P36</f>
        <v>22700</v>
      </c>
      <c r="S36" s="99">
        <f>R36/M36*100</f>
        <v>3.7833333333333332</v>
      </c>
      <c r="T36" s="100">
        <f>6/12*100</f>
        <v>50</v>
      </c>
      <c r="U36" s="10"/>
      <c r="V36" s="10"/>
      <c r="W36" s="133"/>
    </row>
    <row r="37" spans="1:23" ht="15" customHeight="1" x14ac:dyDescent="0.25">
      <c r="A37" s="10"/>
      <c r="B37" s="10"/>
      <c r="C37" s="10"/>
      <c r="D37" s="10"/>
      <c r="E37" s="10"/>
      <c r="F37" s="57"/>
      <c r="G37" s="57"/>
      <c r="H37" s="57"/>
      <c r="I37" s="125"/>
      <c r="J37" s="58" t="s">
        <v>47</v>
      </c>
      <c r="K37" s="75" t="s">
        <v>64</v>
      </c>
      <c r="L37" s="164"/>
      <c r="M37" s="97">
        <v>7200000</v>
      </c>
      <c r="N37" s="94">
        <f>Mei!R37</f>
        <v>1120000</v>
      </c>
      <c r="O37" s="99">
        <f t="shared" si="0"/>
        <v>15.555555555555555</v>
      </c>
      <c r="P37" s="101"/>
      <c r="Q37" s="99">
        <f t="shared" si="1"/>
        <v>0</v>
      </c>
      <c r="R37" s="101">
        <f>N37+P37</f>
        <v>1120000</v>
      </c>
      <c r="S37" s="99">
        <f t="shared" si="2"/>
        <v>15.555555555555555</v>
      </c>
      <c r="T37" s="100">
        <f>1/3*100</f>
        <v>33.333333333333329</v>
      </c>
      <c r="U37" s="10"/>
      <c r="V37" s="10"/>
      <c r="W37" s="133"/>
    </row>
    <row r="38" spans="1:23" ht="9.9499999999999993" customHeight="1" x14ac:dyDescent="0.25">
      <c r="A38" s="10"/>
      <c r="B38" s="10"/>
      <c r="C38" s="10"/>
      <c r="D38" s="10"/>
      <c r="E38" s="10"/>
      <c r="F38" s="57"/>
      <c r="G38" s="57"/>
      <c r="H38" s="57"/>
      <c r="I38" s="125"/>
      <c r="J38" s="126"/>
      <c r="K38" s="84"/>
      <c r="L38" s="165"/>
      <c r="M38" s="115"/>
      <c r="N38" s="94">
        <f>Mei!R38</f>
        <v>0</v>
      </c>
      <c r="O38" s="99"/>
      <c r="P38" s="101"/>
      <c r="Q38" s="99"/>
      <c r="R38" s="101"/>
      <c r="S38" s="99"/>
      <c r="T38" s="101"/>
      <c r="U38" s="10"/>
      <c r="V38" s="10"/>
      <c r="W38" s="133"/>
    </row>
    <row r="39" spans="1:23" ht="20.100000000000001" customHeight="1" x14ac:dyDescent="0.25">
      <c r="A39" s="8">
        <v>1</v>
      </c>
      <c r="B39" s="9" t="s">
        <v>17</v>
      </c>
      <c r="C39" s="9" t="s">
        <v>18</v>
      </c>
      <c r="D39" s="8">
        <v>38</v>
      </c>
      <c r="E39" s="8">
        <v>14</v>
      </c>
      <c r="F39" s="41">
        <v>5</v>
      </c>
      <c r="G39" s="41">
        <v>2</v>
      </c>
      <c r="H39" s="41">
        <v>2</v>
      </c>
      <c r="I39" s="42" t="s">
        <v>27</v>
      </c>
      <c r="J39" s="155"/>
      <c r="K39" s="154" t="s">
        <v>105</v>
      </c>
      <c r="L39" s="14"/>
      <c r="M39" s="103">
        <f>M40</f>
        <v>900000</v>
      </c>
      <c r="N39" s="94">
        <f>Mei!R39</f>
        <v>0</v>
      </c>
      <c r="O39" s="99">
        <f t="shared" si="0"/>
        <v>0</v>
      </c>
      <c r="P39" s="101">
        <f>P40</f>
        <v>0</v>
      </c>
      <c r="Q39" s="99">
        <f t="shared" si="1"/>
        <v>0</v>
      </c>
      <c r="R39" s="101">
        <f>R40</f>
        <v>0</v>
      </c>
      <c r="S39" s="99">
        <f t="shared" si="2"/>
        <v>0</v>
      </c>
      <c r="T39" s="96">
        <f>T40</f>
        <v>0</v>
      </c>
      <c r="U39" s="10"/>
      <c r="V39" s="10"/>
      <c r="W39" s="133"/>
    </row>
    <row r="40" spans="1:23" ht="15" customHeight="1" x14ac:dyDescent="0.25">
      <c r="A40" s="63"/>
      <c r="B40" s="63"/>
      <c r="C40" s="63"/>
      <c r="D40" s="63"/>
      <c r="E40" s="63"/>
      <c r="F40" s="57"/>
      <c r="G40" s="57"/>
      <c r="H40" s="57"/>
      <c r="I40" s="67"/>
      <c r="J40" s="43" t="s">
        <v>17</v>
      </c>
      <c r="K40" s="75" t="s">
        <v>106</v>
      </c>
      <c r="L40" s="13"/>
      <c r="M40" s="97">
        <v>900000</v>
      </c>
      <c r="N40" s="94">
        <f>Mei!R40</f>
        <v>0</v>
      </c>
      <c r="O40" s="99">
        <f t="shared" si="0"/>
        <v>0</v>
      </c>
      <c r="P40" s="101"/>
      <c r="Q40" s="99">
        <f t="shared" si="1"/>
        <v>0</v>
      </c>
      <c r="R40" s="101">
        <f>N40+P40</f>
        <v>0</v>
      </c>
      <c r="S40" s="99">
        <f t="shared" si="2"/>
        <v>0</v>
      </c>
      <c r="T40" s="100">
        <f>0/1*100</f>
        <v>0</v>
      </c>
      <c r="U40" s="10"/>
      <c r="V40" s="10"/>
      <c r="W40" s="133"/>
    </row>
    <row r="41" spans="1:23" ht="9.9499999999999993" customHeight="1" x14ac:dyDescent="0.25">
      <c r="A41" s="63"/>
      <c r="B41" s="63"/>
      <c r="C41" s="63"/>
      <c r="D41" s="63"/>
      <c r="E41" s="63"/>
      <c r="F41" s="57"/>
      <c r="G41" s="57"/>
      <c r="H41" s="57"/>
      <c r="I41" s="67"/>
      <c r="J41" s="68"/>
      <c r="K41" s="84"/>
      <c r="L41" s="165"/>
      <c r="M41" s="115"/>
      <c r="N41" s="94">
        <f>Mei!R41</f>
        <v>0</v>
      </c>
      <c r="O41" s="99"/>
      <c r="P41" s="101"/>
      <c r="Q41" s="99"/>
      <c r="R41" s="101"/>
      <c r="S41" s="99"/>
      <c r="T41" s="101"/>
      <c r="U41" s="10"/>
      <c r="V41" s="10"/>
      <c r="W41" s="133"/>
    </row>
    <row r="42" spans="1:23" ht="20.100000000000001" customHeight="1" x14ac:dyDescent="0.25">
      <c r="A42" s="8">
        <v>1</v>
      </c>
      <c r="B42" s="9" t="s">
        <v>17</v>
      </c>
      <c r="C42" s="9" t="s">
        <v>18</v>
      </c>
      <c r="D42" s="8">
        <v>38</v>
      </c>
      <c r="E42" s="8">
        <v>14</v>
      </c>
      <c r="F42" s="42" t="s">
        <v>21</v>
      </c>
      <c r="G42" s="42" t="s">
        <v>22</v>
      </c>
      <c r="H42" s="42" t="s">
        <v>22</v>
      </c>
      <c r="I42" s="60" t="s">
        <v>28</v>
      </c>
      <c r="J42" s="56"/>
      <c r="K42" s="85" t="s">
        <v>53</v>
      </c>
      <c r="L42" s="14"/>
      <c r="M42" s="103">
        <f>SUM(M43:M44)</f>
        <v>29487500</v>
      </c>
      <c r="N42" s="94">
        <f>Mei!R42</f>
        <v>750000</v>
      </c>
      <c r="O42" s="99">
        <f t="shared" si="0"/>
        <v>2.5434506146672318</v>
      </c>
      <c r="P42" s="104">
        <f>P44+P43</f>
        <v>5150000</v>
      </c>
      <c r="Q42" s="95">
        <f t="shared" si="1"/>
        <v>17.465027554048326</v>
      </c>
      <c r="R42" s="104">
        <f>SUM(R43:R44)</f>
        <v>5900000</v>
      </c>
      <c r="S42" s="95">
        <f t="shared" si="2"/>
        <v>20.008478168715556</v>
      </c>
      <c r="T42" s="95">
        <f>SUM(T43:T44)/2</f>
        <v>42.157913540550197</v>
      </c>
      <c r="U42" s="10"/>
      <c r="V42" s="10"/>
      <c r="W42" s="133"/>
    </row>
    <row r="43" spans="1:23" ht="15" customHeight="1" x14ac:dyDescent="0.25">
      <c r="A43" s="8"/>
      <c r="B43" s="9"/>
      <c r="C43" s="9"/>
      <c r="D43" s="8"/>
      <c r="E43" s="8"/>
      <c r="F43" s="42"/>
      <c r="G43" s="42"/>
      <c r="H43" s="42"/>
      <c r="I43" s="59"/>
      <c r="J43" s="50" t="s">
        <v>18</v>
      </c>
      <c r="K43" s="81" t="s">
        <v>65</v>
      </c>
      <c r="L43" s="14"/>
      <c r="M43" s="97">
        <v>22490000</v>
      </c>
      <c r="N43" s="94">
        <f>Mei!R43</f>
        <v>0</v>
      </c>
      <c r="O43" s="99">
        <f t="shared" si="0"/>
        <v>0</v>
      </c>
      <c r="P43" s="26"/>
      <c r="Q43" s="99">
        <f t="shared" si="1"/>
        <v>0</v>
      </c>
      <c r="R43" s="98">
        <f>N43+P43</f>
        <v>0</v>
      </c>
      <c r="S43" s="99">
        <f>R43/M43*100</f>
        <v>0</v>
      </c>
      <c r="T43" s="99">
        <v>0</v>
      </c>
      <c r="U43" s="10"/>
      <c r="V43" s="10"/>
      <c r="W43" s="133"/>
    </row>
    <row r="44" spans="1:23" ht="15" customHeight="1" x14ac:dyDescent="0.25">
      <c r="A44" s="6"/>
      <c r="B44" s="7"/>
      <c r="C44" s="7"/>
      <c r="D44" s="6"/>
      <c r="E44" s="6"/>
      <c r="F44" s="48"/>
      <c r="G44" s="48"/>
      <c r="H44" s="48"/>
      <c r="I44" s="51"/>
      <c r="J44" s="50" t="s">
        <v>17</v>
      </c>
      <c r="K44" s="82" t="s">
        <v>54</v>
      </c>
      <c r="L44" s="162"/>
      <c r="M44" s="97">
        <v>6997500</v>
      </c>
      <c r="N44" s="94">
        <f>Mei!R44</f>
        <v>750000</v>
      </c>
      <c r="O44" s="99">
        <f t="shared" si="0"/>
        <v>10.718113612004288</v>
      </c>
      <c r="P44" s="26">
        <v>5150000</v>
      </c>
      <c r="Q44" s="99">
        <f t="shared" si="1"/>
        <v>73.597713469096107</v>
      </c>
      <c r="R44" s="98">
        <f>N44+P44</f>
        <v>5900000</v>
      </c>
      <c r="S44" s="99">
        <f>R44/M44*100</f>
        <v>84.315827081100394</v>
      </c>
      <c r="T44" s="100">
        <f>23600/27990*100</f>
        <v>84.315827081100394</v>
      </c>
      <c r="U44" s="10"/>
      <c r="V44" s="10"/>
      <c r="W44" s="133"/>
    </row>
    <row r="45" spans="1:23" ht="9.9499999999999993" customHeight="1" x14ac:dyDescent="0.25">
      <c r="A45" s="10"/>
      <c r="B45" s="10"/>
      <c r="C45" s="10"/>
      <c r="D45" s="10"/>
      <c r="E45" s="10"/>
      <c r="F45" s="48"/>
      <c r="G45" s="48"/>
      <c r="H45" s="48"/>
      <c r="I45" s="53"/>
      <c r="J45" s="56"/>
      <c r="K45" s="86"/>
      <c r="L45" s="165"/>
      <c r="M45" s="115"/>
      <c r="N45" s="94">
        <f>Mei!R45</f>
        <v>0</v>
      </c>
      <c r="O45" s="99"/>
      <c r="P45" s="117"/>
      <c r="Q45" s="99"/>
      <c r="R45" s="117"/>
      <c r="S45" s="99"/>
      <c r="T45" s="101"/>
      <c r="U45" s="10"/>
      <c r="V45" s="10"/>
      <c r="W45" s="133"/>
    </row>
    <row r="46" spans="1:23" ht="20.100000000000001" customHeight="1" x14ac:dyDescent="0.25">
      <c r="A46" s="8">
        <v>1</v>
      </c>
      <c r="B46" s="9" t="s">
        <v>17</v>
      </c>
      <c r="C46" s="9" t="s">
        <v>18</v>
      </c>
      <c r="D46" s="8">
        <v>38</v>
      </c>
      <c r="E46" s="8">
        <v>14</v>
      </c>
      <c r="F46" s="41">
        <v>5</v>
      </c>
      <c r="G46" s="41">
        <v>2</v>
      </c>
      <c r="H46" s="41">
        <v>2</v>
      </c>
      <c r="I46" s="60" t="s">
        <v>37</v>
      </c>
      <c r="J46" s="46"/>
      <c r="K46" s="85" t="s">
        <v>55</v>
      </c>
      <c r="L46" s="13"/>
      <c r="M46" s="105">
        <f>M47</f>
        <v>30300000</v>
      </c>
      <c r="N46" s="94">
        <f>Mei!R46</f>
        <v>8550000</v>
      </c>
      <c r="O46" s="99">
        <f t="shared" si="0"/>
        <v>28.217821782178216</v>
      </c>
      <c r="P46" s="106">
        <f>P47</f>
        <v>0</v>
      </c>
      <c r="Q46" s="95">
        <f t="shared" si="1"/>
        <v>0</v>
      </c>
      <c r="R46" s="106">
        <f>R47</f>
        <v>8550000</v>
      </c>
      <c r="S46" s="95">
        <f t="shared" si="2"/>
        <v>28.217821782178216</v>
      </c>
      <c r="T46" s="95">
        <f>T47</f>
        <v>18.613138686131386</v>
      </c>
      <c r="U46" s="10"/>
      <c r="V46" s="10"/>
      <c r="W46" s="133"/>
    </row>
    <row r="47" spans="1:23" ht="15" customHeight="1" x14ac:dyDescent="0.25">
      <c r="A47" s="127"/>
      <c r="B47" s="127"/>
      <c r="C47" s="127"/>
      <c r="D47" s="127"/>
      <c r="E47" s="127"/>
      <c r="F47" s="42"/>
      <c r="G47" s="42"/>
      <c r="H47" s="42"/>
      <c r="I47" s="42"/>
      <c r="J47" s="55" t="s">
        <v>17</v>
      </c>
      <c r="K47" s="78" t="s">
        <v>56</v>
      </c>
      <c r="L47" s="10"/>
      <c r="M47" s="107">
        <v>30300000</v>
      </c>
      <c r="N47" s="94">
        <f>Mei!R47</f>
        <v>8550000</v>
      </c>
      <c r="O47" s="99">
        <f t="shared" si="0"/>
        <v>28.217821782178216</v>
      </c>
      <c r="P47" s="26"/>
      <c r="Q47" s="99">
        <f t="shared" si="1"/>
        <v>0</v>
      </c>
      <c r="R47" s="108">
        <f>N47+P47</f>
        <v>8550000</v>
      </c>
      <c r="S47" s="99">
        <f>R47/M47*100</f>
        <v>28.217821782178216</v>
      </c>
      <c r="T47" s="100">
        <f>306/1644*100</f>
        <v>18.613138686131386</v>
      </c>
      <c r="U47" s="10"/>
      <c r="V47" s="10"/>
      <c r="W47" s="133"/>
    </row>
    <row r="48" spans="1:23" ht="9.9499999999999993" customHeight="1" x14ac:dyDescent="0.25">
      <c r="A48" s="127"/>
      <c r="B48" s="127"/>
      <c r="C48" s="127"/>
      <c r="D48" s="127"/>
      <c r="E48" s="127"/>
      <c r="F48" s="42"/>
      <c r="G48" s="42"/>
      <c r="H48" s="42"/>
      <c r="I48" s="42"/>
      <c r="J48" s="59"/>
      <c r="K48" s="87"/>
      <c r="L48" s="166"/>
      <c r="M48" s="118"/>
      <c r="N48" s="94">
        <f>Mei!R48</f>
        <v>0</v>
      </c>
      <c r="O48" s="99"/>
      <c r="P48" s="119"/>
      <c r="Q48" s="99"/>
      <c r="R48" s="119"/>
      <c r="S48" s="99"/>
      <c r="T48" s="63"/>
      <c r="U48" s="10"/>
      <c r="V48" s="10"/>
      <c r="W48" s="133"/>
    </row>
    <row r="49" spans="1:23" s="174" customFormat="1" ht="20.100000000000001" customHeight="1" x14ac:dyDescent="0.25">
      <c r="A49" s="8">
        <v>1</v>
      </c>
      <c r="B49" s="9" t="s">
        <v>17</v>
      </c>
      <c r="C49" s="9" t="s">
        <v>18</v>
      </c>
      <c r="D49" s="8">
        <v>38</v>
      </c>
      <c r="E49" s="8">
        <v>14</v>
      </c>
      <c r="F49" s="41">
        <v>5</v>
      </c>
      <c r="G49" s="41">
        <v>2</v>
      </c>
      <c r="H49" s="41">
        <v>2</v>
      </c>
      <c r="I49" s="60" t="s">
        <v>82</v>
      </c>
      <c r="J49" s="46"/>
      <c r="K49" s="79" t="s">
        <v>83</v>
      </c>
      <c r="L49" s="127"/>
      <c r="M49" s="105">
        <f>M50</f>
        <v>3300000</v>
      </c>
      <c r="N49" s="94">
        <f>Mei!R49</f>
        <v>0</v>
      </c>
      <c r="O49" s="95">
        <f t="shared" si="0"/>
        <v>0</v>
      </c>
      <c r="P49" s="106">
        <f>P50</f>
        <v>0</v>
      </c>
      <c r="Q49" s="95">
        <f t="shared" si="1"/>
        <v>0</v>
      </c>
      <c r="R49" s="106">
        <f>R50</f>
        <v>0</v>
      </c>
      <c r="S49" s="95">
        <f t="shared" si="2"/>
        <v>0</v>
      </c>
      <c r="T49" s="95">
        <f>T50</f>
        <v>0</v>
      </c>
      <c r="U49" s="127"/>
      <c r="V49" s="127"/>
      <c r="W49" s="173"/>
    </row>
    <row r="50" spans="1:23" ht="15" customHeight="1" x14ac:dyDescent="0.25">
      <c r="A50" s="63"/>
      <c r="B50" s="63"/>
      <c r="C50" s="63"/>
      <c r="D50" s="63"/>
      <c r="E50" s="63"/>
      <c r="F50" s="48"/>
      <c r="G50" s="48"/>
      <c r="H50" s="48"/>
      <c r="I50" s="48"/>
      <c r="J50" s="55" t="s">
        <v>35</v>
      </c>
      <c r="K50" s="78" t="s">
        <v>84</v>
      </c>
      <c r="L50" s="10"/>
      <c r="M50" s="107">
        <v>3300000</v>
      </c>
      <c r="N50" s="94">
        <f>Mei!R50</f>
        <v>0</v>
      </c>
      <c r="O50" s="99">
        <f t="shared" si="0"/>
        <v>0</v>
      </c>
      <c r="P50" s="108"/>
      <c r="Q50" s="99">
        <f t="shared" si="1"/>
        <v>0</v>
      </c>
      <c r="R50" s="108">
        <f>N50+P50</f>
        <v>0</v>
      </c>
      <c r="S50" s="99">
        <f t="shared" si="2"/>
        <v>0</v>
      </c>
      <c r="T50" s="100">
        <f>0/1*100</f>
        <v>0</v>
      </c>
      <c r="U50" s="10"/>
      <c r="V50" s="10"/>
      <c r="W50" s="133"/>
    </row>
    <row r="51" spans="1:23" ht="9.9499999999999993" customHeight="1" x14ac:dyDescent="0.25">
      <c r="A51" s="152"/>
      <c r="B51" s="152"/>
      <c r="C51" s="152"/>
      <c r="D51" s="152"/>
      <c r="E51" s="152"/>
      <c r="F51" s="42"/>
      <c r="G51" s="42"/>
      <c r="H51" s="42"/>
      <c r="I51" s="42"/>
      <c r="J51" s="59"/>
      <c r="K51" s="87"/>
      <c r="L51" s="166"/>
      <c r="M51" s="118"/>
      <c r="N51" s="94">
        <f>Mei!R51</f>
        <v>0</v>
      </c>
      <c r="O51" s="99"/>
      <c r="P51" s="119"/>
      <c r="Q51" s="99"/>
      <c r="R51" s="119"/>
      <c r="S51" s="99"/>
      <c r="T51" s="63"/>
      <c r="U51" s="10"/>
      <c r="V51" s="10"/>
      <c r="W51" s="133"/>
    </row>
    <row r="52" spans="1:23" ht="20.100000000000001" customHeight="1" x14ac:dyDescent="0.25">
      <c r="A52" s="8">
        <v>1</v>
      </c>
      <c r="B52" s="9" t="s">
        <v>17</v>
      </c>
      <c r="C52" s="9" t="s">
        <v>18</v>
      </c>
      <c r="D52" s="8">
        <v>38</v>
      </c>
      <c r="E52" s="8">
        <v>14</v>
      </c>
      <c r="F52" s="61" t="s">
        <v>21</v>
      </c>
      <c r="G52" s="61" t="s">
        <v>22</v>
      </c>
      <c r="H52" s="61" t="s">
        <v>22</v>
      </c>
      <c r="I52" s="128">
        <v>15</v>
      </c>
      <c r="J52" s="61"/>
      <c r="K52" s="88" t="s">
        <v>43</v>
      </c>
      <c r="L52" s="10"/>
      <c r="M52" s="105">
        <f>M53</f>
        <v>15612000</v>
      </c>
      <c r="N52" s="94">
        <f>Mei!R52</f>
        <v>5626800</v>
      </c>
      <c r="O52" s="99">
        <f t="shared" si="0"/>
        <v>36.041506533435822</v>
      </c>
      <c r="P52" s="106">
        <f>P53</f>
        <v>0</v>
      </c>
      <c r="Q52" s="95">
        <f t="shared" si="1"/>
        <v>0</v>
      </c>
      <c r="R52" s="106">
        <f>R53</f>
        <v>5626800</v>
      </c>
      <c r="S52" s="95">
        <f t="shared" si="2"/>
        <v>36.041506533435822</v>
      </c>
      <c r="T52" s="96">
        <f>T53</f>
        <v>50</v>
      </c>
      <c r="U52" s="10"/>
      <c r="V52" s="10"/>
      <c r="W52" s="133"/>
    </row>
    <row r="53" spans="1:23" ht="15" customHeight="1" x14ac:dyDescent="0.25">
      <c r="A53" s="10"/>
      <c r="B53" s="10"/>
      <c r="C53" s="10"/>
      <c r="D53" s="10"/>
      <c r="E53" s="10"/>
      <c r="F53" s="57"/>
      <c r="G53" s="57"/>
      <c r="H53" s="57"/>
      <c r="I53" s="129"/>
      <c r="J53" s="57" t="s">
        <v>17</v>
      </c>
      <c r="K53" s="89" t="s">
        <v>69</v>
      </c>
      <c r="L53" s="10"/>
      <c r="M53" s="107">
        <v>15612000</v>
      </c>
      <c r="N53" s="94">
        <f>Mei!R53</f>
        <v>5626800</v>
      </c>
      <c r="O53" s="99">
        <f t="shared" si="0"/>
        <v>36.041506533435822</v>
      </c>
      <c r="P53" s="120"/>
      <c r="Q53" s="99">
        <f t="shared" si="1"/>
        <v>0</v>
      </c>
      <c r="R53" s="108">
        <f>N53+P53</f>
        <v>5626800</v>
      </c>
      <c r="S53" s="99">
        <f t="shared" si="2"/>
        <v>36.041506533435822</v>
      </c>
      <c r="T53" s="100">
        <f>1/2*100</f>
        <v>50</v>
      </c>
      <c r="U53" s="10"/>
      <c r="V53" s="10"/>
      <c r="W53" s="133"/>
    </row>
    <row r="54" spans="1:23" ht="9.9499999999999993" customHeight="1" x14ac:dyDescent="0.25">
      <c r="A54" s="10"/>
      <c r="B54" s="10"/>
      <c r="C54" s="10"/>
      <c r="D54" s="10"/>
      <c r="E54" s="10"/>
      <c r="F54" s="48"/>
      <c r="G54" s="48"/>
      <c r="H54" s="48"/>
      <c r="I54" s="53"/>
      <c r="J54" s="53"/>
      <c r="K54" s="78"/>
      <c r="L54" s="10"/>
      <c r="M54" s="107"/>
      <c r="N54" s="94">
        <f>Mei!R54</f>
        <v>0</v>
      </c>
      <c r="O54" s="99"/>
      <c r="P54" s="108"/>
      <c r="Q54" s="99"/>
      <c r="R54" s="108"/>
      <c r="S54" s="99"/>
      <c r="T54" s="63"/>
      <c r="U54" s="10"/>
      <c r="V54" s="10"/>
      <c r="W54" s="133"/>
    </row>
    <row r="55" spans="1:23" ht="30" customHeight="1" x14ac:dyDescent="0.25">
      <c r="A55" s="8">
        <v>1</v>
      </c>
      <c r="B55" s="9" t="s">
        <v>17</v>
      </c>
      <c r="C55" s="9" t="s">
        <v>18</v>
      </c>
      <c r="D55" s="8">
        <v>38</v>
      </c>
      <c r="E55" s="8">
        <v>14</v>
      </c>
      <c r="F55" s="61" t="s">
        <v>21</v>
      </c>
      <c r="G55" s="61" t="s">
        <v>22</v>
      </c>
      <c r="H55" s="61" t="s">
        <v>22</v>
      </c>
      <c r="I55" s="128" t="s">
        <v>48</v>
      </c>
      <c r="J55" s="42"/>
      <c r="K55" s="79" t="s">
        <v>57</v>
      </c>
      <c r="L55" s="10"/>
      <c r="M55" s="105">
        <f>M56</f>
        <v>20000000</v>
      </c>
      <c r="N55" s="94">
        <f>Mei!R55</f>
        <v>15000000</v>
      </c>
      <c r="O55" s="99">
        <f t="shared" si="0"/>
        <v>75</v>
      </c>
      <c r="P55" s="106">
        <f>P56</f>
        <v>0</v>
      </c>
      <c r="Q55" s="95">
        <f t="shared" si="1"/>
        <v>0</v>
      </c>
      <c r="R55" s="106">
        <f>R56</f>
        <v>15000000</v>
      </c>
      <c r="S55" s="95">
        <f t="shared" si="2"/>
        <v>75</v>
      </c>
      <c r="T55" s="96">
        <f>T56</f>
        <v>75</v>
      </c>
      <c r="U55" s="10"/>
      <c r="V55" s="10"/>
      <c r="W55" s="133"/>
    </row>
    <row r="56" spans="1:23" ht="15" customHeight="1" x14ac:dyDescent="0.25">
      <c r="A56" s="10"/>
      <c r="B56" s="10"/>
      <c r="C56" s="10"/>
      <c r="D56" s="10"/>
      <c r="E56" s="10"/>
      <c r="F56" s="48"/>
      <c r="G56" s="48"/>
      <c r="H56" s="48"/>
      <c r="I56" s="48"/>
      <c r="J56" s="48" t="s">
        <v>18</v>
      </c>
      <c r="K56" s="78" t="s">
        <v>58</v>
      </c>
      <c r="L56" s="10"/>
      <c r="M56" s="107">
        <v>20000000</v>
      </c>
      <c r="N56" s="94">
        <f>Mei!R56</f>
        <v>15000000</v>
      </c>
      <c r="O56" s="99">
        <f t="shared" si="0"/>
        <v>75</v>
      </c>
      <c r="P56" s="26"/>
      <c r="Q56" s="99">
        <f t="shared" si="1"/>
        <v>0</v>
      </c>
      <c r="R56" s="108">
        <f>N56+P56</f>
        <v>15000000</v>
      </c>
      <c r="S56" s="99">
        <f t="shared" si="2"/>
        <v>75</v>
      </c>
      <c r="T56" s="100">
        <f>3/4*100</f>
        <v>75</v>
      </c>
      <c r="U56" s="10"/>
      <c r="V56" s="10"/>
      <c r="W56" s="133"/>
    </row>
    <row r="57" spans="1:23" ht="9.9499999999999993" customHeight="1" x14ac:dyDescent="0.25">
      <c r="A57" s="10"/>
      <c r="B57" s="10"/>
      <c r="C57" s="10"/>
      <c r="D57" s="10"/>
      <c r="E57" s="10"/>
      <c r="F57" s="48"/>
      <c r="G57" s="48"/>
      <c r="H57" s="48"/>
      <c r="I57" s="53"/>
      <c r="J57" s="53"/>
      <c r="K57" s="90"/>
      <c r="L57" s="10"/>
      <c r="M57" s="97"/>
      <c r="N57" s="94">
        <f>Mei!R57</f>
        <v>0</v>
      </c>
      <c r="O57" s="99"/>
      <c r="P57" s="98"/>
      <c r="Q57" s="99"/>
      <c r="R57" s="98"/>
      <c r="S57" s="99"/>
      <c r="T57" s="63"/>
      <c r="U57" s="10"/>
      <c r="V57" s="10"/>
      <c r="W57" s="133"/>
    </row>
    <row r="58" spans="1:23" ht="20.100000000000001" customHeight="1" x14ac:dyDescent="0.25">
      <c r="A58" s="8">
        <v>1</v>
      </c>
      <c r="B58" s="9" t="s">
        <v>17</v>
      </c>
      <c r="C58" s="9" t="s">
        <v>18</v>
      </c>
      <c r="D58" s="8">
        <v>38</v>
      </c>
      <c r="E58" s="8">
        <v>14</v>
      </c>
      <c r="F58" s="61" t="s">
        <v>21</v>
      </c>
      <c r="G58" s="61" t="s">
        <v>22</v>
      </c>
      <c r="H58" s="61" t="s">
        <v>22</v>
      </c>
      <c r="I58" s="128" t="s">
        <v>51</v>
      </c>
      <c r="J58" s="130"/>
      <c r="K58" s="88" t="s">
        <v>59</v>
      </c>
      <c r="L58" s="10"/>
      <c r="M58" s="103">
        <f>SUM(M59:M62)</f>
        <v>24000000</v>
      </c>
      <c r="N58" s="94">
        <f>Mei!R58</f>
        <v>9785000</v>
      </c>
      <c r="O58" s="99">
        <f t="shared" si="0"/>
        <v>40.770833333333336</v>
      </c>
      <c r="P58" s="104">
        <f>SUM(P59:P62)</f>
        <v>0</v>
      </c>
      <c r="Q58" s="95">
        <f t="shared" si="1"/>
        <v>0</v>
      </c>
      <c r="R58" s="104">
        <f>SUM(R59:R62)</f>
        <v>9785000</v>
      </c>
      <c r="S58" s="95">
        <f t="shared" si="2"/>
        <v>40.770833333333336</v>
      </c>
      <c r="T58" s="96">
        <f>SUM(T59:T61)/4</f>
        <v>25</v>
      </c>
      <c r="U58" s="10"/>
      <c r="V58" s="10"/>
      <c r="W58" s="133"/>
    </row>
    <row r="59" spans="1:23" ht="15" customHeight="1" x14ac:dyDescent="0.25">
      <c r="A59" s="10"/>
      <c r="B59" s="10"/>
      <c r="C59" s="10"/>
      <c r="D59" s="10"/>
      <c r="E59" s="10"/>
      <c r="F59" s="57"/>
      <c r="G59" s="57"/>
      <c r="H59" s="57"/>
      <c r="I59" s="129"/>
      <c r="J59" s="62" t="s">
        <v>34</v>
      </c>
      <c r="K59" s="89" t="s">
        <v>60</v>
      </c>
      <c r="L59" s="10"/>
      <c r="M59" s="97">
        <v>1000000</v>
      </c>
      <c r="N59" s="94">
        <f>Mei!R59</f>
        <v>0</v>
      </c>
      <c r="O59" s="99">
        <f t="shared" si="0"/>
        <v>0</v>
      </c>
      <c r="P59" s="98"/>
      <c r="Q59" s="99">
        <f t="shared" si="1"/>
        <v>0</v>
      </c>
      <c r="R59" s="98">
        <f>N59+P59</f>
        <v>0</v>
      </c>
      <c r="S59" s="99">
        <f t="shared" si="2"/>
        <v>0</v>
      </c>
      <c r="T59" s="100">
        <f>0/1*100</f>
        <v>0</v>
      </c>
      <c r="U59" s="10"/>
      <c r="V59" s="10"/>
      <c r="W59" s="133"/>
    </row>
    <row r="60" spans="1:23" ht="15" customHeight="1" x14ac:dyDescent="0.25">
      <c r="A60" s="10"/>
      <c r="B60" s="10"/>
      <c r="C60" s="10"/>
      <c r="D60" s="10"/>
      <c r="E60" s="10"/>
      <c r="F60" s="54"/>
      <c r="G60" s="54"/>
      <c r="H60" s="54"/>
      <c r="I60" s="48"/>
      <c r="J60" s="55" t="s">
        <v>35</v>
      </c>
      <c r="K60" s="73" t="s">
        <v>61</v>
      </c>
      <c r="L60" s="10"/>
      <c r="M60" s="97">
        <v>13000000</v>
      </c>
      <c r="N60" s="94">
        <f>Mei!R60</f>
        <v>9785000</v>
      </c>
      <c r="O60" s="99">
        <f t="shared" si="0"/>
        <v>75.269230769230759</v>
      </c>
      <c r="P60" s="98"/>
      <c r="Q60" s="99">
        <f t="shared" si="1"/>
        <v>0</v>
      </c>
      <c r="R60" s="98">
        <f t="shared" ref="R60:R62" si="5">N60+P60</f>
        <v>9785000</v>
      </c>
      <c r="S60" s="99">
        <f t="shared" si="2"/>
        <v>75.269230769230759</v>
      </c>
      <c r="T60" s="100">
        <f>1/1*100</f>
        <v>100</v>
      </c>
      <c r="U60" s="10"/>
      <c r="V60" s="10"/>
      <c r="W60" s="133"/>
    </row>
    <row r="61" spans="1:23" ht="15" customHeight="1" x14ac:dyDescent="0.25">
      <c r="A61" s="10"/>
      <c r="B61" s="10"/>
      <c r="C61" s="10"/>
      <c r="D61" s="10"/>
      <c r="E61" s="10"/>
      <c r="F61" s="57"/>
      <c r="G61" s="57"/>
      <c r="H61" s="57"/>
      <c r="I61" s="129"/>
      <c r="J61" s="62" t="s">
        <v>50</v>
      </c>
      <c r="K61" s="89" t="s">
        <v>62</v>
      </c>
      <c r="L61" s="10"/>
      <c r="M61" s="97">
        <v>5000000</v>
      </c>
      <c r="N61" s="94">
        <f>Mei!R61</f>
        <v>0</v>
      </c>
      <c r="O61" s="99">
        <f t="shared" si="0"/>
        <v>0</v>
      </c>
      <c r="P61" s="98"/>
      <c r="Q61" s="99">
        <f t="shared" si="1"/>
        <v>0</v>
      </c>
      <c r="R61" s="98">
        <f t="shared" si="5"/>
        <v>0</v>
      </c>
      <c r="S61" s="99">
        <f t="shared" si="2"/>
        <v>0</v>
      </c>
      <c r="T61" s="100">
        <f>0/2*100</f>
        <v>0</v>
      </c>
      <c r="U61" s="10"/>
      <c r="V61" s="10"/>
      <c r="W61" s="133"/>
    </row>
    <row r="62" spans="1:23" ht="15" customHeight="1" x14ac:dyDescent="0.25">
      <c r="A62" s="10"/>
      <c r="B62" s="10"/>
      <c r="C62" s="10"/>
      <c r="D62" s="10"/>
      <c r="E62" s="10"/>
      <c r="F62" s="57"/>
      <c r="G62" s="57"/>
      <c r="H62" s="57"/>
      <c r="I62" s="129"/>
      <c r="J62" s="62" t="s">
        <v>36</v>
      </c>
      <c r="K62" s="89" t="s">
        <v>80</v>
      </c>
      <c r="L62" s="10"/>
      <c r="M62" s="97">
        <v>5000000</v>
      </c>
      <c r="N62" s="94">
        <f>Mei!R62</f>
        <v>0</v>
      </c>
      <c r="O62" s="99">
        <v>0</v>
      </c>
      <c r="P62" s="98"/>
      <c r="Q62" s="99">
        <v>0</v>
      </c>
      <c r="R62" s="98">
        <f t="shared" si="5"/>
        <v>0</v>
      </c>
      <c r="S62" s="99">
        <f t="shared" si="2"/>
        <v>0</v>
      </c>
      <c r="T62" s="100">
        <f>0/1*100</f>
        <v>0</v>
      </c>
      <c r="U62" s="10"/>
      <c r="V62" s="10"/>
      <c r="W62" s="133"/>
    </row>
    <row r="63" spans="1:23" ht="9.9499999999999993" customHeight="1" x14ac:dyDescent="0.25">
      <c r="A63" s="10"/>
      <c r="B63" s="10"/>
      <c r="C63" s="10"/>
      <c r="D63" s="10"/>
      <c r="E63" s="10"/>
      <c r="F63" s="48"/>
      <c r="G63" s="48"/>
      <c r="H63" s="48"/>
      <c r="I63" s="53"/>
      <c r="J63" s="53"/>
      <c r="K63" s="78"/>
      <c r="L63" s="10"/>
      <c r="M63" s="97"/>
      <c r="N63" s="94">
        <f>Mei!R63</f>
        <v>0</v>
      </c>
      <c r="O63" s="99"/>
      <c r="P63" s="98"/>
      <c r="Q63" s="99"/>
      <c r="R63" s="98"/>
      <c r="S63" s="99"/>
      <c r="T63" s="63"/>
      <c r="U63" s="10"/>
      <c r="V63" s="10"/>
      <c r="W63" s="133"/>
    </row>
    <row r="64" spans="1:23" ht="20.100000000000001" customHeight="1" x14ac:dyDescent="0.25">
      <c r="A64" s="127">
        <v>1</v>
      </c>
      <c r="B64" s="127" t="s">
        <v>17</v>
      </c>
      <c r="C64" s="127" t="s">
        <v>18</v>
      </c>
      <c r="D64" s="127">
        <v>38</v>
      </c>
      <c r="E64" s="127">
        <v>14</v>
      </c>
      <c r="F64" s="42" t="s">
        <v>21</v>
      </c>
      <c r="G64" s="42" t="s">
        <v>22</v>
      </c>
      <c r="H64" s="42" t="s">
        <v>22</v>
      </c>
      <c r="I64" s="42" t="s">
        <v>78</v>
      </c>
      <c r="J64" s="42"/>
      <c r="K64" s="79" t="s">
        <v>76</v>
      </c>
      <c r="L64" s="127"/>
      <c r="M64" s="103">
        <f>SUM(M65:M66)</f>
        <v>10000000</v>
      </c>
      <c r="N64" s="94">
        <f>Mei!R64</f>
        <v>2000000</v>
      </c>
      <c r="O64" s="95">
        <f t="shared" ref="O64:O66" si="6">N64/M64*100</f>
        <v>20</v>
      </c>
      <c r="P64" s="104">
        <f>SUM(P65:P66)</f>
        <v>0</v>
      </c>
      <c r="Q64" s="95">
        <f t="shared" ref="Q64:Q66" si="7">P64/M64*100</f>
        <v>0</v>
      </c>
      <c r="R64" s="104">
        <f>SUM(R65:R66)</f>
        <v>2000000</v>
      </c>
      <c r="S64" s="95">
        <f t="shared" ref="S64:S66" si="8">R64/M64*100</f>
        <v>20</v>
      </c>
      <c r="T64" s="96">
        <f>SUM(T65:T66)/2</f>
        <v>50</v>
      </c>
      <c r="U64" s="10"/>
      <c r="V64" s="10"/>
      <c r="W64" s="133"/>
    </row>
    <row r="65" spans="1:23" ht="15" customHeight="1" x14ac:dyDescent="0.25">
      <c r="A65" s="6"/>
      <c r="B65" s="7"/>
      <c r="C65" s="7"/>
      <c r="D65" s="6"/>
      <c r="E65" s="6"/>
      <c r="F65" s="57"/>
      <c r="G65" s="57"/>
      <c r="H65" s="57"/>
      <c r="I65" s="70"/>
      <c r="J65" s="62" t="s">
        <v>34</v>
      </c>
      <c r="K65" s="89" t="s">
        <v>107</v>
      </c>
      <c r="L65" s="10"/>
      <c r="M65" s="97">
        <v>7000000</v>
      </c>
      <c r="N65" s="94">
        <f>Mei!R65</f>
        <v>0</v>
      </c>
      <c r="O65" s="99">
        <f t="shared" si="6"/>
        <v>0</v>
      </c>
      <c r="P65" s="98"/>
      <c r="Q65" s="99">
        <f t="shared" si="7"/>
        <v>0</v>
      </c>
      <c r="R65" s="98">
        <f>N65+P65</f>
        <v>0</v>
      </c>
      <c r="S65" s="99">
        <f t="shared" si="8"/>
        <v>0</v>
      </c>
      <c r="T65" s="100">
        <f>0/1*100</f>
        <v>0</v>
      </c>
      <c r="U65" s="10"/>
      <c r="V65" s="10"/>
      <c r="W65" s="133"/>
    </row>
    <row r="66" spans="1:23" ht="15" customHeight="1" x14ac:dyDescent="0.25">
      <c r="A66" s="10"/>
      <c r="B66" s="10"/>
      <c r="C66" s="10"/>
      <c r="D66" s="10"/>
      <c r="E66" s="10"/>
      <c r="F66" s="48"/>
      <c r="G66" s="48"/>
      <c r="H66" s="48"/>
      <c r="I66" s="48"/>
      <c r="J66" s="48" t="s">
        <v>30</v>
      </c>
      <c r="K66" s="78" t="s">
        <v>77</v>
      </c>
      <c r="L66" s="10"/>
      <c r="M66" s="97">
        <v>3000000</v>
      </c>
      <c r="N66" s="94">
        <f>Mei!R66</f>
        <v>2000000</v>
      </c>
      <c r="O66" s="99">
        <f t="shared" si="6"/>
        <v>66.666666666666657</v>
      </c>
      <c r="P66" s="98"/>
      <c r="Q66" s="99">
        <f t="shared" si="7"/>
        <v>0</v>
      </c>
      <c r="R66" s="98">
        <f>N66+P66</f>
        <v>2000000</v>
      </c>
      <c r="S66" s="99">
        <f t="shared" si="8"/>
        <v>66.666666666666657</v>
      </c>
      <c r="T66" s="100">
        <f>1/1*100</f>
        <v>100</v>
      </c>
      <c r="U66" s="10"/>
      <c r="V66" s="10"/>
      <c r="W66" s="133"/>
    </row>
    <row r="67" spans="1:23" ht="9.9499999999999993" customHeight="1" x14ac:dyDescent="0.25">
      <c r="A67" s="10"/>
      <c r="B67" s="10"/>
      <c r="C67" s="10"/>
      <c r="D67" s="10"/>
      <c r="E67" s="10"/>
      <c r="F67" s="48"/>
      <c r="G67" s="48"/>
      <c r="H67" s="48"/>
      <c r="I67" s="53"/>
      <c r="J67" s="53"/>
      <c r="K67" s="78"/>
      <c r="L67" s="10"/>
      <c r="M67" s="97"/>
      <c r="N67" s="94">
        <f>Mei!R67</f>
        <v>0</v>
      </c>
      <c r="O67" s="99"/>
      <c r="P67" s="98"/>
      <c r="Q67" s="99"/>
      <c r="R67" s="98"/>
      <c r="S67" s="99"/>
      <c r="T67" s="63"/>
      <c r="U67" s="10"/>
      <c r="V67" s="10"/>
      <c r="W67" s="133"/>
    </row>
    <row r="68" spans="1:23" ht="30" customHeight="1" x14ac:dyDescent="0.25">
      <c r="A68" s="8">
        <v>1</v>
      </c>
      <c r="B68" s="9" t="s">
        <v>17</v>
      </c>
      <c r="C68" s="9" t="s">
        <v>18</v>
      </c>
      <c r="D68" s="8">
        <v>38</v>
      </c>
      <c r="E68" s="8">
        <v>14</v>
      </c>
      <c r="F68" s="61" t="s">
        <v>21</v>
      </c>
      <c r="G68" s="61" t="s">
        <v>22</v>
      </c>
      <c r="H68" s="61" t="s">
        <v>22</v>
      </c>
      <c r="I68" s="131" t="s">
        <v>49</v>
      </c>
      <c r="J68" s="61"/>
      <c r="K68" s="88" t="s">
        <v>63</v>
      </c>
      <c r="L68" s="10"/>
      <c r="M68" s="105">
        <f>SUM(M69:M70)</f>
        <v>19450000</v>
      </c>
      <c r="N68" s="94">
        <f>Mei!R68</f>
        <v>4050000</v>
      </c>
      <c r="O68" s="99">
        <f t="shared" si="0"/>
        <v>20.822622107969153</v>
      </c>
      <c r="P68" s="106">
        <f>SUM(P69:P70)</f>
        <v>0</v>
      </c>
      <c r="Q68" s="95">
        <f t="shared" si="1"/>
        <v>0</v>
      </c>
      <c r="R68" s="106">
        <f>SUM(R69:R70)</f>
        <v>4050000</v>
      </c>
      <c r="S68" s="95">
        <f t="shared" si="2"/>
        <v>20.822622107969153</v>
      </c>
      <c r="T68" s="96">
        <f>SUM(T69:T70)/2</f>
        <v>50</v>
      </c>
      <c r="U68" s="10"/>
      <c r="V68" s="10"/>
      <c r="W68" s="133"/>
    </row>
    <row r="69" spans="1:23" ht="15" customHeight="1" x14ac:dyDescent="0.25">
      <c r="A69" s="10"/>
      <c r="B69" s="10"/>
      <c r="C69" s="10"/>
      <c r="D69" s="10"/>
      <c r="E69" s="10"/>
      <c r="F69" s="57"/>
      <c r="G69" s="57"/>
      <c r="H69" s="57"/>
      <c r="I69" s="129"/>
      <c r="J69" s="62" t="s">
        <v>17</v>
      </c>
      <c r="K69" s="89" t="s">
        <v>66</v>
      </c>
      <c r="L69" s="10"/>
      <c r="M69" s="107">
        <v>7200000</v>
      </c>
      <c r="N69" s="94">
        <f>Mei!R69</f>
        <v>1800000</v>
      </c>
      <c r="O69" s="99">
        <f t="shared" si="0"/>
        <v>25</v>
      </c>
      <c r="P69" s="26"/>
      <c r="Q69" s="99">
        <f t="shared" si="1"/>
        <v>0</v>
      </c>
      <c r="R69" s="108">
        <f>N69+P69</f>
        <v>1800000</v>
      </c>
      <c r="S69" s="99">
        <f t="shared" si="2"/>
        <v>25</v>
      </c>
      <c r="T69" s="100">
        <f>6/24*100</f>
        <v>25</v>
      </c>
      <c r="U69" s="10"/>
      <c r="V69" s="10"/>
      <c r="W69" s="133"/>
    </row>
    <row r="70" spans="1:23" ht="15" customHeight="1" x14ac:dyDescent="0.25">
      <c r="A70" s="63"/>
      <c r="B70" s="63"/>
      <c r="C70" s="63"/>
      <c r="D70" s="63"/>
      <c r="E70" s="63"/>
      <c r="F70" s="57"/>
      <c r="G70" s="57"/>
      <c r="H70" s="57"/>
      <c r="I70" s="70"/>
      <c r="J70" s="62" t="s">
        <v>34</v>
      </c>
      <c r="K70" s="89" t="s">
        <v>81</v>
      </c>
      <c r="L70" s="10"/>
      <c r="M70" s="107">
        <v>12250000</v>
      </c>
      <c r="N70" s="94">
        <f>Mei!R70</f>
        <v>2250000</v>
      </c>
      <c r="O70" s="99">
        <f t="shared" si="0"/>
        <v>18.367346938775512</v>
      </c>
      <c r="P70" s="26"/>
      <c r="Q70" s="99">
        <f t="shared" si="1"/>
        <v>0</v>
      </c>
      <c r="R70" s="108">
        <f>N70+P70</f>
        <v>2250000</v>
      </c>
      <c r="S70" s="99">
        <f t="shared" si="2"/>
        <v>18.367346938775512</v>
      </c>
      <c r="T70" s="100">
        <f>9/12*100</f>
        <v>75</v>
      </c>
      <c r="U70" s="10"/>
      <c r="V70" s="10"/>
      <c r="W70" s="133"/>
    </row>
    <row r="71" spans="1:23" ht="9.9499999999999993" customHeight="1" x14ac:dyDescent="0.25">
      <c r="A71" s="10"/>
      <c r="B71" s="10"/>
      <c r="C71" s="10"/>
      <c r="D71" s="10"/>
      <c r="E71" s="10"/>
      <c r="F71" s="48"/>
      <c r="G71" s="48"/>
      <c r="H71" s="48"/>
      <c r="I71" s="53"/>
      <c r="J71" s="53"/>
      <c r="K71" s="78"/>
      <c r="L71" s="10"/>
      <c r="M71" s="97"/>
      <c r="N71" s="94">
        <f>Mei!R71</f>
        <v>0</v>
      </c>
      <c r="O71" s="99"/>
      <c r="P71" s="98"/>
      <c r="Q71" s="99"/>
      <c r="R71" s="98"/>
      <c r="S71" s="99"/>
      <c r="T71" s="63"/>
      <c r="U71" s="10"/>
      <c r="V71" s="10"/>
      <c r="W71" s="133"/>
    </row>
    <row r="72" spans="1:23" ht="30" customHeight="1" x14ac:dyDescent="0.25">
      <c r="A72" s="8">
        <v>1</v>
      </c>
      <c r="B72" s="9" t="s">
        <v>17</v>
      </c>
      <c r="C72" s="9" t="s">
        <v>18</v>
      </c>
      <c r="D72" s="8">
        <v>38</v>
      </c>
      <c r="E72" s="8">
        <v>14</v>
      </c>
      <c r="F72" s="42" t="s">
        <v>21</v>
      </c>
      <c r="G72" s="42" t="s">
        <v>22</v>
      </c>
      <c r="H72" s="42" t="s">
        <v>22</v>
      </c>
      <c r="I72" s="42" t="s">
        <v>108</v>
      </c>
      <c r="J72" s="44"/>
      <c r="K72" s="79" t="s">
        <v>109</v>
      </c>
      <c r="L72" s="10"/>
      <c r="M72" s="103">
        <f>M73</f>
        <v>500000</v>
      </c>
      <c r="N72" s="94">
        <f>Mei!R72</f>
        <v>0</v>
      </c>
      <c r="O72" s="99">
        <f t="shared" si="0"/>
        <v>0</v>
      </c>
      <c r="P72" s="104">
        <f>P73</f>
        <v>0</v>
      </c>
      <c r="Q72" s="95">
        <f t="shared" si="1"/>
        <v>0</v>
      </c>
      <c r="R72" s="104">
        <f>R73</f>
        <v>0</v>
      </c>
      <c r="S72" s="95">
        <f t="shared" si="2"/>
        <v>0</v>
      </c>
      <c r="T72" s="96">
        <v>0</v>
      </c>
      <c r="U72" s="10"/>
      <c r="V72" s="10"/>
      <c r="W72" s="133"/>
    </row>
    <row r="73" spans="1:23" ht="15" customHeight="1" x14ac:dyDescent="0.25">
      <c r="A73" s="10"/>
      <c r="B73" s="10"/>
      <c r="C73" s="10"/>
      <c r="D73" s="10"/>
      <c r="E73" s="10"/>
      <c r="F73" s="48"/>
      <c r="G73" s="48"/>
      <c r="H73" s="48"/>
      <c r="I73" s="53"/>
      <c r="J73" s="55" t="s">
        <v>17</v>
      </c>
      <c r="K73" s="82" t="s">
        <v>110</v>
      </c>
      <c r="L73" s="10"/>
      <c r="M73" s="97">
        <v>500000</v>
      </c>
      <c r="N73" s="94">
        <f>Mei!R73</f>
        <v>0</v>
      </c>
      <c r="O73" s="99">
        <f t="shared" si="0"/>
        <v>0</v>
      </c>
      <c r="P73" s="26"/>
      <c r="Q73" s="99">
        <f t="shared" si="1"/>
        <v>0</v>
      </c>
      <c r="R73" s="98">
        <f>N73+P73</f>
        <v>0</v>
      </c>
      <c r="S73" s="99">
        <f t="shared" si="2"/>
        <v>0</v>
      </c>
      <c r="T73" s="100">
        <f>0/1*100</f>
        <v>0</v>
      </c>
      <c r="U73" s="10"/>
      <c r="V73" s="160"/>
      <c r="W73" s="133"/>
    </row>
    <row r="74" spans="1:23" ht="9.9499999999999993" customHeight="1" x14ac:dyDescent="0.25">
      <c r="A74" s="10"/>
      <c r="B74" s="10"/>
      <c r="C74" s="10"/>
      <c r="D74" s="10"/>
      <c r="E74" s="10"/>
      <c r="F74" s="48"/>
      <c r="G74" s="48"/>
      <c r="H74" s="48"/>
      <c r="I74" s="53"/>
      <c r="J74" s="59"/>
      <c r="K74" s="91"/>
      <c r="L74" s="166"/>
      <c r="M74" s="115"/>
      <c r="N74" s="94">
        <f>Mei!R74</f>
        <v>0</v>
      </c>
      <c r="O74" s="99"/>
      <c r="P74" s="117"/>
      <c r="Q74" s="99"/>
      <c r="R74" s="117"/>
      <c r="S74" s="99"/>
      <c r="T74" s="63"/>
      <c r="U74" s="10"/>
      <c r="V74" s="10"/>
      <c r="W74" s="133"/>
    </row>
    <row r="75" spans="1:23" ht="20.100000000000001" customHeight="1" x14ac:dyDescent="0.25">
      <c r="A75" s="8">
        <v>1</v>
      </c>
      <c r="B75" s="9" t="s">
        <v>17</v>
      </c>
      <c r="C75" s="9" t="s">
        <v>18</v>
      </c>
      <c r="D75" s="8">
        <v>38</v>
      </c>
      <c r="E75" s="8">
        <v>14</v>
      </c>
      <c r="F75" s="42" t="s">
        <v>21</v>
      </c>
      <c r="G75" s="42" t="s">
        <v>22</v>
      </c>
      <c r="H75" s="42" t="s">
        <v>24</v>
      </c>
      <c r="I75" s="42"/>
      <c r="J75" s="44"/>
      <c r="K75" s="79" t="s">
        <v>25</v>
      </c>
      <c r="L75" s="10"/>
      <c r="M75" s="105">
        <f>M79+M76+M83+M86+M89</f>
        <v>68700000</v>
      </c>
      <c r="N75" s="94">
        <f>Mei!R75</f>
        <v>0</v>
      </c>
      <c r="O75" s="99">
        <f t="shared" si="0"/>
        <v>0</v>
      </c>
      <c r="P75" s="106">
        <f>P79+P76+P83+P86+P89</f>
        <v>17680000</v>
      </c>
      <c r="Q75" s="95">
        <f t="shared" si="1"/>
        <v>25.735080058224163</v>
      </c>
      <c r="R75" s="106">
        <f>R79+R76+R83+R86+R89</f>
        <v>17680000</v>
      </c>
      <c r="S75" s="95">
        <f t="shared" si="2"/>
        <v>25.735080058224163</v>
      </c>
      <c r="T75" s="96">
        <f>(T79+T76+T83+T86+T89)/6</f>
        <v>27.777777777777775</v>
      </c>
      <c r="U75" s="10"/>
      <c r="V75" s="10"/>
      <c r="W75" s="133"/>
    </row>
    <row r="76" spans="1:23" ht="20.100000000000001" customHeight="1" x14ac:dyDescent="0.25">
      <c r="A76" s="8">
        <v>1</v>
      </c>
      <c r="B76" s="9" t="s">
        <v>17</v>
      </c>
      <c r="C76" s="9" t="s">
        <v>18</v>
      </c>
      <c r="D76" s="8">
        <v>38</v>
      </c>
      <c r="E76" s="8">
        <v>14</v>
      </c>
      <c r="F76" s="42" t="s">
        <v>21</v>
      </c>
      <c r="G76" s="42" t="s">
        <v>22</v>
      </c>
      <c r="H76" s="42" t="s">
        <v>24</v>
      </c>
      <c r="I76" s="42" t="s">
        <v>44</v>
      </c>
      <c r="J76" s="44"/>
      <c r="K76" s="80" t="s">
        <v>111</v>
      </c>
      <c r="L76" s="10"/>
      <c r="M76" s="103">
        <f>M77</f>
        <v>7500000</v>
      </c>
      <c r="N76" s="94">
        <f>Mei!R76</f>
        <v>0</v>
      </c>
      <c r="O76" s="99">
        <f t="shared" si="0"/>
        <v>0</v>
      </c>
      <c r="P76" s="104">
        <f>P77</f>
        <v>0</v>
      </c>
      <c r="Q76" s="95">
        <f t="shared" si="1"/>
        <v>0</v>
      </c>
      <c r="R76" s="104">
        <f>R77</f>
        <v>0</v>
      </c>
      <c r="S76" s="95">
        <f t="shared" si="2"/>
        <v>0</v>
      </c>
      <c r="T76" s="96">
        <f>T77</f>
        <v>0</v>
      </c>
      <c r="U76" s="10"/>
      <c r="V76" s="10"/>
      <c r="W76" s="133"/>
    </row>
    <row r="77" spans="1:23" ht="15" customHeight="1" x14ac:dyDescent="0.25">
      <c r="A77" s="8"/>
      <c r="B77" s="9"/>
      <c r="C77" s="9"/>
      <c r="D77" s="8"/>
      <c r="E77" s="8"/>
      <c r="F77" s="42"/>
      <c r="G77" s="42"/>
      <c r="H77" s="42"/>
      <c r="I77" s="48"/>
      <c r="J77" s="55" t="s">
        <v>35</v>
      </c>
      <c r="K77" s="73" t="s">
        <v>112</v>
      </c>
      <c r="L77" s="10"/>
      <c r="M77" s="97">
        <v>7500000</v>
      </c>
      <c r="N77" s="94">
        <f>Mei!R77</f>
        <v>0</v>
      </c>
      <c r="O77" s="99">
        <f t="shared" ref="O77:O90" si="9">N77/M77*100</f>
        <v>0</v>
      </c>
      <c r="P77" s="98"/>
      <c r="Q77" s="99">
        <f t="shared" ref="Q77:Q90" si="10">P77/M77*100</f>
        <v>0</v>
      </c>
      <c r="R77" s="98">
        <f>N77+P77</f>
        <v>0</v>
      </c>
      <c r="S77" s="99">
        <f t="shared" ref="S77:S90" si="11">R77/M77*100</f>
        <v>0</v>
      </c>
      <c r="T77" s="100">
        <f>0/3*100</f>
        <v>0</v>
      </c>
      <c r="U77" s="10"/>
      <c r="V77" s="10"/>
      <c r="W77" s="133"/>
    </row>
    <row r="78" spans="1:23" ht="9.9499999999999993" customHeight="1" x14ac:dyDescent="0.25">
      <c r="A78" s="8"/>
      <c r="B78" s="9"/>
      <c r="C78" s="9"/>
      <c r="D78" s="8"/>
      <c r="E78" s="8"/>
      <c r="F78" s="42"/>
      <c r="G78" s="42"/>
      <c r="H78" s="42"/>
      <c r="I78" s="55"/>
      <c r="J78" s="55"/>
      <c r="K78" s="78"/>
      <c r="L78" s="10"/>
      <c r="M78" s="97"/>
      <c r="N78" s="94">
        <f>Mei!R78</f>
        <v>0</v>
      </c>
      <c r="O78" s="99"/>
      <c r="P78" s="26"/>
      <c r="Q78" s="95"/>
      <c r="R78" s="98"/>
      <c r="S78" s="95"/>
      <c r="T78" s="100"/>
      <c r="U78" s="10"/>
      <c r="V78" s="10"/>
      <c r="W78" s="133"/>
    </row>
    <row r="79" spans="1:23" s="174" customFormat="1" ht="20.100000000000001" customHeight="1" x14ac:dyDescent="0.25">
      <c r="A79" s="8">
        <v>1</v>
      </c>
      <c r="B79" s="9" t="s">
        <v>17</v>
      </c>
      <c r="C79" s="9" t="s">
        <v>18</v>
      </c>
      <c r="D79" s="8">
        <v>38</v>
      </c>
      <c r="E79" s="8">
        <v>14</v>
      </c>
      <c r="F79" s="42" t="s">
        <v>21</v>
      </c>
      <c r="G79" s="42" t="s">
        <v>22</v>
      </c>
      <c r="H79" s="42" t="s">
        <v>24</v>
      </c>
      <c r="I79" s="60" t="s">
        <v>113</v>
      </c>
      <c r="J79" s="60"/>
      <c r="K79" s="79" t="s">
        <v>45</v>
      </c>
      <c r="L79" s="127"/>
      <c r="M79" s="103">
        <f>SUM(M80:M81)</f>
        <v>12200000</v>
      </c>
      <c r="N79" s="94">
        <f>Mei!R79</f>
        <v>0</v>
      </c>
      <c r="O79" s="95">
        <f t="shared" si="9"/>
        <v>0</v>
      </c>
      <c r="P79" s="147">
        <f>SUM(P80:P81)</f>
        <v>0</v>
      </c>
      <c r="Q79" s="95">
        <f t="shared" si="10"/>
        <v>0</v>
      </c>
      <c r="R79" s="104">
        <f>SUM(R80:R81)</f>
        <v>0</v>
      </c>
      <c r="S79" s="95">
        <f t="shared" si="11"/>
        <v>0</v>
      </c>
      <c r="T79" s="96">
        <f>SUM(T80:T81)/2</f>
        <v>0</v>
      </c>
      <c r="U79" s="127"/>
      <c r="V79" s="127"/>
      <c r="W79" s="173"/>
    </row>
    <row r="80" spans="1:23" ht="15" customHeight="1" x14ac:dyDescent="0.25">
      <c r="A80" s="6"/>
      <c r="B80" s="7"/>
      <c r="C80" s="7"/>
      <c r="D80" s="6"/>
      <c r="E80" s="6"/>
      <c r="F80" s="48"/>
      <c r="G80" s="48"/>
      <c r="H80" s="48"/>
      <c r="I80" s="55"/>
      <c r="J80" s="55" t="s">
        <v>18</v>
      </c>
      <c r="K80" s="78" t="s">
        <v>114</v>
      </c>
      <c r="L80" s="10"/>
      <c r="M80" s="97">
        <v>11200000</v>
      </c>
      <c r="N80" s="94">
        <f>Mei!R80</f>
        <v>0</v>
      </c>
      <c r="O80" s="99">
        <f t="shared" si="9"/>
        <v>0</v>
      </c>
      <c r="P80" s="26"/>
      <c r="Q80" s="99">
        <f t="shared" si="10"/>
        <v>0</v>
      </c>
      <c r="R80" s="98">
        <f>N80+P80</f>
        <v>0</v>
      </c>
      <c r="S80" s="99">
        <f t="shared" si="11"/>
        <v>0</v>
      </c>
      <c r="T80" s="100">
        <f>0/4*100</f>
        <v>0</v>
      </c>
      <c r="U80" s="10"/>
      <c r="V80" s="10"/>
      <c r="W80" s="133"/>
    </row>
    <row r="81" spans="1:23" ht="15" customHeight="1" x14ac:dyDescent="0.25">
      <c r="A81" s="6"/>
      <c r="B81" s="7"/>
      <c r="C81" s="7"/>
      <c r="D81" s="6"/>
      <c r="E81" s="6"/>
      <c r="F81" s="48"/>
      <c r="G81" s="48"/>
      <c r="H81" s="48"/>
      <c r="I81" s="55"/>
      <c r="J81" s="55" t="s">
        <v>17</v>
      </c>
      <c r="K81" s="78" t="s">
        <v>115</v>
      </c>
      <c r="L81" s="10"/>
      <c r="M81" s="97">
        <v>1000000</v>
      </c>
      <c r="N81" s="94">
        <f>Mei!R81</f>
        <v>0</v>
      </c>
      <c r="O81" s="99">
        <f t="shared" si="9"/>
        <v>0</v>
      </c>
      <c r="P81" s="26"/>
      <c r="Q81" s="95">
        <f t="shared" si="10"/>
        <v>0</v>
      </c>
      <c r="R81" s="98">
        <f>N81+P81</f>
        <v>0</v>
      </c>
      <c r="S81" s="95">
        <f t="shared" si="11"/>
        <v>0</v>
      </c>
      <c r="T81" s="100">
        <f>0/1*100</f>
        <v>0</v>
      </c>
      <c r="U81" s="10"/>
      <c r="V81" s="10"/>
      <c r="W81" s="133"/>
    </row>
    <row r="82" spans="1:23" ht="9.9499999999999993" customHeight="1" x14ac:dyDescent="0.25">
      <c r="A82" s="8"/>
      <c r="B82" s="9"/>
      <c r="C82" s="9"/>
      <c r="D82" s="8"/>
      <c r="E82" s="8"/>
      <c r="F82" s="42"/>
      <c r="G82" s="42"/>
      <c r="H82" s="42"/>
      <c r="I82" s="55"/>
      <c r="J82" s="55"/>
      <c r="K82" s="78"/>
      <c r="L82" s="10"/>
      <c r="M82" s="97"/>
      <c r="N82" s="94">
        <f>Mei!R82</f>
        <v>0</v>
      </c>
      <c r="O82" s="99"/>
      <c r="P82" s="26"/>
      <c r="Q82" s="95"/>
      <c r="R82" s="98"/>
      <c r="S82" s="95"/>
      <c r="T82" s="100"/>
      <c r="U82" s="10"/>
      <c r="V82" s="10"/>
      <c r="W82" s="133"/>
    </row>
    <row r="83" spans="1:23" s="174" customFormat="1" ht="30" customHeight="1" x14ac:dyDescent="0.25">
      <c r="A83" s="8">
        <v>1</v>
      </c>
      <c r="B83" s="9" t="s">
        <v>17</v>
      </c>
      <c r="C83" s="9" t="s">
        <v>18</v>
      </c>
      <c r="D83" s="8">
        <v>38</v>
      </c>
      <c r="E83" s="8">
        <v>14</v>
      </c>
      <c r="F83" s="42" t="s">
        <v>21</v>
      </c>
      <c r="G83" s="42" t="s">
        <v>22</v>
      </c>
      <c r="H83" s="42" t="s">
        <v>24</v>
      </c>
      <c r="I83" s="60" t="s">
        <v>78</v>
      </c>
      <c r="J83" s="60"/>
      <c r="K83" s="79" t="s">
        <v>116</v>
      </c>
      <c r="L83" s="127"/>
      <c r="M83" s="103">
        <f>M84</f>
        <v>26000000</v>
      </c>
      <c r="N83" s="94">
        <f>Mei!R83</f>
        <v>0</v>
      </c>
      <c r="O83" s="95">
        <f t="shared" si="9"/>
        <v>0</v>
      </c>
      <c r="P83" s="147">
        <f>P84</f>
        <v>0</v>
      </c>
      <c r="Q83" s="95">
        <f t="shared" si="10"/>
        <v>0</v>
      </c>
      <c r="R83" s="104">
        <f>R84</f>
        <v>0</v>
      </c>
      <c r="S83" s="95">
        <f t="shared" si="11"/>
        <v>0</v>
      </c>
      <c r="T83" s="96">
        <f>T84</f>
        <v>0</v>
      </c>
      <c r="U83" s="127"/>
      <c r="V83" s="127"/>
      <c r="W83" s="173"/>
    </row>
    <row r="84" spans="1:23" ht="15" customHeight="1" x14ac:dyDescent="0.25">
      <c r="A84" s="6"/>
      <c r="B84" s="7"/>
      <c r="C84" s="7"/>
      <c r="D84" s="6"/>
      <c r="E84" s="6"/>
      <c r="F84" s="48"/>
      <c r="G84" s="48"/>
      <c r="H84" s="48"/>
      <c r="I84" s="55"/>
      <c r="J84" s="55" t="s">
        <v>117</v>
      </c>
      <c r="K84" s="78" t="s">
        <v>118</v>
      </c>
      <c r="L84" s="10"/>
      <c r="M84" s="97">
        <v>26000000</v>
      </c>
      <c r="N84" s="94">
        <f>Mei!R84</f>
        <v>0</v>
      </c>
      <c r="O84" s="99">
        <f t="shared" si="9"/>
        <v>0</v>
      </c>
      <c r="P84" s="26"/>
      <c r="Q84" s="95">
        <f t="shared" si="10"/>
        <v>0</v>
      </c>
      <c r="R84" s="98">
        <f>N84+P84</f>
        <v>0</v>
      </c>
      <c r="S84" s="95">
        <f t="shared" si="11"/>
        <v>0</v>
      </c>
      <c r="T84" s="100">
        <f>0/2*100</f>
        <v>0</v>
      </c>
      <c r="U84" s="10"/>
      <c r="V84" s="10"/>
      <c r="W84" s="133"/>
    </row>
    <row r="85" spans="1:23" ht="9.9499999999999993" customHeight="1" x14ac:dyDescent="0.25">
      <c r="A85" s="8"/>
      <c r="B85" s="9"/>
      <c r="C85" s="9"/>
      <c r="D85" s="8"/>
      <c r="E85" s="8"/>
      <c r="F85" s="42"/>
      <c r="G85" s="42"/>
      <c r="H85" s="42"/>
      <c r="I85" s="55"/>
      <c r="J85" s="55"/>
      <c r="K85" s="78"/>
      <c r="L85" s="10"/>
      <c r="M85" s="97"/>
      <c r="N85" s="94">
        <f>Mei!R85</f>
        <v>0</v>
      </c>
      <c r="O85" s="99"/>
      <c r="P85" s="26"/>
      <c r="Q85" s="95"/>
      <c r="R85" s="98"/>
      <c r="S85" s="95"/>
      <c r="T85" s="100"/>
      <c r="U85" s="10"/>
      <c r="V85" s="10"/>
      <c r="W85" s="133"/>
    </row>
    <row r="86" spans="1:23" s="174" customFormat="1" ht="30" customHeight="1" x14ac:dyDescent="0.25">
      <c r="A86" s="8">
        <v>1</v>
      </c>
      <c r="B86" s="9" t="s">
        <v>17</v>
      </c>
      <c r="C86" s="9" t="s">
        <v>18</v>
      </c>
      <c r="D86" s="8">
        <v>38</v>
      </c>
      <c r="E86" s="8">
        <v>14</v>
      </c>
      <c r="F86" s="42" t="s">
        <v>21</v>
      </c>
      <c r="G86" s="42" t="s">
        <v>22</v>
      </c>
      <c r="H86" s="42" t="s">
        <v>24</v>
      </c>
      <c r="I86" s="60" t="s">
        <v>119</v>
      </c>
      <c r="J86" s="60"/>
      <c r="K86" s="79" t="s">
        <v>120</v>
      </c>
      <c r="L86" s="127"/>
      <c r="M86" s="103">
        <f>M87</f>
        <v>14000000</v>
      </c>
      <c r="N86" s="94">
        <f>Mei!R86</f>
        <v>0</v>
      </c>
      <c r="O86" s="95">
        <f t="shared" si="9"/>
        <v>0</v>
      </c>
      <c r="P86" s="147">
        <f>P87</f>
        <v>12180000</v>
      </c>
      <c r="Q86" s="95">
        <f t="shared" si="10"/>
        <v>87</v>
      </c>
      <c r="R86" s="104">
        <f>R87</f>
        <v>12180000</v>
      </c>
      <c r="S86" s="95">
        <f t="shared" si="11"/>
        <v>87</v>
      </c>
      <c r="T86" s="96">
        <f>T87</f>
        <v>100</v>
      </c>
      <c r="U86" s="127"/>
      <c r="V86" s="127"/>
      <c r="W86" s="173"/>
    </row>
    <row r="87" spans="1:23" ht="15" customHeight="1" x14ac:dyDescent="0.25">
      <c r="A87" s="6"/>
      <c r="B87" s="7"/>
      <c r="C87" s="7"/>
      <c r="D87" s="6"/>
      <c r="E87" s="6"/>
      <c r="F87" s="157"/>
      <c r="G87" s="157"/>
      <c r="H87" s="157"/>
      <c r="I87" s="48"/>
      <c r="J87" s="48" t="s">
        <v>17</v>
      </c>
      <c r="K87" s="78" t="s">
        <v>121</v>
      </c>
      <c r="L87" s="10"/>
      <c r="M87" s="107">
        <v>14000000</v>
      </c>
      <c r="N87" s="94">
        <f>Mei!R87</f>
        <v>0</v>
      </c>
      <c r="O87" s="99">
        <f t="shared" si="9"/>
        <v>0</v>
      </c>
      <c r="P87" s="108">
        <v>12180000</v>
      </c>
      <c r="Q87" s="99">
        <f t="shared" si="10"/>
        <v>87</v>
      </c>
      <c r="R87" s="108">
        <f>N87+P87</f>
        <v>12180000</v>
      </c>
      <c r="S87" s="99">
        <f t="shared" si="11"/>
        <v>87</v>
      </c>
      <c r="T87" s="100">
        <f>2/2*100</f>
        <v>100</v>
      </c>
      <c r="U87" s="10"/>
      <c r="V87" s="10"/>
      <c r="W87" s="133"/>
    </row>
    <row r="88" spans="1:23" ht="9.9499999999999993" customHeight="1" x14ac:dyDescent="0.25">
      <c r="A88" s="63"/>
      <c r="B88" s="63"/>
      <c r="C88" s="63"/>
      <c r="D88" s="63"/>
      <c r="E88" s="63"/>
      <c r="F88" s="42"/>
      <c r="G88" s="42"/>
      <c r="H88" s="42"/>
      <c r="I88" s="42"/>
      <c r="J88" s="65"/>
      <c r="K88" s="92"/>
      <c r="L88" s="10"/>
      <c r="M88" s="107"/>
      <c r="N88" s="94">
        <f>Mei!R88</f>
        <v>0</v>
      </c>
      <c r="O88" s="99"/>
      <c r="P88" s="26"/>
      <c r="Q88" s="95"/>
      <c r="R88" s="108"/>
      <c r="S88" s="95"/>
      <c r="T88" s="100"/>
      <c r="U88" s="10"/>
      <c r="V88" s="10"/>
      <c r="W88" s="133"/>
    </row>
    <row r="89" spans="1:23" s="174" customFormat="1" ht="30" customHeight="1" x14ac:dyDescent="0.25">
      <c r="A89" s="8">
        <v>1</v>
      </c>
      <c r="B89" s="9" t="s">
        <v>17</v>
      </c>
      <c r="C89" s="9" t="s">
        <v>18</v>
      </c>
      <c r="D89" s="8">
        <v>38</v>
      </c>
      <c r="E89" s="8">
        <v>14</v>
      </c>
      <c r="F89" s="42" t="s">
        <v>21</v>
      </c>
      <c r="G89" s="42" t="s">
        <v>22</v>
      </c>
      <c r="H89" s="42" t="s">
        <v>24</v>
      </c>
      <c r="I89" s="42" t="s">
        <v>122</v>
      </c>
      <c r="J89" s="71"/>
      <c r="K89" s="150" t="s">
        <v>123</v>
      </c>
      <c r="L89" s="127"/>
      <c r="M89" s="105">
        <f>M90</f>
        <v>9000000</v>
      </c>
      <c r="N89" s="94">
        <f>Mei!R89</f>
        <v>0</v>
      </c>
      <c r="O89" s="95">
        <f t="shared" si="9"/>
        <v>0</v>
      </c>
      <c r="P89" s="147">
        <f>P90</f>
        <v>5500000</v>
      </c>
      <c r="Q89" s="95">
        <f t="shared" si="10"/>
        <v>61.111111111111114</v>
      </c>
      <c r="R89" s="106">
        <f>R90</f>
        <v>5500000</v>
      </c>
      <c r="S89" s="95">
        <f t="shared" si="11"/>
        <v>61.111111111111114</v>
      </c>
      <c r="T89" s="96">
        <f>T90</f>
        <v>66.666666666666657</v>
      </c>
      <c r="U89" s="127"/>
      <c r="V89" s="127"/>
      <c r="W89" s="173"/>
    </row>
    <row r="90" spans="1:23" ht="15" customHeight="1" x14ac:dyDescent="0.25">
      <c r="A90" s="63"/>
      <c r="B90" s="63"/>
      <c r="C90" s="63"/>
      <c r="D90" s="63"/>
      <c r="E90" s="63"/>
      <c r="F90" s="48"/>
      <c r="G90" s="48"/>
      <c r="H90" s="48"/>
      <c r="I90" s="48"/>
      <c r="J90" s="65" t="s">
        <v>34</v>
      </c>
      <c r="K90" s="92" t="s">
        <v>124</v>
      </c>
      <c r="L90" s="10"/>
      <c r="M90" s="107">
        <v>9000000</v>
      </c>
      <c r="N90" s="94">
        <f>Mei!R90</f>
        <v>0</v>
      </c>
      <c r="O90" s="99">
        <f t="shared" si="9"/>
        <v>0</v>
      </c>
      <c r="P90" s="26">
        <v>5500000</v>
      </c>
      <c r="Q90" s="99">
        <f t="shared" si="10"/>
        <v>61.111111111111114</v>
      </c>
      <c r="R90" s="108">
        <f>N90+P90</f>
        <v>5500000</v>
      </c>
      <c r="S90" s="99">
        <f t="shared" si="11"/>
        <v>61.111111111111114</v>
      </c>
      <c r="T90" s="100">
        <f>2/3*100</f>
        <v>66.666666666666657</v>
      </c>
      <c r="U90" s="10"/>
      <c r="V90" s="10"/>
      <c r="W90" s="133"/>
    </row>
    <row r="91" spans="1:23" ht="9.9499999999999993" customHeight="1" x14ac:dyDescent="0.25">
      <c r="A91" s="63"/>
      <c r="B91" s="63"/>
      <c r="C91" s="63"/>
      <c r="D91" s="63"/>
      <c r="E91" s="63"/>
      <c r="F91" s="42"/>
      <c r="G91" s="42"/>
      <c r="H91" s="42"/>
      <c r="I91" s="42"/>
      <c r="J91" s="65"/>
      <c r="K91" s="92"/>
      <c r="L91" s="10"/>
      <c r="M91" s="107"/>
      <c r="N91" s="94"/>
      <c r="O91" s="99"/>
      <c r="P91" s="26"/>
      <c r="Q91" s="99"/>
      <c r="R91" s="108"/>
      <c r="S91" s="99"/>
      <c r="T91" s="100"/>
      <c r="U91" s="10"/>
      <c r="V91" s="10"/>
      <c r="W91" s="133"/>
    </row>
    <row r="92" spans="1:23" ht="12" customHeight="1" x14ac:dyDescent="0.25">
      <c r="A92" s="171"/>
      <c r="B92" s="171"/>
      <c r="C92" s="171"/>
      <c r="D92" s="171"/>
      <c r="E92" s="171"/>
      <c r="F92" s="171"/>
      <c r="G92" s="171"/>
      <c r="H92" s="171"/>
      <c r="I92" s="171"/>
      <c r="J92" s="171"/>
      <c r="K92" s="171"/>
      <c r="L92" s="171"/>
      <c r="M92" s="175"/>
      <c r="N92" s="171"/>
      <c r="O92" s="171"/>
      <c r="P92" s="171"/>
      <c r="Q92" s="171"/>
      <c r="R92" s="171"/>
      <c r="S92" s="171"/>
      <c r="T92" s="171"/>
      <c r="U92" s="171"/>
      <c r="V92" s="171"/>
      <c r="W92" s="171"/>
    </row>
    <row r="93" spans="1:23" x14ac:dyDescent="0.25">
      <c r="A93" s="171"/>
      <c r="B93" s="171"/>
      <c r="C93" s="171"/>
      <c r="D93" s="171"/>
      <c r="E93" s="171"/>
      <c r="F93" s="171"/>
      <c r="G93" s="171"/>
      <c r="H93" s="171"/>
      <c r="I93" s="171"/>
      <c r="J93" s="171"/>
      <c r="K93" s="171"/>
      <c r="L93" s="171"/>
      <c r="M93" s="175"/>
      <c r="N93" s="171"/>
      <c r="O93" s="171"/>
      <c r="P93" s="192" t="s">
        <v>131</v>
      </c>
      <c r="Q93" s="192"/>
      <c r="R93" s="192"/>
      <c r="S93" s="192"/>
      <c r="T93" s="192"/>
      <c r="U93" s="192"/>
      <c r="V93" s="192"/>
      <c r="W93" s="176"/>
    </row>
    <row r="94" spans="1:23" x14ac:dyDescent="0.25">
      <c r="A94" s="171"/>
      <c r="B94" s="171"/>
      <c r="C94" s="171"/>
      <c r="D94" s="171"/>
      <c r="E94" s="171"/>
      <c r="F94" s="171"/>
      <c r="G94" s="171"/>
      <c r="H94" s="171"/>
      <c r="I94" s="171"/>
      <c r="J94" s="171"/>
      <c r="K94" s="171"/>
      <c r="L94" s="171"/>
      <c r="M94" s="175"/>
      <c r="N94" s="171"/>
      <c r="O94" s="171"/>
      <c r="P94" s="192" t="s">
        <v>46</v>
      </c>
      <c r="Q94" s="192"/>
      <c r="R94" s="192"/>
      <c r="S94" s="192"/>
      <c r="T94" s="192"/>
      <c r="U94" s="192"/>
      <c r="V94" s="192"/>
      <c r="W94" s="176"/>
    </row>
    <row r="95" spans="1:23" x14ac:dyDescent="0.25">
      <c r="A95" s="171"/>
      <c r="B95" s="171"/>
      <c r="C95" s="171"/>
      <c r="D95" s="171"/>
      <c r="E95" s="171"/>
      <c r="F95" s="171"/>
      <c r="G95" s="171"/>
      <c r="H95" s="171"/>
      <c r="I95" s="171"/>
      <c r="J95" s="171"/>
      <c r="K95" s="171"/>
      <c r="L95" s="171"/>
      <c r="M95" s="175"/>
      <c r="N95" s="171"/>
      <c r="O95" s="171"/>
      <c r="P95" s="177"/>
      <c r="Q95" s="177"/>
      <c r="R95" s="177"/>
      <c r="S95" s="177"/>
      <c r="T95" s="177"/>
      <c r="U95" s="177"/>
      <c r="V95" s="177"/>
      <c r="W95" s="171"/>
    </row>
    <row r="96" spans="1:23" x14ac:dyDescent="0.25">
      <c r="A96" s="171"/>
      <c r="B96" s="171"/>
      <c r="C96" s="171"/>
      <c r="D96" s="171"/>
      <c r="E96" s="171"/>
      <c r="F96" s="171"/>
      <c r="G96" s="171"/>
      <c r="H96" s="171"/>
      <c r="I96" s="171"/>
      <c r="J96" s="171"/>
      <c r="K96" s="171"/>
      <c r="L96" s="171"/>
      <c r="M96" s="175"/>
      <c r="N96" s="171"/>
      <c r="O96" s="171"/>
      <c r="P96" s="177"/>
      <c r="Q96" s="177"/>
      <c r="R96" s="177"/>
      <c r="S96" s="177"/>
      <c r="T96" s="177"/>
      <c r="U96" s="177"/>
      <c r="V96" s="177"/>
      <c r="W96" s="171"/>
    </row>
    <row r="97" spans="1:23" x14ac:dyDescent="0.25">
      <c r="A97" s="171"/>
      <c r="B97" s="171"/>
      <c r="C97" s="171"/>
      <c r="D97" s="171"/>
      <c r="E97" s="171"/>
      <c r="F97" s="171"/>
      <c r="G97" s="171"/>
      <c r="H97" s="171"/>
      <c r="I97" s="171"/>
      <c r="J97" s="171"/>
      <c r="K97" s="171"/>
      <c r="L97" s="171"/>
      <c r="M97" s="175"/>
      <c r="N97" s="171"/>
      <c r="O97" s="171"/>
      <c r="P97" s="177"/>
      <c r="Q97" s="177"/>
      <c r="R97" s="177"/>
      <c r="S97" s="177"/>
      <c r="T97" s="177"/>
      <c r="U97" s="177"/>
      <c r="V97" s="177"/>
      <c r="W97" s="171"/>
    </row>
    <row r="98" spans="1:23" ht="5.25" customHeight="1" x14ac:dyDescent="0.25">
      <c r="A98" s="171"/>
      <c r="B98" s="171"/>
      <c r="C98" s="171"/>
      <c r="D98" s="171"/>
      <c r="E98" s="171"/>
      <c r="F98" s="171"/>
      <c r="G98" s="171"/>
      <c r="H98" s="171"/>
      <c r="I98" s="171"/>
      <c r="J98" s="171"/>
      <c r="K98" s="171"/>
      <c r="L98" s="171"/>
      <c r="M98" s="175"/>
      <c r="N98" s="171"/>
      <c r="O98" s="171"/>
      <c r="P98" s="177"/>
      <c r="Q98" s="177"/>
      <c r="R98" s="177"/>
      <c r="S98" s="177"/>
      <c r="T98" s="177"/>
      <c r="U98" s="177"/>
      <c r="V98" s="177"/>
      <c r="W98" s="171"/>
    </row>
    <row r="99" spans="1:23" x14ac:dyDescent="0.25">
      <c r="A99" s="171"/>
      <c r="B99" s="171"/>
      <c r="C99" s="171"/>
      <c r="D99" s="171"/>
      <c r="E99" s="171"/>
      <c r="F99" s="171"/>
      <c r="G99" s="171"/>
      <c r="H99" s="171"/>
      <c r="I99" s="171"/>
      <c r="J99" s="171"/>
      <c r="K99" s="171"/>
      <c r="L99" s="171"/>
      <c r="M99" s="175"/>
      <c r="N99" s="171"/>
      <c r="O99" s="171"/>
      <c r="P99" s="193" t="s">
        <v>70</v>
      </c>
      <c r="Q99" s="193"/>
      <c r="R99" s="193"/>
      <c r="S99" s="193"/>
      <c r="T99" s="193"/>
      <c r="U99" s="193"/>
      <c r="V99" s="193"/>
      <c r="W99" s="178"/>
    </row>
    <row r="100" spans="1:23" x14ac:dyDescent="0.25">
      <c r="A100" s="171"/>
      <c r="B100" s="171"/>
      <c r="C100" s="171"/>
      <c r="D100" s="171"/>
      <c r="E100" s="171"/>
      <c r="F100" s="171"/>
      <c r="G100" s="171"/>
      <c r="H100" s="171"/>
      <c r="I100" s="171"/>
      <c r="J100" s="171"/>
      <c r="K100" s="171"/>
      <c r="L100" s="171"/>
      <c r="M100" s="175"/>
      <c r="N100" s="171"/>
      <c r="O100" s="171"/>
      <c r="P100" s="189" t="s">
        <v>71</v>
      </c>
      <c r="Q100" s="189"/>
      <c r="R100" s="189"/>
      <c r="S100" s="189"/>
      <c r="T100" s="189"/>
      <c r="U100" s="189"/>
      <c r="V100" s="189"/>
      <c r="W100" s="179"/>
    </row>
  </sheetData>
  <mergeCells count="24">
    <mergeCell ref="R8:S8"/>
    <mergeCell ref="P100:V100"/>
    <mergeCell ref="A10:J10"/>
    <mergeCell ref="L10:L11"/>
    <mergeCell ref="A11:J11"/>
    <mergeCell ref="P93:V93"/>
    <mergeCell ref="P94:V94"/>
    <mergeCell ref="P99:V99"/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T7"/>
    <mergeCell ref="N8:O8"/>
    <mergeCell ref="P8:Q8"/>
  </mergeCells>
  <pageMargins left="0.51181102362204722" right="0.39370078740157483" top="0.39370078740157483" bottom="0.19685039370078741" header="0.31496062992125984" footer="0.31496062992125984"/>
  <pageSetup paperSize="10000" scale="7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W99"/>
  <sheetViews>
    <sheetView workbookViewId="0">
      <selection activeCell="T59" sqref="T59"/>
    </sheetView>
  </sheetViews>
  <sheetFormatPr defaultRowHeight="15" x14ac:dyDescent="0.25"/>
  <cols>
    <col min="1" max="8" width="2.7109375" style="168" customWidth="1"/>
    <col min="9" max="9" width="3.140625" style="168" customWidth="1"/>
    <col min="10" max="10" width="3.5703125" style="168" customWidth="1"/>
    <col min="11" max="11" width="51.85546875" style="168" customWidth="1"/>
    <col min="12" max="12" width="11" style="168" customWidth="1"/>
    <col min="13" max="13" width="14.5703125" style="170" customWidth="1"/>
    <col min="14" max="14" width="13" style="168" customWidth="1"/>
    <col min="15" max="15" width="7.5703125" style="168" customWidth="1"/>
    <col min="16" max="16" width="13.28515625" style="168" customWidth="1"/>
    <col min="17" max="17" width="8" style="168" customWidth="1"/>
    <col min="18" max="18" width="13" style="168" customWidth="1"/>
    <col min="19" max="19" width="9.42578125" style="168" customWidth="1"/>
    <col min="20" max="20" width="11.140625" style="168" customWidth="1"/>
    <col min="21" max="21" width="15.5703125" style="168" customWidth="1"/>
    <col min="22" max="22" width="22.42578125" style="168" customWidth="1"/>
    <col min="23" max="23" width="18.28515625" style="168" customWidth="1"/>
    <col min="24" max="24" width="15.5703125" style="168" bestFit="1" customWidth="1"/>
    <col min="25" max="25" width="12.85546875" style="168" bestFit="1" customWidth="1"/>
    <col min="26" max="16384" width="9.140625" style="168"/>
  </cols>
  <sheetData>
    <row r="1" spans="1:23" ht="16.5" x14ac:dyDescent="0.25">
      <c r="A1" s="194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67"/>
    </row>
    <row r="2" spans="1:23" ht="16.5" x14ac:dyDescent="0.25">
      <c r="A2" s="194" t="s">
        <v>72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67"/>
    </row>
    <row r="3" spans="1:23" ht="16.5" x14ac:dyDescent="0.25">
      <c r="A3" s="194" t="s">
        <v>73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67"/>
    </row>
    <row r="4" spans="1:23" ht="16.5" x14ac:dyDescent="0.25">
      <c r="A4" s="194" t="s">
        <v>93</v>
      </c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67"/>
    </row>
    <row r="5" spans="1:23" ht="18" x14ac:dyDescent="0.25">
      <c r="A5" s="169"/>
      <c r="B5" s="169"/>
      <c r="C5" s="169"/>
      <c r="D5" s="169"/>
      <c r="E5" s="169"/>
    </row>
    <row r="6" spans="1:23" x14ac:dyDescent="0.25">
      <c r="A6" s="195" t="s">
        <v>1</v>
      </c>
      <c r="B6" s="195"/>
      <c r="C6" s="195"/>
      <c r="D6" s="195"/>
      <c r="E6" s="195"/>
      <c r="F6" s="195"/>
      <c r="G6" s="195"/>
      <c r="H6" s="195"/>
      <c r="I6" s="195"/>
      <c r="J6" s="195"/>
      <c r="K6" s="195" t="s">
        <v>2</v>
      </c>
      <c r="L6" s="188" t="s">
        <v>3</v>
      </c>
      <c r="M6" s="196" t="s">
        <v>4</v>
      </c>
      <c r="N6" s="195" t="s">
        <v>5</v>
      </c>
      <c r="O6" s="195"/>
      <c r="P6" s="195"/>
      <c r="Q6" s="195"/>
      <c r="R6" s="195"/>
      <c r="S6" s="195"/>
      <c r="T6" s="195"/>
      <c r="U6" s="188" t="s">
        <v>6</v>
      </c>
      <c r="V6" s="188" t="s">
        <v>7</v>
      </c>
      <c r="W6" s="21"/>
    </row>
    <row r="7" spans="1:23" x14ac:dyDescent="0.25">
      <c r="A7" s="195"/>
      <c r="B7" s="195"/>
      <c r="C7" s="195"/>
      <c r="D7" s="195"/>
      <c r="E7" s="195"/>
      <c r="F7" s="195"/>
      <c r="G7" s="195"/>
      <c r="H7" s="195"/>
      <c r="I7" s="195"/>
      <c r="J7" s="195"/>
      <c r="K7" s="195"/>
      <c r="L7" s="188"/>
      <c r="M7" s="196"/>
      <c r="N7" s="191" t="s">
        <v>8</v>
      </c>
      <c r="O7" s="191"/>
      <c r="P7" s="191" t="s">
        <v>9</v>
      </c>
      <c r="Q7" s="191"/>
      <c r="R7" s="197" t="s">
        <v>10</v>
      </c>
      <c r="S7" s="197"/>
      <c r="T7" s="197"/>
      <c r="U7" s="188"/>
      <c r="V7" s="188"/>
      <c r="W7" s="21"/>
    </row>
    <row r="8" spans="1:23" x14ac:dyDescent="0.25">
      <c r="A8" s="195"/>
      <c r="B8" s="195"/>
      <c r="C8" s="195"/>
      <c r="D8" s="195"/>
      <c r="E8" s="195"/>
      <c r="F8" s="195"/>
      <c r="G8" s="195"/>
      <c r="H8" s="195"/>
      <c r="I8" s="195"/>
      <c r="J8" s="195"/>
      <c r="K8" s="195"/>
      <c r="L8" s="188"/>
      <c r="M8" s="196"/>
      <c r="N8" s="188" t="s">
        <v>11</v>
      </c>
      <c r="O8" s="188"/>
      <c r="P8" s="188" t="s">
        <v>11</v>
      </c>
      <c r="Q8" s="188"/>
      <c r="R8" s="188" t="s">
        <v>11</v>
      </c>
      <c r="S8" s="188"/>
      <c r="T8" s="151" t="s">
        <v>12</v>
      </c>
      <c r="U8" s="188"/>
      <c r="V8" s="188"/>
      <c r="W8" s="21"/>
    </row>
    <row r="9" spans="1:23" x14ac:dyDescent="0.25">
      <c r="A9" s="195"/>
      <c r="B9" s="195"/>
      <c r="C9" s="195"/>
      <c r="D9" s="195"/>
      <c r="E9" s="195"/>
      <c r="F9" s="195"/>
      <c r="G9" s="195"/>
      <c r="H9" s="195"/>
      <c r="I9" s="195"/>
      <c r="J9" s="195"/>
      <c r="K9" s="195"/>
      <c r="L9" s="188"/>
      <c r="M9" s="196"/>
      <c r="N9" s="151" t="s">
        <v>13</v>
      </c>
      <c r="O9" s="151" t="s">
        <v>14</v>
      </c>
      <c r="P9" s="151" t="s">
        <v>13</v>
      </c>
      <c r="Q9" s="151" t="s">
        <v>14</v>
      </c>
      <c r="R9" s="151" t="s">
        <v>13</v>
      </c>
      <c r="S9" s="151" t="s">
        <v>14</v>
      </c>
      <c r="T9" s="151" t="s">
        <v>14</v>
      </c>
      <c r="U9" s="188"/>
      <c r="V9" s="188"/>
      <c r="W9" s="21"/>
    </row>
    <row r="10" spans="1:23" s="171" customFormat="1" ht="25.5" x14ac:dyDescent="0.25">
      <c r="A10" s="190" t="s">
        <v>74</v>
      </c>
      <c r="B10" s="190"/>
      <c r="C10" s="190"/>
      <c r="D10" s="190"/>
      <c r="E10" s="190"/>
      <c r="F10" s="190"/>
      <c r="G10" s="190"/>
      <c r="H10" s="190"/>
      <c r="I10" s="190"/>
      <c r="J10" s="190"/>
      <c r="K10" s="76" t="s">
        <v>72</v>
      </c>
      <c r="L10" s="191" t="s">
        <v>15</v>
      </c>
      <c r="M10" s="32"/>
      <c r="N10" s="3"/>
      <c r="O10" s="153"/>
      <c r="P10" s="153"/>
      <c r="Q10" s="153"/>
      <c r="R10" s="153"/>
      <c r="S10" s="153"/>
      <c r="T10" s="153"/>
      <c r="U10" s="153"/>
      <c r="V10" s="153"/>
      <c r="W10" s="22"/>
    </row>
    <row r="11" spans="1:23" s="171" customFormat="1" ht="39.950000000000003" customHeight="1" x14ac:dyDescent="0.25">
      <c r="A11" s="190" t="s">
        <v>75</v>
      </c>
      <c r="B11" s="190"/>
      <c r="C11" s="190"/>
      <c r="D11" s="190"/>
      <c r="E11" s="190"/>
      <c r="F11" s="190"/>
      <c r="G11" s="190"/>
      <c r="H11" s="190"/>
      <c r="I11" s="190"/>
      <c r="J11" s="190"/>
      <c r="K11" s="76" t="s">
        <v>16</v>
      </c>
      <c r="L11" s="191"/>
      <c r="M11" s="33">
        <f>M12</f>
        <v>908784000</v>
      </c>
      <c r="N11" s="3"/>
      <c r="O11" s="153"/>
      <c r="P11" s="153"/>
      <c r="Q11" s="153"/>
      <c r="R11" s="5"/>
      <c r="S11" s="153"/>
      <c r="T11" s="153"/>
      <c r="U11" s="181"/>
      <c r="V11" s="153"/>
      <c r="W11" s="22"/>
    </row>
    <row r="12" spans="1:23" ht="18.95" customHeight="1" x14ac:dyDescent="0.25">
      <c r="A12" s="8">
        <v>1</v>
      </c>
      <c r="B12" s="9" t="s">
        <v>17</v>
      </c>
      <c r="C12" s="9" t="s">
        <v>18</v>
      </c>
      <c r="D12" s="8">
        <v>38</v>
      </c>
      <c r="E12" s="8">
        <v>14</v>
      </c>
      <c r="F12" s="41">
        <v>5</v>
      </c>
      <c r="G12" s="41">
        <v>2</v>
      </c>
      <c r="H12" s="41"/>
      <c r="I12" s="42"/>
      <c r="J12" s="48"/>
      <c r="K12" s="80" t="s">
        <v>19</v>
      </c>
      <c r="L12" s="159"/>
      <c r="M12" s="103">
        <f>M13+M14+M15</f>
        <v>908784000</v>
      </c>
      <c r="N12" s="104">
        <f>Juni!R12</f>
        <v>344048160</v>
      </c>
      <c r="O12" s="95">
        <f>N12/M12*100</f>
        <v>37.858078487297313</v>
      </c>
      <c r="P12" s="104">
        <f>P13+P14+P15</f>
        <v>44303920</v>
      </c>
      <c r="Q12" s="95">
        <f>P12/M12*100</f>
        <v>4.8750770260039786</v>
      </c>
      <c r="R12" s="104">
        <f>R13+R14+R15</f>
        <v>388352080</v>
      </c>
      <c r="S12" s="95">
        <f>R12/M12*100</f>
        <v>42.733155513301291</v>
      </c>
      <c r="T12" s="96">
        <f>SUM(T13:T15)/3</f>
        <v>41.249939115196007</v>
      </c>
      <c r="U12" s="10"/>
      <c r="V12" s="160"/>
      <c r="W12" s="172"/>
    </row>
    <row r="13" spans="1:23" ht="18.95" customHeight="1" x14ac:dyDescent="0.25">
      <c r="A13" s="8">
        <v>1</v>
      </c>
      <c r="B13" s="9" t="s">
        <v>17</v>
      </c>
      <c r="C13" s="9" t="s">
        <v>18</v>
      </c>
      <c r="D13" s="8">
        <v>38</v>
      </c>
      <c r="E13" s="8">
        <v>14</v>
      </c>
      <c r="F13" s="41">
        <v>5</v>
      </c>
      <c r="G13" s="41">
        <v>2</v>
      </c>
      <c r="H13" s="41">
        <v>1</v>
      </c>
      <c r="I13" s="42"/>
      <c r="J13" s="48"/>
      <c r="K13" s="73" t="s">
        <v>20</v>
      </c>
      <c r="L13" s="159"/>
      <c r="M13" s="97">
        <f>M17</f>
        <v>545270400</v>
      </c>
      <c r="N13" s="104">
        <f>Juni!R13</f>
        <v>215246160</v>
      </c>
      <c r="O13" s="99">
        <f t="shared" ref="O13:O76" si="0">N13/M13*100</f>
        <v>39.475122801457772</v>
      </c>
      <c r="P13" s="98">
        <f>P17</f>
        <v>35698320</v>
      </c>
      <c r="Q13" s="99">
        <f t="shared" ref="Q13:Q76" si="1">P13/M13*100</f>
        <v>6.5469022341942642</v>
      </c>
      <c r="R13" s="98">
        <f>N13+P13</f>
        <v>250944480</v>
      </c>
      <c r="S13" s="99">
        <f t="shared" ref="S13:S76" si="2">R13/M13*100</f>
        <v>46.022025035652035</v>
      </c>
      <c r="T13" s="100">
        <f>T17</f>
        <v>58.333333333333336</v>
      </c>
      <c r="U13" s="10"/>
      <c r="V13" s="10"/>
      <c r="W13" s="133"/>
    </row>
    <row r="14" spans="1:23" ht="18.95" customHeight="1" x14ac:dyDescent="0.25">
      <c r="A14" s="8">
        <v>1</v>
      </c>
      <c r="B14" s="9" t="s">
        <v>17</v>
      </c>
      <c r="C14" s="9" t="s">
        <v>18</v>
      </c>
      <c r="D14" s="8">
        <v>38</v>
      </c>
      <c r="E14" s="8">
        <v>14</v>
      </c>
      <c r="F14" s="42" t="s">
        <v>21</v>
      </c>
      <c r="G14" s="42" t="s">
        <v>22</v>
      </c>
      <c r="H14" s="42" t="s">
        <v>22</v>
      </c>
      <c r="I14" s="44"/>
      <c r="J14" s="53"/>
      <c r="K14" s="78" t="s">
        <v>23</v>
      </c>
      <c r="L14" s="11"/>
      <c r="M14" s="97">
        <f>M21</f>
        <v>294813600</v>
      </c>
      <c r="N14" s="104">
        <f>Juni!R14</f>
        <v>111122000</v>
      </c>
      <c r="O14" s="99">
        <f t="shared" si="0"/>
        <v>37.692290993359876</v>
      </c>
      <c r="P14" s="98">
        <f>P21</f>
        <v>6365600</v>
      </c>
      <c r="Q14" s="99">
        <f t="shared" si="1"/>
        <v>2.1591948268329548</v>
      </c>
      <c r="R14" s="98">
        <f>N14+P14</f>
        <v>117487600</v>
      </c>
      <c r="S14" s="99">
        <f t="shared" si="2"/>
        <v>39.851485820192828</v>
      </c>
      <c r="T14" s="100">
        <f>T21</f>
        <v>32.083150678921328</v>
      </c>
      <c r="U14" s="10"/>
      <c r="V14" s="10"/>
      <c r="W14" s="133"/>
    </row>
    <row r="15" spans="1:23" ht="18.95" customHeight="1" x14ac:dyDescent="0.25">
      <c r="A15" s="8">
        <v>1</v>
      </c>
      <c r="B15" s="9" t="s">
        <v>17</v>
      </c>
      <c r="C15" s="9" t="s">
        <v>18</v>
      </c>
      <c r="D15" s="8">
        <v>38</v>
      </c>
      <c r="E15" s="8">
        <v>14</v>
      </c>
      <c r="F15" s="42" t="s">
        <v>21</v>
      </c>
      <c r="G15" s="42" t="s">
        <v>22</v>
      </c>
      <c r="H15" s="42" t="s">
        <v>24</v>
      </c>
      <c r="I15" s="44"/>
      <c r="J15" s="53"/>
      <c r="K15" s="78" t="s">
        <v>25</v>
      </c>
      <c r="L15" s="11"/>
      <c r="M15" s="97">
        <f>M75</f>
        <v>68700000</v>
      </c>
      <c r="N15" s="104">
        <f>Juni!R15</f>
        <v>17680000</v>
      </c>
      <c r="O15" s="99">
        <f t="shared" si="0"/>
        <v>25.735080058224163</v>
      </c>
      <c r="P15" s="98">
        <f>P75</f>
        <v>2240000</v>
      </c>
      <c r="Q15" s="99">
        <f t="shared" si="1"/>
        <v>3.2605531295487626</v>
      </c>
      <c r="R15" s="98">
        <f>N15+P15</f>
        <v>19920000</v>
      </c>
      <c r="S15" s="99">
        <f t="shared" si="2"/>
        <v>28.995633187772924</v>
      </c>
      <c r="T15" s="100">
        <f>T75</f>
        <v>33.333333333333336</v>
      </c>
      <c r="U15" s="10"/>
      <c r="V15" s="10"/>
      <c r="W15" s="133"/>
    </row>
    <row r="16" spans="1:23" ht="9.9499999999999993" customHeight="1" x14ac:dyDescent="0.25">
      <c r="A16" s="8"/>
      <c r="B16" s="9"/>
      <c r="C16" s="9"/>
      <c r="D16" s="8"/>
      <c r="E16" s="8"/>
      <c r="F16" s="42"/>
      <c r="G16" s="42"/>
      <c r="H16" s="42"/>
      <c r="I16" s="44"/>
      <c r="J16" s="53"/>
      <c r="K16" s="78"/>
      <c r="L16" s="11"/>
      <c r="M16" s="97"/>
      <c r="N16" s="104">
        <f>Juni!R16</f>
        <v>0</v>
      </c>
      <c r="O16" s="99"/>
      <c r="P16" s="101"/>
      <c r="Q16" s="99"/>
      <c r="R16" s="101"/>
      <c r="S16" s="99"/>
      <c r="T16" s="102"/>
      <c r="U16" s="10"/>
      <c r="V16" s="10"/>
      <c r="W16" s="133"/>
    </row>
    <row r="17" spans="1:23" ht="18.95" customHeight="1" x14ac:dyDescent="0.25">
      <c r="A17" s="8">
        <v>1</v>
      </c>
      <c r="B17" s="9" t="s">
        <v>17</v>
      </c>
      <c r="C17" s="9" t="s">
        <v>18</v>
      </c>
      <c r="D17" s="8">
        <v>38</v>
      </c>
      <c r="E17" s="8">
        <v>14</v>
      </c>
      <c r="F17" s="42" t="s">
        <v>21</v>
      </c>
      <c r="G17" s="42" t="s">
        <v>22</v>
      </c>
      <c r="H17" s="42" t="s">
        <v>26</v>
      </c>
      <c r="I17" s="42"/>
      <c r="J17" s="42"/>
      <c r="K17" s="79" t="s">
        <v>20</v>
      </c>
      <c r="L17" s="11"/>
      <c r="M17" s="103">
        <f>M18</f>
        <v>545270400</v>
      </c>
      <c r="N17" s="104">
        <f>Juni!R17</f>
        <v>215246160</v>
      </c>
      <c r="O17" s="99">
        <f t="shared" si="0"/>
        <v>39.475122801457772</v>
      </c>
      <c r="P17" s="104">
        <f>P18</f>
        <v>35698320</v>
      </c>
      <c r="Q17" s="95">
        <f t="shared" si="1"/>
        <v>6.5469022341942642</v>
      </c>
      <c r="R17" s="104">
        <f>R18</f>
        <v>250944480</v>
      </c>
      <c r="S17" s="95">
        <f t="shared" si="2"/>
        <v>46.022025035652035</v>
      </c>
      <c r="T17" s="96">
        <f>T18</f>
        <v>58.333333333333336</v>
      </c>
      <c r="U17" s="10"/>
      <c r="V17" s="10"/>
      <c r="W17" s="133"/>
    </row>
    <row r="18" spans="1:23" ht="18.95" customHeight="1" x14ac:dyDescent="0.25">
      <c r="A18" s="8">
        <v>1</v>
      </c>
      <c r="B18" s="9" t="s">
        <v>17</v>
      </c>
      <c r="C18" s="9" t="s">
        <v>18</v>
      </c>
      <c r="D18" s="8">
        <v>38</v>
      </c>
      <c r="E18" s="8">
        <v>14</v>
      </c>
      <c r="F18" s="41">
        <v>5</v>
      </c>
      <c r="G18" s="41">
        <v>2</v>
      </c>
      <c r="H18" s="41">
        <v>1</v>
      </c>
      <c r="I18" s="42" t="s">
        <v>30</v>
      </c>
      <c r="J18" s="143"/>
      <c r="K18" s="80" t="s">
        <v>31</v>
      </c>
      <c r="L18" s="159"/>
      <c r="M18" s="105">
        <f>M19</f>
        <v>545270400</v>
      </c>
      <c r="N18" s="104">
        <f>Juni!R18</f>
        <v>215246160</v>
      </c>
      <c r="O18" s="99">
        <f t="shared" si="0"/>
        <v>39.475122801457772</v>
      </c>
      <c r="P18" s="106">
        <f>P19</f>
        <v>35698320</v>
      </c>
      <c r="Q18" s="95">
        <f t="shared" si="1"/>
        <v>6.5469022341942642</v>
      </c>
      <c r="R18" s="106">
        <f>R19</f>
        <v>250944480</v>
      </c>
      <c r="S18" s="95">
        <f t="shared" si="2"/>
        <v>46.022025035652035</v>
      </c>
      <c r="T18" s="96">
        <f>T19</f>
        <v>58.333333333333336</v>
      </c>
      <c r="U18" s="10"/>
      <c r="V18" s="10"/>
      <c r="W18" s="133"/>
    </row>
    <row r="19" spans="1:23" ht="15" customHeight="1" x14ac:dyDescent="0.25">
      <c r="A19" s="6"/>
      <c r="B19" s="7"/>
      <c r="C19" s="7"/>
      <c r="D19" s="6"/>
      <c r="E19" s="6"/>
      <c r="F19" s="41"/>
      <c r="G19" s="41"/>
      <c r="H19" s="41"/>
      <c r="I19" s="42"/>
      <c r="J19" s="48" t="s">
        <v>18</v>
      </c>
      <c r="K19" s="73" t="s">
        <v>32</v>
      </c>
      <c r="L19" s="161"/>
      <c r="M19" s="107">
        <v>545270400</v>
      </c>
      <c r="N19" s="104">
        <f>Juni!R19</f>
        <v>215246160</v>
      </c>
      <c r="O19" s="99">
        <f t="shared" si="0"/>
        <v>39.475122801457772</v>
      </c>
      <c r="P19" s="26">
        <v>35698320</v>
      </c>
      <c r="Q19" s="99">
        <f t="shared" si="1"/>
        <v>6.5469022341942642</v>
      </c>
      <c r="R19" s="108">
        <f>N19+P19</f>
        <v>250944480</v>
      </c>
      <c r="S19" s="99">
        <f>R19/M19*100</f>
        <v>46.022025035652035</v>
      </c>
      <c r="T19" s="100">
        <f>7/12*100</f>
        <v>58.333333333333336</v>
      </c>
      <c r="U19" s="10"/>
      <c r="V19" s="10"/>
      <c r="W19" s="133"/>
    </row>
    <row r="20" spans="1:23" ht="9.9499999999999993" customHeight="1" x14ac:dyDescent="0.25">
      <c r="A20" s="10"/>
      <c r="B20" s="10"/>
      <c r="C20" s="10"/>
      <c r="D20" s="10"/>
      <c r="E20" s="10"/>
      <c r="F20" s="121"/>
      <c r="G20" s="121"/>
      <c r="H20" s="121"/>
      <c r="I20" s="122"/>
      <c r="J20" s="121"/>
      <c r="K20" s="73"/>
      <c r="L20" s="78"/>
      <c r="M20" s="107"/>
      <c r="N20" s="104">
        <f>Juni!R20</f>
        <v>0</v>
      </c>
      <c r="O20" s="99"/>
      <c r="P20" s="101"/>
      <c r="Q20" s="99"/>
      <c r="R20" s="101"/>
      <c r="S20" s="99"/>
      <c r="T20" s="109"/>
      <c r="U20" s="10"/>
      <c r="V20" s="10"/>
      <c r="W20" s="133"/>
    </row>
    <row r="21" spans="1:23" ht="18.95" customHeight="1" x14ac:dyDescent="0.25">
      <c r="A21" s="8">
        <v>1</v>
      </c>
      <c r="B21" s="9" t="s">
        <v>17</v>
      </c>
      <c r="C21" s="9" t="s">
        <v>18</v>
      </c>
      <c r="D21" s="8">
        <v>38</v>
      </c>
      <c r="E21" s="8">
        <v>14</v>
      </c>
      <c r="F21" s="42" t="s">
        <v>21</v>
      </c>
      <c r="G21" s="42" t="s">
        <v>22</v>
      </c>
      <c r="H21" s="42" t="s">
        <v>22</v>
      </c>
      <c r="I21" s="48"/>
      <c r="J21" s="57"/>
      <c r="K21" s="79" t="s">
        <v>23</v>
      </c>
      <c r="L21" s="11"/>
      <c r="M21" s="105">
        <f>M22+M31+M34+M42+M46+M52+M55+M58+M68+M72+M64+M39+M49</f>
        <v>294813600</v>
      </c>
      <c r="N21" s="104">
        <f>Juni!R21</f>
        <v>108002000</v>
      </c>
      <c r="O21" s="95">
        <f t="shared" si="0"/>
        <v>36.633995175256501</v>
      </c>
      <c r="P21" s="106">
        <f>P22+P31+P34+P42+P46+P52+P55+P58+P68+P72+P39+P49</f>
        <v>6365600</v>
      </c>
      <c r="Q21" s="95">
        <f t="shared" si="1"/>
        <v>2.1591948268329548</v>
      </c>
      <c r="R21" s="106">
        <f>R22+R31+R34+R42+R46+R52+R55+R58+R68+R72+R39+R49</f>
        <v>114367600</v>
      </c>
      <c r="S21" s="95">
        <f>R21/M21*100</f>
        <v>38.793190002089453</v>
      </c>
      <c r="T21" s="110">
        <f>(T22+T31+T34+T42+T46+T52+T55+T58+T68+T72+T39+T49)/13</f>
        <v>32.083150678921328</v>
      </c>
      <c r="U21" s="160"/>
      <c r="V21" s="10"/>
      <c r="W21" s="133"/>
    </row>
    <row r="22" spans="1:23" ht="18.95" customHeight="1" x14ac:dyDescent="0.25">
      <c r="A22" s="6">
        <v>1</v>
      </c>
      <c r="B22" s="9" t="s">
        <v>17</v>
      </c>
      <c r="C22" s="9" t="s">
        <v>18</v>
      </c>
      <c r="D22" s="8">
        <v>38</v>
      </c>
      <c r="E22" s="8">
        <v>14</v>
      </c>
      <c r="F22" s="42" t="s">
        <v>21</v>
      </c>
      <c r="G22" s="42" t="s">
        <v>22</v>
      </c>
      <c r="H22" s="42" t="s">
        <v>22</v>
      </c>
      <c r="I22" s="42" t="s">
        <v>18</v>
      </c>
      <c r="J22" s="48"/>
      <c r="K22" s="79" t="s">
        <v>33</v>
      </c>
      <c r="L22" s="17"/>
      <c r="M22" s="105">
        <f>SUM(M23:M29)</f>
        <v>119064100</v>
      </c>
      <c r="N22" s="104">
        <f>Juni!R22</f>
        <v>52661300</v>
      </c>
      <c r="O22" s="95">
        <f t="shared" si="0"/>
        <v>44.2293688861714</v>
      </c>
      <c r="P22" s="111">
        <f>SUM(P23:P29)</f>
        <v>145000</v>
      </c>
      <c r="Q22" s="95">
        <f t="shared" si="1"/>
        <v>0.12178314034205105</v>
      </c>
      <c r="R22" s="111">
        <f>SUM(R23:R29)</f>
        <v>52806300</v>
      </c>
      <c r="S22" s="95">
        <f t="shared" si="2"/>
        <v>44.351152026513454</v>
      </c>
      <c r="T22" s="96">
        <f>SUM(T23:T29)/7</f>
        <v>42.738095238095234</v>
      </c>
      <c r="U22" s="10"/>
      <c r="V22" s="160"/>
      <c r="W22" s="133"/>
    </row>
    <row r="23" spans="1:23" ht="15" customHeight="1" x14ac:dyDescent="0.25">
      <c r="A23" s="10"/>
      <c r="B23" s="10"/>
      <c r="C23" s="10"/>
      <c r="D23" s="10"/>
      <c r="E23" s="10"/>
      <c r="F23" s="48"/>
      <c r="G23" s="48"/>
      <c r="H23" s="48"/>
      <c r="I23" s="48"/>
      <c r="J23" s="55" t="s">
        <v>18</v>
      </c>
      <c r="K23" s="78" t="s">
        <v>99</v>
      </c>
      <c r="L23" s="73"/>
      <c r="M23" s="97">
        <v>14306500</v>
      </c>
      <c r="N23" s="104">
        <f>Juni!R23</f>
        <v>10860900</v>
      </c>
      <c r="O23" s="99">
        <f t="shared" si="0"/>
        <v>75.915842449236365</v>
      </c>
      <c r="P23" s="26"/>
      <c r="Q23" s="99">
        <f t="shared" si="1"/>
        <v>0</v>
      </c>
      <c r="R23" s="108">
        <f>N23+P23</f>
        <v>10860900</v>
      </c>
      <c r="S23" s="99">
        <f t="shared" si="2"/>
        <v>75.915842449236365</v>
      </c>
      <c r="T23" s="109">
        <f>2/2*100</f>
        <v>100</v>
      </c>
      <c r="U23" s="10"/>
      <c r="V23" s="10"/>
      <c r="W23" s="133"/>
    </row>
    <row r="24" spans="1:23" ht="15" customHeight="1" x14ac:dyDescent="0.25">
      <c r="A24" s="6"/>
      <c r="B24" s="7"/>
      <c r="C24" s="7"/>
      <c r="D24" s="6"/>
      <c r="E24" s="6"/>
      <c r="F24" s="48"/>
      <c r="G24" s="48"/>
      <c r="H24" s="48"/>
      <c r="I24" s="48"/>
      <c r="J24" s="55" t="s">
        <v>35</v>
      </c>
      <c r="K24" s="73" t="s">
        <v>100</v>
      </c>
      <c r="L24" s="12"/>
      <c r="M24" s="97">
        <v>780000</v>
      </c>
      <c r="N24" s="104">
        <f>Juni!R24</f>
        <v>780000</v>
      </c>
      <c r="O24" s="99">
        <f t="shared" si="0"/>
        <v>100</v>
      </c>
      <c r="P24" s="101"/>
      <c r="Q24" s="99">
        <f t="shared" si="1"/>
        <v>0</v>
      </c>
      <c r="R24" s="108">
        <f>N24+P24</f>
        <v>780000</v>
      </c>
      <c r="S24" s="99">
        <f t="shared" si="2"/>
        <v>100</v>
      </c>
      <c r="T24" s="100">
        <f>2/2*100</f>
        <v>100</v>
      </c>
      <c r="U24" s="10"/>
      <c r="V24" s="10"/>
      <c r="W24" s="133"/>
    </row>
    <row r="25" spans="1:23" ht="15" customHeight="1" x14ac:dyDescent="0.25">
      <c r="A25" s="6"/>
      <c r="B25" s="7"/>
      <c r="C25" s="7"/>
      <c r="D25" s="6"/>
      <c r="E25" s="6"/>
      <c r="F25" s="48"/>
      <c r="G25" s="48"/>
      <c r="H25" s="48"/>
      <c r="I25" s="48"/>
      <c r="J25" s="48" t="s">
        <v>28</v>
      </c>
      <c r="K25" s="78" t="s">
        <v>101</v>
      </c>
      <c r="L25" s="12"/>
      <c r="M25" s="97">
        <v>2000000</v>
      </c>
      <c r="N25" s="104">
        <f>Juni!R25</f>
        <v>150000</v>
      </c>
      <c r="O25" s="99">
        <f t="shared" si="0"/>
        <v>7.5</v>
      </c>
      <c r="P25" s="101"/>
      <c r="Q25" s="99">
        <f t="shared" si="1"/>
        <v>0</v>
      </c>
      <c r="R25" s="108">
        <f t="shared" ref="R25:R29" si="3">N25+P25</f>
        <v>150000</v>
      </c>
      <c r="S25" s="99">
        <f t="shared" si="2"/>
        <v>7.5</v>
      </c>
      <c r="T25" s="109">
        <f>2/10*100</f>
        <v>20</v>
      </c>
      <c r="U25" s="10"/>
      <c r="V25" s="10"/>
      <c r="W25" s="133"/>
    </row>
    <row r="26" spans="1:23" ht="15" customHeight="1" x14ac:dyDescent="0.25">
      <c r="A26" s="6"/>
      <c r="B26" s="7"/>
      <c r="C26" s="7"/>
      <c r="D26" s="6"/>
      <c r="E26" s="6"/>
      <c r="F26" s="48"/>
      <c r="G26" s="48"/>
      <c r="H26" s="48"/>
      <c r="I26" s="51"/>
      <c r="J26" s="48" t="s">
        <v>50</v>
      </c>
      <c r="K26" s="78" t="s">
        <v>102</v>
      </c>
      <c r="L26" s="12"/>
      <c r="M26" s="97">
        <v>800000</v>
      </c>
      <c r="N26" s="104">
        <f>Juni!R26</f>
        <v>0</v>
      </c>
      <c r="O26" s="99">
        <f t="shared" si="0"/>
        <v>0</v>
      </c>
      <c r="P26" s="101"/>
      <c r="Q26" s="99">
        <f t="shared" si="1"/>
        <v>0</v>
      </c>
      <c r="R26" s="108">
        <f t="shared" si="3"/>
        <v>0</v>
      </c>
      <c r="S26" s="99">
        <f t="shared" si="2"/>
        <v>0</v>
      </c>
      <c r="T26" s="100">
        <f>0/2*100</f>
        <v>0</v>
      </c>
      <c r="U26" s="10"/>
      <c r="V26" s="10"/>
      <c r="W26" s="133"/>
    </row>
    <row r="27" spans="1:23" ht="15" customHeight="1" x14ac:dyDescent="0.25">
      <c r="A27" s="6"/>
      <c r="B27" s="7"/>
      <c r="C27" s="7"/>
      <c r="D27" s="6"/>
      <c r="E27" s="6"/>
      <c r="F27" s="121"/>
      <c r="G27" s="122"/>
      <c r="H27" s="122"/>
      <c r="I27" s="124"/>
      <c r="J27" s="66" t="s">
        <v>30</v>
      </c>
      <c r="K27" s="82" t="s">
        <v>103</v>
      </c>
      <c r="L27" s="12"/>
      <c r="M27" s="97">
        <v>2610000</v>
      </c>
      <c r="N27" s="104">
        <f>Juni!R27</f>
        <v>870000</v>
      </c>
      <c r="O27" s="99">
        <f t="shared" si="0"/>
        <v>33.333333333333329</v>
      </c>
      <c r="P27" s="98">
        <v>145000</v>
      </c>
      <c r="Q27" s="99">
        <f t="shared" si="1"/>
        <v>5.5555555555555554</v>
      </c>
      <c r="R27" s="108">
        <f t="shared" si="3"/>
        <v>1015000</v>
      </c>
      <c r="S27" s="113">
        <f t="shared" si="2"/>
        <v>38.888888888888893</v>
      </c>
      <c r="T27" s="100">
        <f>7/24*100</f>
        <v>29.166666666666668</v>
      </c>
      <c r="U27" s="10"/>
      <c r="V27" s="10"/>
      <c r="W27" s="133"/>
    </row>
    <row r="28" spans="1:23" ht="15" customHeight="1" x14ac:dyDescent="0.25">
      <c r="A28" s="6"/>
      <c r="B28" s="7"/>
      <c r="C28" s="7"/>
      <c r="D28" s="6"/>
      <c r="E28" s="6"/>
      <c r="F28" s="48"/>
      <c r="G28" s="48"/>
      <c r="H28" s="48"/>
      <c r="I28" s="53"/>
      <c r="J28" s="48" t="s">
        <v>37</v>
      </c>
      <c r="K28" s="73" t="s">
        <v>38</v>
      </c>
      <c r="L28" s="162"/>
      <c r="M28" s="97">
        <v>98117600</v>
      </c>
      <c r="N28" s="104">
        <f>Juni!R28</f>
        <v>40000400</v>
      </c>
      <c r="O28" s="99">
        <f t="shared" si="0"/>
        <v>40.767813317896071</v>
      </c>
      <c r="P28" s="26"/>
      <c r="Q28" s="99">
        <f t="shared" si="1"/>
        <v>0</v>
      </c>
      <c r="R28" s="108">
        <f t="shared" si="3"/>
        <v>40000400</v>
      </c>
      <c r="S28" s="99">
        <f t="shared" si="2"/>
        <v>40.767813317896071</v>
      </c>
      <c r="T28" s="100">
        <f>1/2*100</f>
        <v>50</v>
      </c>
      <c r="U28" s="10"/>
      <c r="V28" s="10"/>
      <c r="W28" s="133"/>
    </row>
    <row r="29" spans="1:23" ht="15" customHeight="1" x14ac:dyDescent="0.25">
      <c r="A29" s="6"/>
      <c r="B29" s="7"/>
      <c r="C29" s="7"/>
      <c r="D29" s="6"/>
      <c r="E29" s="6"/>
      <c r="F29" s="48"/>
      <c r="G29" s="48"/>
      <c r="H29" s="48"/>
      <c r="I29" s="48"/>
      <c r="J29" s="48" t="s">
        <v>44</v>
      </c>
      <c r="K29" s="73" t="s">
        <v>104</v>
      </c>
      <c r="L29" s="161"/>
      <c r="M29" s="97">
        <v>450000</v>
      </c>
      <c r="N29" s="104">
        <f>Juni!R29</f>
        <v>0</v>
      </c>
      <c r="O29" s="99">
        <f t="shared" si="0"/>
        <v>0</v>
      </c>
      <c r="P29" s="101"/>
      <c r="Q29" s="99">
        <f t="shared" si="1"/>
        <v>0</v>
      </c>
      <c r="R29" s="108">
        <f t="shared" si="3"/>
        <v>0</v>
      </c>
      <c r="S29" s="99">
        <f t="shared" si="2"/>
        <v>0</v>
      </c>
      <c r="T29" s="100">
        <f>0/3*100</f>
        <v>0</v>
      </c>
      <c r="U29" s="10"/>
      <c r="V29" s="10"/>
      <c r="W29" s="133"/>
    </row>
    <row r="30" spans="1:23" ht="9.9499999999999993" customHeight="1" x14ac:dyDescent="0.25">
      <c r="A30" s="6"/>
      <c r="B30" s="7"/>
      <c r="C30" s="7"/>
      <c r="D30" s="6"/>
      <c r="E30" s="6"/>
      <c r="F30" s="54"/>
      <c r="G30" s="54"/>
      <c r="H30" s="54"/>
      <c r="I30" s="55"/>
      <c r="J30" s="44"/>
      <c r="K30" s="144"/>
      <c r="L30" s="163"/>
      <c r="M30" s="115"/>
      <c r="N30" s="104">
        <f>Juni!R30</f>
        <v>0</v>
      </c>
      <c r="O30" s="99"/>
      <c r="P30" s="101"/>
      <c r="Q30" s="99"/>
      <c r="R30" s="101"/>
      <c r="S30" s="99"/>
      <c r="T30" s="101"/>
      <c r="U30" s="10"/>
      <c r="V30" s="10"/>
      <c r="W30" s="133"/>
    </row>
    <row r="31" spans="1:23" ht="18.95" customHeight="1" x14ac:dyDescent="0.25">
      <c r="A31" s="8">
        <v>1</v>
      </c>
      <c r="B31" s="9" t="s">
        <v>17</v>
      </c>
      <c r="C31" s="9" t="s">
        <v>18</v>
      </c>
      <c r="D31" s="8">
        <v>38</v>
      </c>
      <c r="E31" s="8">
        <v>14</v>
      </c>
      <c r="F31" s="41">
        <v>5</v>
      </c>
      <c r="G31" s="41">
        <v>2</v>
      </c>
      <c r="H31" s="41">
        <v>2</v>
      </c>
      <c r="I31" s="42" t="s">
        <v>17</v>
      </c>
      <c r="J31" s="42"/>
      <c r="K31" s="80" t="s">
        <v>39</v>
      </c>
      <c r="L31" s="14"/>
      <c r="M31" s="105">
        <f>M32</f>
        <v>2400000</v>
      </c>
      <c r="N31" s="104">
        <f>Juni!R31</f>
        <v>1200000</v>
      </c>
      <c r="O31" s="99">
        <f t="shared" si="0"/>
        <v>50</v>
      </c>
      <c r="P31" s="104">
        <f>P32</f>
        <v>200000</v>
      </c>
      <c r="Q31" s="95">
        <f t="shared" si="1"/>
        <v>8.3333333333333321</v>
      </c>
      <c r="R31" s="116">
        <f>R32</f>
        <v>1400000</v>
      </c>
      <c r="S31" s="95">
        <f t="shared" si="2"/>
        <v>58.333333333333336</v>
      </c>
      <c r="T31" s="95">
        <f>(T32)/1</f>
        <v>58.333333333333336</v>
      </c>
      <c r="U31" s="10"/>
      <c r="V31" s="10"/>
      <c r="W31" s="133"/>
    </row>
    <row r="32" spans="1:23" ht="15" customHeight="1" x14ac:dyDescent="0.25">
      <c r="A32" s="6"/>
      <c r="B32" s="7"/>
      <c r="C32" s="7"/>
      <c r="D32" s="6"/>
      <c r="E32" s="6"/>
      <c r="F32" s="48"/>
      <c r="G32" s="48"/>
      <c r="H32" s="48"/>
      <c r="I32" s="53"/>
      <c r="J32" s="48" t="s">
        <v>28</v>
      </c>
      <c r="K32" s="73" t="s">
        <v>40</v>
      </c>
      <c r="L32" s="12"/>
      <c r="M32" s="97">
        <v>2400000</v>
      </c>
      <c r="N32" s="104">
        <f>Juni!R32</f>
        <v>1200000</v>
      </c>
      <c r="O32" s="99">
        <f t="shared" si="0"/>
        <v>50</v>
      </c>
      <c r="P32" s="26">
        <v>200000</v>
      </c>
      <c r="Q32" s="99">
        <f t="shared" si="1"/>
        <v>8.3333333333333321</v>
      </c>
      <c r="R32" s="101">
        <f t="shared" ref="R32" si="4">N32+P32</f>
        <v>1400000</v>
      </c>
      <c r="S32" s="99">
        <f t="shared" si="2"/>
        <v>58.333333333333336</v>
      </c>
      <c r="T32" s="100">
        <f>70/120*100</f>
        <v>58.333333333333336</v>
      </c>
      <c r="U32" s="10"/>
      <c r="V32" s="10"/>
      <c r="W32" s="133"/>
    </row>
    <row r="33" spans="1:23" ht="9.9499999999999993" customHeight="1" x14ac:dyDescent="0.25">
      <c r="A33" s="10"/>
      <c r="B33" s="10"/>
      <c r="C33" s="10"/>
      <c r="D33" s="10"/>
      <c r="E33" s="10"/>
      <c r="F33" s="54"/>
      <c r="G33" s="54"/>
      <c r="H33" s="54"/>
      <c r="I33" s="48"/>
      <c r="J33" s="48"/>
      <c r="K33" s="73"/>
      <c r="L33" s="13"/>
      <c r="M33" s="107"/>
      <c r="N33" s="104">
        <f>Juni!R33</f>
        <v>0</v>
      </c>
      <c r="O33" s="99"/>
      <c r="P33" s="101"/>
      <c r="Q33" s="99"/>
      <c r="R33" s="101"/>
      <c r="S33" s="99"/>
      <c r="T33" s="101"/>
      <c r="U33" s="10"/>
      <c r="V33" s="10"/>
      <c r="W33" s="133"/>
    </row>
    <row r="34" spans="1:23" ht="18.95" customHeight="1" x14ac:dyDescent="0.25">
      <c r="A34" s="8">
        <v>1</v>
      </c>
      <c r="B34" s="9" t="s">
        <v>17</v>
      </c>
      <c r="C34" s="9" t="s">
        <v>18</v>
      </c>
      <c r="D34" s="8">
        <v>38</v>
      </c>
      <c r="E34" s="8">
        <v>14</v>
      </c>
      <c r="F34" s="41">
        <v>5</v>
      </c>
      <c r="G34" s="41">
        <v>2</v>
      </c>
      <c r="H34" s="41">
        <v>2</v>
      </c>
      <c r="I34" s="42" t="s">
        <v>34</v>
      </c>
      <c r="J34" s="42"/>
      <c r="K34" s="80" t="s">
        <v>52</v>
      </c>
      <c r="L34" s="14"/>
      <c r="M34" s="103">
        <f>M35+M37+M36</f>
        <v>19800000</v>
      </c>
      <c r="N34" s="104">
        <f>Juni!R34</f>
        <v>5228900</v>
      </c>
      <c r="O34" s="99">
        <f t="shared" si="0"/>
        <v>26.408585858585859</v>
      </c>
      <c r="P34" s="116">
        <f>P35+P36+P37</f>
        <v>870600</v>
      </c>
      <c r="Q34" s="95">
        <f t="shared" si="1"/>
        <v>4.3969696969696974</v>
      </c>
      <c r="R34" s="116">
        <f>R35+R36</f>
        <v>6099500</v>
      </c>
      <c r="S34" s="95">
        <f>R34/M34*100</f>
        <v>30.805555555555557</v>
      </c>
      <c r="T34" s="95">
        <f>SUM(T35:T37)/3</f>
        <v>50</v>
      </c>
      <c r="U34" s="10"/>
      <c r="V34" s="10"/>
      <c r="W34" s="133"/>
    </row>
    <row r="35" spans="1:23" ht="15" customHeight="1" x14ac:dyDescent="0.25">
      <c r="A35" s="10"/>
      <c r="B35" s="10"/>
      <c r="C35" s="10"/>
      <c r="D35" s="10"/>
      <c r="E35" s="10"/>
      <c r="F35" s="54"/>
      <c r="G35" s="54"/>
      <c r="H35" s="54"/>
      <c r="I35" s="48"/>
      <c r="J35" s="48" t="s">
        <v>28</v>
      </c>
      <c r="K35" s="73" t="s">
        <v>41</v>
      </c>
      <c r="L35" s="164"/>
      <c r="M35" s="97">
        <v>12000000</v>
      </c>
      <c r="N35" s="104">
        <f>Juni!R35</f>
        <v>5206200</v>
      </c>
      <c r="O35" s="99">
        <f t="shared" si="0"/>
        <v>43.384999999999998</v>
      </c>
      <c r="P35" s="26">
        <v>867700</v>
      </c>
      <c r="Q35" s="99">
        <f t="shared" si="1"/>
        <v>7.2308333333333339</v>
      </c>
      <c r="R35" s="101">
        <f>N35+P35</f>
        <v>6073900</v>
      </c>
      <c r="S35" s="99">
        <f>R35/M35*100</f>
        <v>50.615833333333335</v>
      </c>
      <c r="T35" s="99">
        <f>7/12*100</f>
        <v>58.333333333333336</v>
      </c>
      <c r="U35" s="10"/>
      <c r="V35" s="10"/>
      <c r="W35" s="133"/>
    </row>
    <row r="36" spans="1:23" ht="15" customHeight="1" x14ac:dyDescent="0.25">
      <c r="A36" s="6"/>
      <c r="B36" s="7"/>
      <c r="C36" s="7"/>
      <c r="D36" s="6"/>
      <c r="E36" s="6"/>
      <c r="F36" s="54"/>
      <c r="G36" s="54"/>
      <c r="H36" s="54"/>
      <c r="I36" s="48"/>
      <c r="J36" s="48" t="s">
        <v>29</v>
      </c>
      <c r="K36" s="73" t="s">
        <v>42</v>
      </c>
      <c r="L36" s="54"/>
      <c r="M36" s="107">
        <v>600000</v>
      </c>
      <c r="N36" s="104">
        <f>Juni!R36</f>
        <v>22700</v>
      </c>
      <c r="O36" s="99">
        <f t="shared" si="0"/>
        <v>3.7833333333333332</v>
      </c>
      <c r="P36" s="26">
        <v>2900</v>
      </c>
      <c r="Q36" s="99">
        <f t="shared" si="1"/>
        <v>0.48333333333333334</v>
      </c>
      <c r="R36" s="101">
        <f>N36+P36</f>
        <v>25600</v>
      </c>
      <c r="S36" s="99">
        <f>R36/M36*100</f>
        <v>4.2666666666666666</v>
      </c>
      <c r="T36" s="100">
        <f>7/12*100</f>
        <v>58.333333333333336</v>
      </c>
      <c r="U36" s="10"/>
      <c r="V36" s="10"/>
      <c r="W36" s="133"/>
    </row>
    <row r="37" spans="1:23" ht="15" customHeight="1" x14ac:dyDescent="0.25">
      <c r="A37" s="10"/>
      <c r="B37" s="10"/>
      <c r="C37" s="10"/>
      <c r="D37" s="10"/>
      <c r="E37" s="10"/>
      <c r="F37" s="57"/>
      <c r="G37" s="57"/>
      <c r="H37" s="57"/>
      <c r="I37" s="125"/>
      <c r="J37" s="65" t="s">
        <v>47</v>
      </c>
      <c r="K37" s="89" t="s">
        <v>64</v>
      </c>
      <c r="L37" s="164"/>
      <c r="M37" s="97">
        <v>7200000</v>
      </c>
      <c r="N37" s="104">
        <f>Juni!R37</f>
        <v>1120000</v>
      </c>
      <c r="O37" s="99">
        <f t="shared" si="0"/>
        <v>15.555555555555555</v>
      </c>
      <c r="P37" s="101"/>
      <c r="Q37" s="99">
        <f t="shared" si="1"/>
        <v>0</v>
      </c>
      <c r="R37" s="101">
        <f>N37+P37</f>
        <v>1120000</v>
      </c>
      <c r="S37" s="99">
        <f t="shared" si="2"/>
        <v>15.555555555555555</v>
      </c>
      <c r="T37" s="100">
        <f>1/3*100</f>
        <v>33.333333333333329</v>
      </c>
      <c r="U37" s="10"/>
      <c r="V37" s="10"/>
      <c r="W37" s="133"/>
    </row>
    <row r="38" spans="1:23" ht="9.9499999999999993" customHeight="1" x14ac:dyDescent="0.25">
      <c r="A38" s="10"/>
      <c r="B38" s="10"/>
      <c r="C38" s="10"/>
      <c r="D38" s="10"/>
      <c r="E38" s="10"/>
      <c r="F38" s="57"/>
      <c r="G38" s="57"/>
      <c r="H38" s="57"/>
      <c r="I38" s="125"/>
      <c r="J38" s="145"/>
      <c r="K38" s="146"/>
      <c r="L38" s="165"/>
      <c r="M38" s="115"/>
      <c r="N38" s="104">
        <f>Juni!R38</f>
        <v>0</v>
      </c>
      <c r="O38" s="99"/>
      <c r="P38" s="101"/>
      <c r="Q38" s="99"/>
      <c r="R38" s="101"/>
      <c r="S38" s="99"/>
      <c r="T38" s="101"/>
      <c r="U38" s="10"/>
      <c r="V38" s="10"/>
      <c r="W38" s="133"/>
    </row>
    <row r="39" spans="1:23" ht="18.95" customHeight="1" x14ac:dyDescent="0.25">
      <c r="A39" s="8">
        <v>1</v>
      </c>
      <c r="B39" s="9" t="s">
        <v>17</v>
      </c>
      <c r="C39" s="9" t="s">
        <v>18</v>
      </c>
      <c r="D39" s="8">
        <v>38</v>
      </c>
      <c r="E39" s="8">
        <v>14</v>
      </c>
      <c r="F39" s="41">
        <v>5</v>
      </c>
      <c r="G39" s="41">
        <v>2</v>
      </c>
      <c r="H39" s="41">
        <v>2</v>
      </c>
      <c r="I39" s="42" t="s">
        <v>27</v>
      </c>
      <c r="J39" s="155"/>
      <c r="K39" s="154" t="s">
        <v>105</v>
      </c>
      <c r="L39" s="14"/>
      <c r="M39" s="103">
        <f>M40</f>
        <v>900000</v>
      </c>
      <c r="N39" s="104">
        <f>Juni!R39</f>
        <v>0</v>
      </c>
      <c r="O39" s="99">
        <f t="shared" si="0"/>
        <v>0</v>
      </c>
      <c r="P39" s="101">
        <f>P40</f>
        <v>0</v>
      </c>
      <c r="Q39" s="99">
        <f t="shared" si="1"/>
        <v>0</v>
      </c>
      <c r="R39" s="101">
        <f>R40</f>
        <v>0</v>
      </c>
      <c r="S39" s="99">
        <f t="shared" si="2"/>
        <v>0</v>
      </c>
      <c r="T39" s="96">
        <f>T40</f>
        <v>0</v>
      </c>
      <c r="U39" s="10"/>
      <c r="V39" s="10"/>
      <c r="W39" s="133"/>
    </row>
    <row r="40" spans="1:23" ht="15" customHeight="1" x14ac:dyDescent="0.25">
      <c r="A40" s="63"/>
      <c r="B40" s="63"/>
      <c r="C40" s="63"/>
      <c r="D40" s="63"/>
      <c r="E40" s="63"/>
      <c r="F40" s="57"/>
      <c r="G40" s="57"/>
      <c r="H40" s="57"/>
      <c r="I40" s="67"/>
      <c r="J40" s="43" t="s">
        <v>17</v>
      </c>
      <c r="K40" s="75" t="s">
        <v>106</v>
      </c>
      <c r="L40" s="13"/>
      <c r="M40" s="97">
        <v>900000</v>
      </c>
      <c r="N40" s="104">
        <f>Juni!R40</f>
        <v>0</v>
      </c>
      <c r="O40" s="99">
        <f t="shared" si="0"/>
        <v>0</v>
      </c>
      <c r="P40" s="101"/>
      <c r="Q40" s="99">
        <f t="shared" si="1"/>
        <v>0</v>
      </c>
      <c r="R40" s="101">
        <f>N40+P40</f>
        <v>0</v>
      </c>
      <c r="S40" s="99">
        <f t="shared" si="2"/>
        <v>0</v>
      </c>
      <c r="T40" s="100">
        <f>0/1*100</f>
        <v>0</v>
      </c>
      <c r="U40" s="10"/>
      <c r="V40" s="10"/>
      <c r="W40" s="133"/>
    </row>
    <row r="41" spans="1:23" ht="9.9499999999999993" customHeight="1" x14ac:dyDescent="0.25">
      <c r="A41" s="63"/>
      <c r="B41" s="63"/>
      <c r="C41" s="63"/>
      <c r="D41" s="63"/>
      <c r="E41" s="63"/>
      <c r="F41" s="57"/>
      <c r="G41" s="57"/>
      <c r="H41" s="57"/>
      <c r="I41" s="67"/>
      <c r="J41" s="68"/>
      <c r="K41" s="84"/>
      <c r="L41" s="165"/>
      <c r="M41" s="115"/>
      <c r="N41" s="104">
        <f>Juni!R41</f>
        <v>0</v>
      </c>
      <c r="O41" s="99"/>
      <c r="P41" s="101"/>
      <c r="Q41" s="99"/>
      <c r="R41" s="101"/>
      <c r="S41" s="99"/>
      <c r="T41" s="101"/>
      <c r="U41" s="10"/>
      <c r="V41" s="10"/>
      <c r="W41" s="133"/>
    </row>
    <row r="42" spans="1:23" ht="18.95" customHeight="1" x14ac:dyDescent="0.25">
      <c r="A42" s="8">
        <v>1</v>
      </c>
      <c r="B42" s="9" t="s">
        <v>17</v>
      </c>
      <c r="C42" s="9" t="s">
        <v>18</v>
      </c>
      <c r="D42" s="8">
        <v>38</v>
      </c>
      <c r="E42" s="8">
        <v>14</v>
      </c>
      <c r="F42" s="42" t="s">
        <v>21</v>
      </c>
      <c r="G42" s="42" t="s">
        <v>22</v>
      </c>
      <c r="H42" s="42" t="s">
        <v>22</v>
      </c>
      <c r="I42" s="60" t="s">
        <v>28</v>
      </c>
      <c r="J42" s="44"/>
      <c r="K42" s="79" t="s">
        <v>53</v>
      </c>
      <c r="L42" s="14"/>
      <c r="M42" s="103">
        <f>SUM(M43:M44)</f>
        <v>29487500</v>
      </c>
      <c r="N42" s="104">
        <f>Juni!R42</f>
        <v>5900000</v>
      </c>
      <c r="O42" s="99">
        <f t="shared" si="0"/>
        <v>20.008478168715556</v>
      </c>
      <c r="P42" s="104">
        <f>P44+P43</f>
        <v>150000</v>
      </c>
      <c r="Q42" s="95">
        <f t="shared" si="1"/>
        <v>0.5086901229334464</v>
      </c>
      <c r="R42" s="104">
        <f>SUM(R43:R44)</f>
        <v>6050000</v>
      </c>
      <c r="S42" s="95">
        <f t="shared" si="2"/>
        <v>20.517168291649003</v>
      </c>
      <c r="T42" s="95">
        <f>SUM(T43:T44)/2</f>
        <v>43.229724901750629</v>
      </c>
      <c r="U42" s="10"/>
      <c r="V42" s="10"/>
      <c r="W42" s="133"/>
    </row>
    <row r="43" spans="1:23" ht="15" customHeight="1" x14ac:dyDescent="0.25">
      <c r="A43" s="8"/>
      <c r="B43" s="9"/>
      <c r="C43" s="9"/>
      <c r="D43" s="8"/>
      <c r="E43" s="8"/>
      <c r="F43" s="42"/>
      <c r="G43" s="42"/>
      <c r="H43" s="42"/>
      <c r="I43" s="59"/>
      <c r="J43" s="55" t="s">
        <v>18</v>
      </c>
      <c r="K43" s="78" t="s">
        <v>65</v>
      </c>
      <c r="L43" s="14"/>
      <c r="M43" s="97">
        <v>22490000</v>
      </c>
      <c r="N43" s="104">
        <f>Juni!R43</f>
        <v>0</v>
      </c>
      <c r="O43" s="99">
        <f t="shared" si="0"/>
        <v>0</v>
      </c>
      <c r="P43" s="26"/>
      <c r="Q43" s="99">
        <f t="shared" si="1"/>
        <v>0</v>
      </c>
      <c r="R43" s="98">
        <f>N43+P43</f>
        <v>0</v>
      </c>
      <c r="S43" s="99">
        <f>R43/M43*100</f>
        <v>0</v>
      </c>
      <c r="T43" s="99">
        <v>0</v>
      </c>
      <c r="U43" s="10"/>
      <c r="V43" s="10"/>
      <c r="W43" s="133"/>
    </row>
    <row r="44" spans="1:23" ht="15" customHeight="1" x14ac:dyDescent="0.25">
      <c r="A44" s="6"/>
      <c r="B44" s="7"/>
      <c r="C44" s="7"/>
      <c r="D44" s="6"/>
      <c r="E44" s="6"/>
      <c r="F44" s="48"/>
      <c r="G44" s="48"/>
      <c r="H44" s="48"/>
      <c r="I44" s="51"/>
      <c r="J44" s="55" t="s">
        <v>17</v>
      </c>
      <c r="K44" s="82" t="s">
        <v>54</v>
      </c>
      <c r="L44" s="162"/>
      <c r="M44" s="97">
        <v>6997500</v>
      </c>
      <c r="N44" s="104">
        <f>Juni!R44</f>
        <v>5900000</v>
      </c>
      <c r="O44" s="99">
        <f t="shared" si="0"/>
        <v>84.315827081100394</v>
      </c>
      <c r="P44" s="26">
        <v>150000</v>
      </c>
      <c r="Q44" s="99">
        <f t="shared" si="1"/>
        <v>2.1436227224008575</v>
      </c>
      <c r="R44" s="98">
        <f>N44+P44</f>
        <v>6050000</v>
      </c>
      <c r="S44" s="99">
        <f>R44/M44*100</f>
        <v>86.459449803501258</v>
      </c>
      <c r="T44" s="100">
        <f>24200/27990*100</f>
        <v>86.459449803501258</v>
      </c>
      <c r="U44" s="10"/>
      <c r="V44" s="10"/>
      <c r="W44" s="133"/>
    </row>
    <row r="45" spans="1:23" ht="9.9499999999999993" customHeight="1" x14ac:dyDescent="0.25">
      <c r="A45" s="10"/>
      <c r="B45" s="10"/>
      <c r="C45" s="10"/>
      <c r="D45" s="10"/>
      <c r="E45" s="10"/>
      <c r="F45" s="48"/>
      <c r="G45" s="48"/>
      <c r="H45" s="48"/>
      <c r="I45" s="53"/>
      <c r="J45" s="44"/>
      <c r="K45" s="87"/>
      <c r="L45" s="165"/>
      <c r="M45" s="115"/>
      <c r="N45" s="104">
        <f>Juni!R45</f>
        <v>0</v>
      </c>
      <c r="O45" s="99"/>
      <c r="P45" s="117"/>
      <c r="Q45" s="99"/>
      <c r="R45" s="117"/>
      <c r="S45" s="99"/>
      <c r="T45" s="101"/>
      <c r="U45" s="10"/>
      <c r="V45" s="10"/>
      <c r="W45" s="133"/>
    </row>
    <row r="46" spans="1:23" ht="18.95" customHeight="1" x14ac:dyDescent="0.25">
      <c r="A46" s="8">
        <v>1</v>
      </c>
      <c r="B46" s="9" t="s">
        <v>17</v>
      </c>
      <c r="C46" s="9" t="s">
        <v>18</v>
      </c>
      <c r="D46" s="8">
        <v>38</v>
      </c>
      <c r="E46" s="8">
        <v>14</v>
      </c>
      <c r="F46" s="41">
        <v>5</v>
      </c>
      <c r="G46" s="41">
        <v>2</v>
      </c>
      <c r="H46" s="41">
        <v>2</v>
      </c>
      <c r="I46" s="60" t="s">
        <v>37</v>
      </c>
      <c r="J46" s="42"/>
      <c r="K46" s="79" t="s">
        <v>55</v>
      </c>
      <c r="L46" s="13"/>
      <c r="M46" s="105">
        <f>M47</f>
        <v>30300000</v>
      </c>
      <c r="N46" s="104">
        <f>Juni!R46</f>
        <v>8550000</v>
      </c>
      <c r="O46" s="99">
        <f t="shared" si="0"/>
        <v>28.217821782178216</v>
      </c>
      <c r="P46" s="106">
        <f>P47</f>
        <v>0</v>
      </c>
      <c r="Q46" s="95">
        <f t="shared" si="1"/>
        <v>0</v>
      </c>
      <c r="R46" s="106">
        <f>R47</f>
        <v>8550000</v>
      </c>
      <c r="S46" s="95">
        <f t="shared" si="2"/>
        <v>28.217821782178216</v>
      </c>
      <c r="T46" s="95">
        <f>T47</f>
        <v>18.613138686131386</v>
      </c>
      <c r="U46" s="10"/>
      <c r="V46" s="10"/>
      <c r="W46" s="133"/>
    </row>
    <row r="47" spans="1:23" ht="15" customHeight="1" x14ac:dyDescent="0.25">
      <c r="A47" s="127"/>
      <c r="B47" s="127"/>
      <c r="C47" s="127"/>
      <c r="D47" s="127"/>
      <c r="E47" s="127"/>
      <c r="F47" s="42"/>
      <c r="G47" s="42"/>
      <c r="H47" s="42"/>
      <c r="I47" s="42"/>
      <c r="J47" s="55" t="s">
        <v>17</v>
      </c>
      <c r="K47" s="78" t="s">
        <v>56</v>
      </c>
      <c r="L47" s="10"/>
      <c r="M47" s="107">
        <v>30300000</v>
      </c>
      <c r="N47" s="104">
        <f>Juni!R47</f>
        <v>8550000</v>
      </c>
      <c r="O47" s="99">
        <f t="shared" si="0"/>
        <v>28.217821782178216</v>
      </c>
      <c r="P47" s="26"/>
      <c r="Q47" s="99">
        <f t="shared" si="1"/>
        <v>0</v>
      </c>
      <c r="R47" s="108">
        <f>N47+P47</f>
        <v>8550000</v>
      </c>
      <c r="S47" s="99">
        <f>R47/M47*100</f>
        <v>28.217821782178216</v>
      </c>
      <c r="T47" s="100">
        <f>306/1644*100</f>
        <v>18.613138686131386</v>
      </c>
      <c r="U47" s="10"/>
      <c r="V47" s="10"/>
      <c r="W47" s="133"/>
    </row>
    <row r="48" spans="1:23" ht="9.9499999999999993" customHeight="1" x14ac:dyDescent="0.25">
      <c r="A48" s="127"/>
      <c r="B48" s="127"/>
      <c r="C48" s="127"/>
      <c r="D48" s="127"/>
      <c r="E48" s="127"/>
      <c r="F48" s="42"/>
      <c r="G48" s="42"/>
      <c r="H48" s="42"/>
      <c r="I48" s="42"/>
      <c r="J48" s="59"/>
      <c r="K48" s="87"/>
      <c r="L48" s="166"/>
      <c r="M48" s="118"/>
      <c r="N48" s="104">
        <f>Juni!R48</f>
        <v>0</v>
      </c>
      <c r="O48" s="99"/>
      <c r="P48" s="119"/>
      <c r="Q48" s="99"/>
      <c r="R48" s="119"/>
      <c r="S48" s="99"/>
      <c r="T48" s="63"/>
      <c r="U48" s="10"/>
      <c r="V48" s="10"/>
      <c r="W48" s="133"/>
    </row>
    <row r="49" spans="1:23" s="174" customFormat="1" ht="18.95" customHeight="1" x14ac:dyDescent="0.25">
      <c r="A49" s="8">
        <v>1</v>
      </c>
      <c r="B49" s="9" t="s">
        <v>17</v>
      </c>
      <c r="C49" s="9" t="s">
        <v>18</v>
      </c>
      <c r="D49" s="8">
        <v>38</v>
      </c>
      <c r="E49" s="8">
        <v>14</v>
      </c>
      <c r="F49" s="41">
        <v>5</v>
      </c>
      <c r="G49" s="41">
        <v>2</v>
      </c>
      <c r="H49" s="41">
        <v>2</v>
      </c>
      <c r="I49" s="60" t="s">
        <v>82</v>
      </c>
      <c r="J49" s="46"/>
      <c r="K49" s="79" t="s">
        <v>83</v>
      </c>
      <c r="L49" s="127"/>
      <c r="M49" s="105">
        <f>M50</f>
        <v>3300000</v>
      </c>
      <c r="N49" s="104">
        <f>Juni!R49</f>
        <v>0</v>
      </c>
      <c r="O49" s="95">
        <f t="shared" si="0"/>
        <v>0</v>
      </c>
      <c r="P49" s="106">
        <f>P50</f>
        <v>0</v>
      </c>
      <c r="Q49" s="95">
        <f t="shared" si="1"/>
        <v>0</v>
      </c>
      <c r="R49" s="106">
        <f>R50</f>
        <v>0</v>
      </c>
      <c r="S49" s="95">
        <f t="shared" si="2"/>
        <v>0</v>
      </c>
      <c r="T49" s="95">
        <f>T50</f>
        <v>0</v>
      </c>
      <c r="U49" s="127"/>
      <c r="V49" s="127"/>
      <c r="W49" s="173"/>
    </row>
    <row r="50" spans="1:23" ht="15" customHeight="1" x14ac:dyDescent="0.25">
      <c r="A50" s="63"/>
      <c r="B50" s="63"/>
      <c r="C50" s="63"/>
      <c r="D50" s="63"/>
      <c r="E50" s="63"/>
      <c r="F50" s="48"/>
      <c r="G50" s="48"/>
      <c r="H50" s="48"/>
      <c r="I50" s="48"/>
      <c r="J50" s="55" t="s">
        <v>35</v>
      </c>
      <c r="K50" s="78" t="s">
        <v>84</v>
      </c>
      <c r="L50" s="10"/>
      <c r="M50" s="107">
        <v>3300000</v>
      </c>
      <c r="N50" s="104">
        <f>Juni!R50</f>
        <v>0</v>
      </c>
      <c r="O50" s="99">
        <f t="shared" si="0"/>
        <v>0</v>
      </c>
      <c r="P50" s="108"/>
      <c r="Q50" s="99">
        <f t="shared" si="1"/>
        <v>0</v>
      </c>
      <c r="R50" s="108">
        <f>N50+P50</f>
        <v>0</v>
      </c>
      <c r="S50" s="99">
        <f t="shared" si="2"/>
        <v>0</v>
      </c>
      <c r="T50" s="100">
        <f>0/1*100</f>
        <v>0</v>
      </c>
      <c r="U50" s="10"/>
      <c r="V50" s="10"/>
      <c r="W50" s="133"/>
    </row>
    <row r="51" spans="1:23" ht="9.9499999999999993" customHeight="1" x14ac:dyDescent="0.25">
      <c r="A51" s="152"/>
      <c r="B51" s="152"/>
      <c r="C51" s="152"/>
      <c r="D51" s="152"/>
      <c r="E51" s="152"/>
      <c r="F51" s="42"/>
      <c r="G51" s="42"/>
      <c r="H51" s="42"/>
      <c r="I51" s="42"/>
      <c r="J51" s="59"/>
      <c r="K51" s="87"/>
      <c r="L51" s="166"/>
      <c r="M51" s="118"/>
      <c r="N51" s="104">
        <f>Juni!R51</f>
        <v>0</v>
      </c>
      <c r="O51" s="99"/>
      <c r="P51" s="119"/>
      <c r="Q51" s="99"/>
      <c r="R51" s="119"/>
      <c r="S51" s="99"/>
      <c r="T51" s="63"/>
      <c r="U51" s="10"/>
      <c r="V51" s="10"/>
      <c r="W51" s="133"/>
    </row>
    <row r="52" spans="1:23" ht="18.95" customHeight="1" x14ac:dyDescent="0.25">
      <c r="A52" s="8">
        <v>1</v>
      </c>
      <c r="B52" s="9" t="s">
        <v>17</v>
      </c>
      <c r="C52" s="9" t="s">
        <v>18</v>
      </c>
      <c r="D52" s="8">
        <v>38</v>
      </c>
      <c r="E52" s="8">
        <v>14</v>
      </c>
      <c r="F52" s="61" t="s">
        <v>21</v>
      </c>
      <c r="G52" s="61" t="s">
        <v>22</v>
      </c>
      <c r="H52" s="61" t="s">
        <v>22</v>
      </c>
      <c r="I52" s="128">
        <v>15</v>
      </c>
      <c r="J52" s="61"/>
      <c r="K52" s="88" t="s">
        <v>43</v>
      </c>
      <c r="L52" s="10"/>
      <c r="M52" s="105">
        <f>M53</f>
        <v>15612000</v>
      </c>
      <c r="N52" s="104">
        <f>Juni!R52</f>
        <v>5626800</v>
      </c>
      <c r="O52" s="99">
        <f t="shared" si="0"/>
        <v>36.041506533435822</v>
      </c>
      <c r="P52" s="106">
        <f>P53</f>
        <v>0</v>
      </c>
      <c r="Q52" s="95">
        <f t="shared" si="1"/>
        <v>0</v>
      </c>
      <c r="R52" s="106">
        <f>R53</f>
        <v>5626800</v>
      </c>
      <c r="S52" s="95">
        <f t="shared" si="2"/>
        <v>36.041506533435822</v>
      </c>
      <c r="T52" s="96">
        <f>T53</f>
        <v>50</v>
      </c>
      <c r="U52" s="10"/>
      <c r="V52" s="10"/>
      <c r="W52" s="133"/>
    </row>
    <row r="53" spans="1:23" ht="15" customHeight="1" x14ac:dyDescent="0.25">
      <c r="A53" s="10"/>
      <c r="B53" s="10"/>
      <c r="C53" s="10"/>
      <c r="D53" s="10"/>
      <c r="E53" s="10"/>
      <c r="F53" s="57"/>
      <c r="G53" s="57"/>
      <c r="H53" s="57"/>
      <c r="I53" s="129"/>
      <c r="J53" s="57" t="s">
        <v>17</v>
      </c>
      <c r="K53" s="89" t="s">
        <v>69</v>
      </c>
      <c r="L53" s="10"/>
      <c r="M53" s="107">
        <v>15612000</v>
      </c>
      <c r="N53" s="104">
        <f>Juni!R53</f>
        <v>5626800</v>
      </c>
      <c r="O53" s="99">
        <f t="shared" si="0"/>
        <v>36.041506533435822</v>
      </c>
      <c r="P53" s="120"/>
      <c r="Q53" s="99">
        <f t="shared" si="1"/>
        <v>0</v>
      </c>
      <c r="R53" s="108">
        <f>N53+P53</f>
        <v>5626800</v>
      </c>
      <c r="S53" s="99">
        <f t="shared" si="2"/>
        <v>36.041506533435822</v>
      </c>
      <c r="T53" s="100">
        <f>1/2*100</f>
        <v>50</v>
      </c>
      <c r="U53" s="10"/>
      <c r="V53" s="10"/>
      <c r="W53" s="133"/>
    </row>
    <row r="54" spans="1:23" ht="9.9499999999999993" customHeight="1" x14ac:dyDescent="0.25">
      <c r="A54" s="10"/>
      <c r="B54" s="10"/>
      <c r="C54" s="10"/>
      <c r="D54" s="10"/>
      <c r="E54" s="10"/>
      <c r="F54" s="48"/>
      <c r="G54" s="48"/>
      <c r="H54" s="48"/>
      <c r="I54" s="53"/>
      <c r="J54" s="53"/>
      <c r="K54" s="78"/>
      <c r="L54" s="10"/>
      <c r="M54" s="107"/>
      <c r="N54" s="104">
        <f>Juni!R54</f>
        <v>0</v>
      </c>
      <c r="O54" s="99"/>
      <c r="P54" s="108"/>
      <c r="Q54" s="99"/>
      <c r="R54" s="108"/>
      <c r="S54" s="99"/>
      <c r="T54" s="63"/>
      <c r="U54" s="10"/>
      <c r="V54" s="10"/>
      <c r="W54" s="133"/>
    </row>
    <row r="55" spans="1:23" ht="27.95" customHeight="1" x14ac:dyDescent="0.25">
      <c r="A55" s="8">
        <v>1</v>
      </c>
      <c r="B55" s="9" t="s">
        <v>17</v>
      </c>
      <c r="C55" s="9" t="s">
        <v>18</v>
      </c>
      <c r="D55" s="8">
        <v>38</v>
      </c>
      <c r="E55" s="8">
        <v>14</v>
      </c>
      <c r="F55" s="61" t="s">
        <v>21</v>
      </c>
      <c r="G55" s="61" t="s">
        <v>22</v>
      </c>
      <c r="H55" s="61" t="s">
        <v>22</v>
      </c>
      <c r="I55" s="128" t="s">
        <v>48</v>
      </c>
      <c r="J55" s="42"/>
      <c r="K55" s="79" t="s">
        <v>57</v>
      </c>
      <c r="L55" s="10"/>
      <c r="M55" s="105">
        <f>M56</f>
        <v>20000000</v>
      </c>
      <c r="N55" s="104">
        <f>Juni!R55</f>
        <v>15000000</v>
      </c>
      <c r="O55" s="99">
        <f t="shared" si="0"/>
        <v>75</v>
      </c>
      <c r="P55" s="106">
        <f>P56</f>
        <v>0</v>
      </c>
      <c r="Q55" s="95">
        <f t="shared" si="1"/>
        <v>0</v>
      </c>
      <c r="R55" s="106">
        <f>R56</f>
        <v>15000000</v>
      </c>
      <c r="S55" s="95">
        <f t="shared" si="2"/>
        <v>75</v>
      </c>
      <c r="T55" s="96">
        <f>T56</f>
        <v>75</v>
      </c>
      <c r="U55" s="10"/>
      <c r="V55" s="10"/>
      <c r="W55" s="133"/>
    </row>
    <row r="56" spans="1:23" ht="15" customHeight="1" x14ac:dyDescent="0.25">
      <c r="A56" s="10"/>
      <c r="B56" s="10"/>
      <c r="C56" s="10"/>
      <c r="D56" s="10"/>
      <c r="E56" s="10"/>
      <c r="F56" s="48"/>
      <c r="G56" s="48"/>
      <c r="H56" s="48"/>
      <c r="I56" s="48"/>
      <c r="J56" s="48" t="s">
        <v>18</v>
      </c>
      <c r="K56" s="78" t="s">
        <v>58</v>
      </c>
      <c r="L56" s="10"/>
      <c r="M56" s="107">
        <v>20000000</v>
      </c>
      <c r="N56" s="104">
        <f>Juni!R56</f>
        <v>15000000</v>
      </c>
      <c r="O56" s="99">
        <f t="shared" si="0"/>
        <v>75</v>
      </c>
      <c r="P56" s="26"/>
      <c r="Q56" s="99">
        <f t="shared" si="1"/>
        <v>0</v>
      </c>
      <c r="R56" s="108">
        <f>N56+P56</f>
        <v>15000000</v>
      </c>
      <c r="S56" s="99">
        <f t="shared" si="2"/>
        <v>75</v>
      </c>
      <c r="T56" s="100">
        <f>3/4*100</f>
        <v>75</v>
      </c>
      <c r="U56" s="10"/>
      <c r="V56" s="10"/>
      <c r="W56" s="133"/>
    </row>
    <row r="57" spans="1:23" ht="9.9499999999999993" customHeight="1" x14ac:dyDescent="0.25">
      <c r="A57" s="10"/>
      <c r="B57" s="10"/>
      <c r="C57" s="10"/>
      <c r="D57" s="10"/>
      <c r="E57" s="10"/>
      <c r="F57" s="48"/>
      <c r="G57" s="48"/>
      <c r="H57" s="48"/>
      <c r="I57" s="53"/>
      <c r="J57" s="53"/>
      <c r="K57" s="90"/>
      <c r="L57" s="10"/>
      <c r="M57" s="97"/>
      <c r="N57" s="104">
        <f>Juni!R57</f>
        <v>0</v>
      </c>
      <c r="O57" s="99"/>
      <c r="P57" s="98"/>
      <c r="Q57" s="99"/>
      <c r="R57" s="98"/>
      <c r="S57" s="99"/>
      <c r="T57" s="63"/>
      <c r="U57" s="10"/>
      <c r="V57" s="10"/>
      <c r="W57" s="133"/>
    </row>
    <row r="58" spans="1:23" ht="18.95" customHeight="1" x14ac:dyDescent="0.25">
      <c r="A58" s="8">
        <v>1</v>
      </c>
      <c r="B58" s="9" t="s">
        <v>17</v>
      </c>
      <c r="C58" s="9" t="s">
        <v>18</v>
      </c>
      <c r="D58" s="8">
        <v>38</v>
      </c>
      <c r="E58" s="8">
        <v>14</v>
      </c>
      <c r="F58" s="61" t="s">
        <v>21</v>
      </c>
      <c r="G58" s="61" t="s">
        <v>22</v>
      </c>
      <c r="H58" s="61" t="s">
        <v>22</v>
      </c>
      <c r="I58" s="128" t="s">
        <v>51</v>
      </c>
      <c r="J58" s="130"/>
      <c r="K58" s="88" t="s">
        <v>59</v>
      </c>
      <c r="L58" s="10"/>
      <c r="M58" s="103">
        <f>SUM(M59:M62)</f>
        <v>24000000</v>
      </c>
      <c r="N58" s="104">
        <f>Juni!R58</f>
        <v>9785000</v>
      </c>
      <c r="O58" s="99">
        <f t="shared" si="0"/>
        <v>40.770833333333336</v>
      </c>
      <c r="P58" s="104">
        <f>SUM(P59:P62)</f>
        <v>0</v>
      </c>
      <c r="Q58" s="95">
        <f t="shared" si="1"/>
        <v>0</v>
      </c>
      <c r="R58" s="104">
        <f>SUM(R59:R62)</f>
        <v>9785000</v>
      </c>
      <c r="S58" s="95">
        <f t="shared" si="2"/>
        <v>40.770833333333336</v>
      </c>
      <c r="T58" s="96">
        <f>SUM(T59:T62)/4</f>
        <v>25</v>
      </c>
      <c r="U58" s="10"/>
      <c r="V58" s="10"/>
      <c r="W58" s="133"/>
    </row>
    <row r="59" spans="1:23" ht="15" customHeight="1" x14ac:dyDescent="0.25">
      <c r="A59" s="10"/>
      <c r="B59" s="10"/>
      <c r="C59" s="10"/>
      <c r="D59" s="10"/>
      <c r="E59" s="10"/>
      <c r="F59" s="57"/>
      <c r="G59" s="57"/>
      <c r="H59" s="57"/>
      <c r="I59" s="129"/>
      <c r="J59" s="62" t="s">
        <v>34</v>
      </c>
      <c r="K59" s="89" t="s">
        <v>60</v>
      </c>
      <c r="L59" s="10"/>
      <c r="M59" s="97">
        <v>1000000</v>
      </c>
      <c r="N59" s="104">
        <f>Juni!R59</f>
        <v>0</v>
      </c>
      <c r="O59" s="99">
        <f t="shared" si="0"/>
        <v>0</v>
      </c>
      <c r="P59" s="98"/>
      <c r="Q59" s="99">
        <f t="shared" si="1"/>
        <v>0</v>
      </c>
      <c r="R59" s="98">
        <f>N59+P59</f>
        <v>0</v>
      </c>
      <c r="S59" s="99">
        <f t="shared" si="2"/>
        <v>0</v>
      </c>
      <c r="T59" s="100">
        <f>0/1*100</f>
        <v>0</v>
      </c>
      <c r="U59" s="10"/>
      <c r="V59" s="10"/>
      <c r="W59" s="133"/>
    </row>
    <row r="60" spans="1:23" ht="15" customHeight="1" x14ac:dyDescent="0.25">
      <c r="A60" s="10"/>
      <c r="B60" s="10"/>
      <c r="C60" s="10"/>
      <c r="D60" s="10"/>
      <c r="E60" s="10"/>
      <c r="F60" s="54"/>
      <c r="G60" s="54"/>
      <c r="H60" s="54"/>
      <c r="I60" s="48"/>
      <c r="J60" s="55" t="s">
        <v>35</v>
      </c>
      <c r="K60" s="73" t="s">
        <v>61</v>
      </c>
      <c r="L60" s="10"/>
      <c r="M60" s="97">
        <v>13000000</v>
      </c>
      <c r="N60" s="104">
        <f>Juni!R60</f>
        <v>9785000</v>
      </c>
      <c r="O60" s="99">
        <f t="shared" si="0"/>
        <v>75.269230769230759</v>
      </c>
      <c r="P60" s="98"/>
      <c r="Q60" s="99">
        <f t="shared" si="1"/>
        <v>0</v>
      </c>
      <c r="R60" s="98">
        <f t="shared" ref="R60:R62" si="5">N60+P60</f>
        <v>9785000</v>
      </c>
      <c r="S60" s="99">
        <f t="shared" si="2"/>
        <v>75.269230769230759</v>
      </c>
      <c r="T60" s="100">
        <f>1/1*100</f>
        <v>100</v>
      </c>
      <c r="U60" s="10"/>
      <c r="V60" s="10"/>
      <c r="W60" s="133"/>
    </row>
    <row r="61" spans="1:23" ht="15" customHeight="1" x14ac:dyDescent="0.25">
      <c r="A61" s="10"/>
      <c r="B61" s="10"/>
      <c r="C61" s="10"/>
      <c r="D61" s="10"/>
      <c r="E61" s="10"/>
      <c r="F61" s="57"/>
      <c r="G61" s="57"/>
      <c r="H61" s="57"/>
      <c r="I61" s="129"/>
      <c r="J61" s="62" t="s">
        <v>50</v>
      </c>
      <c r="K61" s="89" t="s">
        <v>62</v>
      </c>
      <c r="L61" s="10"/>
      <c r="M61" s="97">
        <v>5000000</v>
      </c>
      <c r="N61" s="104">
        <f>Juni!R61</f>
        <v>0</v>
      </c>
      <c r="O61" s="99">
        <f t="shared" si="0"/>
        <v>0</v>
      </c>
      <c r="P61" s="98"/>
      <c r="Q61" s="99">
        <f t="shared" si="1"/>
        <v>0</v>
      </c>
      <c r="R61" s="98">
        <f t="shared" si="5"/>
        <v>0</v>
      </c>
      <c r="S61" s="99">
        <f t="shared" si="2"/>
        <v>0</v>
      </c>
      <c r="T61" s="100">
        <f>0/2*100</f>
        <v>0</v>
      </c>
      <c r="U61" s="10"/>
      <c r="V61" s="10"/>
      <c r="W61" s="133"/>
    </row>
    <row r="62" spans="1:23" ht="15" customHeight="1" x14ac:dyDescent="0.25">
      <c r="A62" s="10"/>
      <c r="B62" s="10"/>
      <c r="C62" s="10"/>
      <c r="D62" s="10"/>
      <c r="E62" s="10"/>
      <c r="F62" s="57"/>
      <c r="G62" s="57"/>
      <c r="H62" s="57"/>
      <c r="I62" s="129"/>
      <c r="J62" s="62" t="s">
        <v>36</v>
      </c>
      <c r="K62" s="89" t="s">
        <v>80</v>
      </c>
      <c r="L62" s="10"/>
      <c r="M62" s="97">
        <v>5000000</v>
      </c>
      <c r="N62" s="104">
        <f>Juni!R62</f>
        <v>0</v>
      </c>
      <c r="O62" s="99">
        <v>0</v>
      </c>
      <c r="P62" s="98"/>
      <c r="Q62" s="99">
        <v>0</v>
      </c>
      <c r="R62" s="98">
        <f t="shared" si="5"/>
        <v>0</v>
      </c>
      <c r="S62" s="99">
        <f t="shared" si="2"/>
        <v>0</v>
      </c>
      <c r="T62" s="100">
        <f>0/1*100</f>
        <v>0</v>
      </c>
      <c r="U62" s="10"/>
      <c r="V62" s="10"/>
      <c r="W62" s="133"/>
    </row>
    <row r="63" spans="1:23" ht="9.9499999999999993" customHeight="1" x14ac:dyDescent="0.25">
      <c r="A63" s="10"/>
      <c r="B63" s="10"/>
      <c r="C63" s="10"/>
      <c r="D63" s="10"/>
      <c r="E63" s="10"/>
      <c r="F63" s="48"/>
      <c r="G63" s="48"/>
      <c r="H63" s="48"/>
      <c r="I63" s="53"/>
      <c r="J63" s="53"/>
      <c r="K63" s="78"/>
      <c r="L63" s="10"/>
      <c r="M63" s="97"/>
      <c r="N63" s="104">
        <f>Juni!R63</f>
        <v>0</v>
      </c>
      <c r="O63" s="99"/>
      <c r="P63" s="98"/>
      <c r="Q63" s="99"/>
      <c r="R63" s="98"/>
      <c r="S63" s="99"/>
      <c r="T63" s="63"/>
      <c r="U63" s="10"/>
      <c r="V63" s="10"/>
      <c r="W63" s="133"/>
    </row>
    <row r="64" spans="1:23" ht="18.95" customHeight="1" x14ac:dyDescent="0.25">
      <c r="A64" s="127">
        <v>1</v>
      </c>
      <c r="B64" s="127" t="s">
        <v>17</v>
      </c>
      <c r="C64" s="127" t="s">
        <v>18</v>
      </c>
      <c r="D64" s="127">
        <v>38</v>
      </c>
      <c r="E64" s="127">
        <v>14</v>
      </c>
      <c r="F64" s="42" t="s">
        <v>21</v>
      </c>
      <c r="G64" s="42" t="s">
        <v>22</v>
      </c>
      <c r="H64" s="42" t="s">
        <v>22</v>
      </c>
      <c r="I64" s="42" t="s">
        <v>78</v>
      </c>
      <c r="J64" s="42"/>
      <c r="K64" s="79" t="s">
        <v>76</v>
      </c>
      <c r="L64" s="127"/>
      <c r="M64" s="103">
        <f>SUM(M65:M66)</f>
        <v>10000000</v>
      </c>
      <c r="N64" s="104">
        <f>Juni!R64</f>
        <v>2000000</v>
      </c>
      <c r="O64" s="95">
        <f t="shared" ref="O64:O66" si="6">N64/M64*100</f>
        <v>20</v>
      </c>
      <c r="P64" s="104">
        <f>SUM(P65:P66)</f>
        <v>0</v>
      </c>
      <c r="Q64" s="95">
        <f t="shared" ref="Q64:Q66" si="7">P64/M64*100</f>
        <v>0</v>
      </c>
      <c r="R64" s="104">
        <f>SUM(R65:R66)</f>
        <v>2000000</v>
      </c>
      <c r="S64" s="95">
        <f t="shared" ref="S64:S66" si="8">R64/M64*100</f>
        <v>20</v>
      </c>
      <c r="T64" s="96">
        <f>SUM(T65:T66)/2</f>
        <v>50</v>
      </c>
      <c r="U64" s="10"/>
      <c r="V64" s="10"/>
      <c r="W64" s="133"/>
    </row>
    <row r="65" spans="1:23" ht="15" customHeight="1" x14ac:dyDescent="0.25">
      <c r="A65" s="6"/>
      <c r="B65" s="7"/>
      <c r="C65" s="7"/>
      <c r="D65" s="6"/>
      <c r="E65" s="6"/>
      <c r="F65" s="57"/>
      <c r="G65" s="57"/>
      <c r="H65" s="57"/>
      <c r="I65" s="70"/>
      <c r="J65" s="62" t="s">
        <v>34</v>
      </c>
      <c r="K65" s="89" t="s">
        <v>107</v>
      </c>
      <c r="L65" s="10"/>
      <c r="M65" s="97">
        <v>7000000</v>
      </c>
      <c r="N65" s="104">
        <f>Juni!R65</f>
        <v>0</v>
      </c>
      <c r="O65" s="99">
        <f t="shared" si="6"/>
        <v>0</v>
      </c>
      <c r="P65" s="98"/>
      <c r="Q65" s="99">
        <f t="shared" si="7"/>
        <v>0</v>
      </c>
      <c r="R65" s="98">
        <f>N65+P65</f>
        <v>0</v>
      </c>
      <c r="S65" s="99">
        <f t="shared" si="8"/>
        <v>0</v>
      </c>
      <c r="T65" s="100">
        <f>0/1*100</f>
        <v>0</v>
      </c>
      <c r="U65" s="10"/>
      <c r="V65" s="10"/>
      <c r="W65" s="133"/>
    </row>
    <row r="66" spans="1:23" ht="15" customHeight="1" x14ac:dyDescent="0.25">
      <c r="A66" s="10"/>
      <c r="B66" s="10"/>
      <c r="C66" s="10"/>
      <c r="D66" s="10"/>
      <c r="E66" s="10"/>
      <c r="F66" s="48"/>
      <c r="G66" s="48"/>
      <c r="H66" s="48"/>
      <c r="I66" s="48"/>
      <c r="J66" s="48" t="s">
        <v>30</v>
      </c>
      <c r="K66" s="78" t="s">
        <v>77</v>
      </c>
      <c r="L66" s="10"/>
      <c r="M66" s="97">
        <v>3000000</v>
      </c>
      <c r="N66" s="104">
        <f>Juni!R66</f>
        <v>2000000</v>
      </c>
      <c r="O66" s="99">
        <f t="shared" si="6"/>
        <v>66.666666666666657</v>
      </c>
      <c r="P66" s="98"/>
      <c r="Q66" s="99">
        <f t="shared" si="7"/>
        <v>0</v>
      </c>
      <c r="R66" s="98">
        <f>N66+P66</f>
        <v>2000000</v>
      </c>
      <c r="S66" s="99">
        <f t="shared" si="8"/>
        <v>66.666666666666657</v>
      </c>
      <c r="T66" s="100">
        <f>1/1*100</f>
        <v>100</v>
      </c>
      <c r="U66" s="10"/>
      <c r="V66" s="10"/>
      <c r="W66" s="133"/>
    </row>
    <row r="67" spans="1:23" ht="9.9499999999999993" customHeight="1" x14ac:dyDescent="0.25">
      <c r="A67" s="10"/>
      <c r="B67" s="10"/>
      <c r="C67" s="10"/>
      <c r="D67" s="10"/>
      <c r="E67" s="10"/>
      <c r="F67" s="48"/>
      <c r="G67" s="48"/>
      <c r="H67" s="48"/>
      <c r="I67" s="53"/>
      <c r="J67" s="53"/>
      <c r="K67" s="78"/>
      <c r="L67" s="10"/>
      <c r="M67" s="97"/>
      <c r="N67" s="104">
        <f>Juni!R67</f>
        <v>0</v>
      </c>
      <c r="O67" s="99"/>
      <c r="P67" s="98"/>
      <c r="Q67" s="99"/>
      <c r="R67" s="98"/>
      <c r="S67" s="99"/>
      <c r="T67" s="63"/>
      <c r="U67" s="10"/>
      <c r="V67" s="10"/>
      <c r="W67" s="133"/>
    </row>
    <row r="68" spans="1:23" ht="27.95" customHeight="1" x14ac:dyDescent="0.25">
      <c r="A68" s="8">
        <v>1</v>
      </c>
      <c r="B68" s="9" t="s">
        <v>17</v>
      </c>
      <c r="C68" s="9" t="s">
        <v>18</v>
      </c>
      <c r="D68" s="8">
        <v>38</v>
      </c>
      <c r="E68" s="8">
        <v>14</v>
      </c>
      <c r="F68" s="61" t="s">
        <v>21</v>
      </c>
      <c r="G68" s="61" t="s">
        <v>22</v>
      </c>
      <c r="H68" s="61" t="s">
        <v>22</v>
      </c>
      <c r="I68" s="131" t="s">
        <v>49</v>
      </c>
      <c r="J68" s="61"/>
      <c r="K68" s="88" t="s">
        <v>63</v>
      </c>
      <c r="L68" s="10"/>
      <c r="M68" s="105">
        <f>SUM(M69:M70)</f>
        <v>19450000</v>
      </c>
      <c r="N68" s="104">
        <f>Juni!R68</f>
        <v>4050000</v>
      </c>
      <c r="O68" s="99">
        <f t="shared" si="0"/>
        <v>20.822622107969153</v>
      </c>
      <c r="P68" s="106">
        <f>SUM(P69:P70)</f>
        <v>5000000</v>
      </c>
      <c r="Q68" s="95">
        <f t="shared" si="1"/>
        <v>25.70694087403599</v>
      </c>
      <c r="R68" s="106">
        <f>SUM(R69:R70)</f>
        <v>9050000</v>
      </c>
      <c r="S68" s="95">
        <f t="shared" si="2"/>
        <v>46.529562982005139</v>
      </c>
      <c r="T68" s="96">
        <f>SUM(T69:T70)/2</f>
        <v>54.166666666666671</v>
      </c>
      <c r="U68" s="10"/>
      <c r="V68" s="10"/>
      <c r="W68" s="133"/>
    </row>
    <row r="69" spans="1:23" ht="15" customHeight="1" x14ac:dyDescent="0.25">
      <c r="A69" s="10"/>
      <c r="B69" s="10"/>
      <c r="C69" s="10"/>
      <c r="D69" s="10"/>
      <c r="E69" s="10"/>
      <c r="F69" s="57"/>
      <c r="G69" s="57"/>
      <c r="H69" s="57"/>
      <c r="I69" s="129"/>
      <c r="J69" s="62" t="s">
        <v>17</v>
      </c>
      <c r="K69" s="89" t="s">
        <v>66</v>
      </c>
      <c r="L69" s="10"/>
      <c r="M69" s="107">
        <v>7200000</v>
      </c>
      <c r="N69" s="104">
        <f>Juni!R69</f>
        <v>1800000</v>
      </c>
      <c r="O69" s="99">
        <f t="shared" si="0"/>
        <v>25</v>
      </c>
      <c r="P69" s="26"/>
      <c r="Q69" s="99">
        <f t="shared" si="1"/>
        <v>0</v>
      </c>
      <c r="R69" s="108">
        <f>N69+P69</f>
        <v>1800000</v>
      </c>
      <c r="S69" s="99">
        <f t="shared" si="2"/>
        <v>25</v>
      </c>
      <c r="T69" s="100">
        <f>6/24*100</f>
        <v>25</v>
      </c>
      <c r="U69" s="10"/>
      <c r="V69" s="10"/>
      <c r="W69" s="133"/>
    </row>
    <row r="70" spans="1:23" ht="15" customHeight="1" x14ac:dyDescent="0.25">
      <c r="A70" s="63"/>
      <c r="B70" s="63"/>
      <c r="C70" s="63"/>
      <c r="D70" s="63"/>
      <c r="E70" s="63"/>
      <c r="F70" s="57"/>
      <c r="G70" s="57"/>
      <c r="H70" s="57"/>
      <c r="I70" s="70"/>
      <c r="J70" s="62" t="s">
        <v>34</v>
      </c>
      <c r="K70" s="89" t="s">
        <v>81</v>
      </c>
      <c r="L70" s="10"/>
      <c r="M70" s="107">
        <v>12250000</v>
      </c>
      <c r="N70" s="104">
        <f>Juni!R70</f>
        <v>2250000</v>
      </c>
      <c r="O70" s="99">
        <f t="shared" si="0"/>
        <v>18.367346938775512</v>
      </c>
      <c r="P70" s="26">
        <v>5000000</v>
      </c>
      <c r="Q70" s="99">
        <f t="shared" si="1"/>
        <v>40.816326530612244</v>
      </c>
      <c r="R70" s="108">
        <f>N70+P70</f>
        <v>7250000</v>
      </c>
      <c r="S70" s="99">
        <f t="shared" si="2"/>
        <v>59.183673469387756</v>
      </c>
      <c r="T70" s="100">
        <f>10/12*100</f>
        <v>83.333333333333343</v>
      </c>
      <c r="U70" s="10"/>
      <c r="V70" s="10"/>
      <c r="W70" s="133"/>
    </row>
    <row r="71" spans="1:23" ht="9.9499999999999993" customHeight="1" x14ac:dyDescent="0.25">
      <c r="A71" s="10"/>
      <c r="B71" s="10"/>
      <c r="C71" s="10"/>
      <c r="D71" s="10"/>
      <c r="E71" s="10"/>
      <c r="F71" s="48"/>
      <c r="G71" s="48"/>
      <c r="H71" s="48"/>
      <c r="I71" s="53"/>
      <c r="J71" s="53"/>
      <c r="K71" s="78"/>
      <c r="L71" s="10"/>
      <c r="M71" s="97"/>
      <c r="N71" s="104">
        <f>Juni!R71</f>
        <v>0</v>
      </c>
      <c r="O71" s="99"/>
      <c r="P71" s="98"/>
      <c r="Q71" s="99"/>
      <c r="R71" s="98"/>
      <c r="S71" s="99"/>
      <c r="T71" s="63"/>
      <c r="U71" s="10"/>
      <c r="V71" s="10"/>
      <c r="W71" s="133"/>
    </row>
    <row r="72" spans="1:23" ht="27.95" customHeight="1" x14ac:dyDescent="0.25">
      <c r="A72" s="8">
        <v>1</v>
      </c>
      <c r="B72" s="9" t="s">
        <v>17</v>
      </c>
      <c r="C72" s="9" t="s">
        <v>18</v>
      </c>
      <c r="D72" s="8">
        <v>38</v>
      </c>
      <c r="E72" s="8">
        <v>14</v>
      </c>
      <c r="F72" s="42" t="s">
        <v>21</v>
      </c>
      <c r="G72" s="42" t="s">
        <v>22</v>
      </c>
      <c r="H72" s="42" t="s">
        <v>22</v>
      </c>
      <c r="I72" s="42" t="s">
        <v>108</v>
      </c>
      <c r="J72" s="44"/>
      <c r="K72" s="79" t="s">
        <v>109</v>
      </c>
      <c r="L72" s="10"/>
      <c r="M72" s="103">
        <f>M73</f>
        <v>500000</v>
      </c>
      <c r="N72" s="104">
        <f>Juni!R72</f>
        <v>0</v>
      </c>
      <c r="O72" s="99">
        <f t="shared" si="0"/>
        <v>0</v>
      </c>
      <c r="P72" s="104">
        <f>P73</f>
        <v>0</v>
      </c>
      <c r="Q72" s="95">
        <f t="shared" si="1"/>
        <v>0</v>
      </c>
      <c r="R72" s="104">
        <f>R73</f>
        <v>0</v>
      </c>
      <c r="S72" s="95">
        <f t="shared" si="2"/>
        <v>0</v>
      </c>
      <c r="T72" s="96">
        <v>0</v>
      </c>
      <c r="U72" s="10"/>
      <c r="V72" s="10"/>
      <c r="W72" s="133"/>
    </row>
    <row r="73" spans="1:23" ht="15" customHeight="1" x14ac:dyDescent="0.25">
      <c r="A73" s="10"/>
      <c r="B73" s="10"/>
      <c r="C73" s="10"/>
      <c r="D73" s="10"/>
      <c r="E73" s="10"/>
      <c r="F73" s="48"/>
      <c r="G73" s="48"/>
      <c r="H73" s="48"/>
      <c r="I73" s="53"/>
      <c r="J73" s="55" t="s">
        <v>17</v>
      </c>
      <c r="K73" s="82" t="s">
        <v>110</v>
      </c>
      <c r="L73" s="10"/>
      <c r="M73" s="97">
        <v>500000</v>
      </c>
      <c r="N73" s="104">
        <f>Juni!R73</f>
        <v>0</v>
      </c>
      <c r="O73" s="99">
        <f t="shared" si="0"/>
        <v>0</v>
      </c>
      <c r="P73" s="26"/>
      <c r="Q73" s="99">
        <f t="shared" si="1"/>
        <v>0</v>
      </c>
      <c r="R73" s="98">
        <f>N73+P73</f>
        <v>0</v>
      </c>
      <c r="S73" s="99">
        <f t="shared" si="2"/>
        <v>0</v>
      </c>
      <c r="T73" s="100">
        <f>0/1*100</f>
        <v>0</v>
      </c>
      <c r="U73" s="10"/>
      <c r="V73" s="160"/>
      <c r="W73" s="133"/>
    </row>
    <row r="74" spans="1:23" ht="9.9499999999999993" customHeight="1" x14ac:dyDescent="0.25">
      <c r="A74" s="10"/>
      <c r="B74" s="10"/>
      <c r="C74" s="10"/>
      <c r="D74" s="10"/>
      <c r="E74" s="10"/>
      <c r="F74" s="48"/>
      <c r="G74" s="48"/>
      <c r="H74" s="48"/>
      <c r="I74" s="53"/>
      <c r="J74" s="59"/>
      <c r="K74" s="91"/>
      <c r="L74" s="166"/>
      <c r="M74" s="115"/>
      <c r="N74" s="104">
        <f>Juni!R74</f>
        <v>0</v>
      </c>
      <c r="O74" s="99"/>
      <c r="P74" s="117"/>
      <c r="Q74" s="99"/>
      <c r="R74" s="117"/>
      <c r="S74" s="99"/>
      <c r="T74" s="63"/>
      <c r="U74" s="10"/>
      <c r="V74" s="10"/>
      <c r="W74" s="133"/>
    </row>
    <row r="75" spans="1:23" ht="18" customHeight="1" x14ac:dyDescent="0.25">
      <c r="A75" s="8">
        <v>1</v>
      </c>
      <c r="B75" s="9" t="s">
        <v>17</v>
      </c>
      <c r="C75" s="9" t="s">
        <v>18</v>
      </c>
      <c r="D75" s="8">
        <v>38</v>
      </c>
      <c r="E75" s="8">
        <v>14</v>
      </c>
      <c r="F75" s="42" t="s">
        <v>21</v>
      </c>
      <c r="G75" s="42" t="s">
        <v>22</v>
      </c>
      <c r="H75" s="42" t="s">
        <v>24</v>
      </c>
      <c r="I75" s="42"/>
      <c r="J75" s="44"/>
      <c r="K75" s="79" t="s">
        <v>25</v>
      </c>
      <c r="L75" s="10"/>
      <c r="M75" s="105">
        <f>M79+M76+M83+M86+M89</f>
        <v>68700000</v>
      </c>
      <c r="N75" s="104">
        <f>Juni!R75</f>
        <v>17680000</v>
      </c>
      <c r="O75" s="99">
        <f t="shared" si="0"/>
        <v>25.735080058224163</v>
      </c>
      <c r="P75" s="106">
        <f>P79+P76+P83+P86+P89</f>
        <v>2240000</v>
      </c>
      <c r="Q75" s="95">
        <f t="shared" si="1"/>
        <v>3.2605531295487626</v>
      </c>
      <c r="R75" s="106">
        <f>R79+R76+R83+R86+R89</f>
        <v>19920000</v>
      </c>
      <c r="S75" s="95">
        <f t="shared" si="2"/>
        <v>28.995633187772924</v>
      </c>
      <c r="T75" s="96">
        <f>(T79+T76+T83+T86+T89)/6</f>
        <v>33.333333333333336</v>
      </c>
      <c r="U75" s="10"/>
      <c r="V75" s="10"/>
      <c r="W75" s="133"/>
    </row>
    <row r="76" spans="1:23" ht="18" customHeight="1" x14ac:dyDescent="0.25">
      <c r="A76" s="8">
        <v>1</v>
      </c>
      <c r="B76" s="9" t="s">
        <v>17</v>
      </c>
      <c r="C76" s="9" t="s">
        <v>18</v>
      </c>
      <c r="D76" s="8">
        <v>38</v>
      </c>
      <c r="E76" s="8">
        <v>14</v>
      </c>
      <c r="F76" s="42" t="s">
        <v>21</v>
      </c>
      <c r="G76" s="42" t="s">
        <v>22</v>
      </c>
      <c r="H76" s="42" t="s">
        <v>24</v>
      </c>
      <c r="I76" s="42" t="s">
        <v>44</v>
      </c>
      <c r="J76" s="44"/>
      <c r="K76" s="80" t="s">
        <v>111</v>
      </c>
      <c r="L76" s="10"/>
      <c r="M76" s="103">
        <f>M77</f>
        <v>7500000</v>
      </c>
      <c r="N76" s="104">
        <f>Juni!R76</f>
        <v>0</v>
      </c>
      <c r="O76" s="99">
        <f t="shared" si="0"/>
        <v>0</v>
      </c>
      <c r="P76" s="104">
        <f>P77</f>
        <v>0</v>
      </c>
      <c r="Q76" s="95">
        <f t="shared" si="1"/>
        <v>0</v>
      </c>
      <c r="R76" s="104">
        <f>R77</f>
        <v>0</v>
      </c>
      <c r="S76" s="95">
        <f t="shared" si="2"/>
        <v>0</v>
      </c>
      <c r="T76" s="96">
        <f>T77</f>
        <v>0</v>
      </c>
      <c r="U76" s="10"/>
      <c r="V76" s="10"/>
      <c r="W76" s="133"/>
    </row>
    <row r="77" spans="1:23" ht="15" customHeight="1" x14ac:dyDescent="0.25">
      <c r="A77" s="8"/>
      <c r="B77" s="9"/>
      <c r="C77" s="9"/>
      <c r="D77" s="8"/>
      <c r="E77" s="8"/>
      <c r="F77" s="42"/>
      <c r="G77" s="42"/>
      <c r="H77" s="42"/>
      <c r="I77" s="48"/>
      <c r="J77" s="55" t="s">
        <v>35</v>
      </c>
      <c r="K77" s="73" t="s">
        <v>112</v>
      </c>
      <c r="L77" s="10"/>
      <c r="M77" s="97">
        <v>7500000</v>
      </c>
      <c r="N77" s="104">
        <f>Juni!R77</f>
        <v>0</v>
      </c>
      <c r="O77" s="99">
        <f t="shared" ref="O77:O90" si="9">N77/M77*100</f>
        <v>0</v>
      </c>
      <c r="P77" s="98"/>
      <c r="Q77" s="99">
        <f t="shared" ref="Q77:Q90" si="10">P77/M77*100</f>
        <v>0</v>
      </c>
      <c r="R77" s="98">
        <f>N77+P77</f>
        <v>0</v>
      </c>
      <c r="S77" s="99">
        <f t="shared" ref="S77:S90" si="11">R77/M77*100</f>
        <v>0</v>
      </c>
      <c r="T77" s="100">
        <f>0/3*100</f>
        <v>0</v>
      </c>
      <c r="U77" s="10"/>
      <c r="V77" s="10"/>
      <c r="W77" s="133"/>
    </row>
    <row r="78" spans="1:23" ht="9.9499999999999993" customHeight="1" x14ac:dyDescent="0.25">
      <c r="A78" s="8"/>
      <c r="B78" s="9"/>
      <c r="C78" s="9"/>
      <c r="D78" s="8"/>
      <c r="E78" s="8"/>
      <c r="F78" s="42"/>
      <c r="G78" s="42"/>
      <c r="H78" s="42"/>
      <c r="I78" s="55"/>
      <c r="J78" s="55"/>
      <c r="K78" s="78"/>
      <c r="L78" s="10"/>
      <c r="M78" s="97"/>
      <c r="N78" s="104">
        <f>Juni!R78</f>
        <v>0</v>
      </c>
      <c r="O78" s="99"/>
      <c r="P78" s="26"/>
      <c r="Q78" s="95"/>
      <c r="R78" s="98"/>
      <c r="S78" s="95"/>
      <c r="T78" s="100"/>
      <c r="U78" s="10"/>
      <c r="V78" s="10"/>
      <c r="W78" s="133"/>
    </row>
    <row r="79" spans="1:23" s="174" customFormat="1" ht="18" customHeight="1" x14ac:dyDescent="0.25">
      <c r="A79" s="8">
        <v>1</v>
      </c>
      <c r="B79" s="9" t="s">
        <v>17</v>
      </c>
      <c r="C79" s="9" t="s">
        <v>18</v>
      </c>
      <c r="D79" s="8">
        <v>38</v>
      </c>
      <c r="E79" s="8">
        <v>14</v>
      </c>
      <c r="F79" s="42" t="s">
        <v>21</v>
      </c>
      <c r="G79" s="42" t="s">
        <v>22</v>
      </c>
      <c r="H79" s="42" t="s">
        <v>24</v>
      </c>
      <c r="I79" s="60" t="s">
        <v>113</v>
      </c>
      <c r="J79" s="60"/>
      <c r="K79" s="79" t="s">
        <v>45</v>
      </c>
      <c r="L79" s="127"/>
      <c r="M79" s="103">
        <f>SUM(M80:M81)</f>
        <v>12200000</v>
      </c>
      <c r="N79" s="104">
        <f>Juni!R79</f>
        <v>0</v>
      </c>
      <c r="O79" s="95">
        <f t="shared" si="9"/>
        <v>0</v>
      </c>
      <c r="P79" s="147">
        <f>SUM(P80:P81)</f>
        <v>0</v>
      </c>
      <c r="Q79" s="95">
        <f t="shared" si="10"/>
        <v>0</v>
      </c>
      <c r="R79" s="104">
        <f>SUM(R80:R81)</f>
        <v>0</v>
      </c>
      <c r="S79" s="95">
        <f t="shared" si="11"/>
        <v>0</v>
      </c>
      <c r="T79" s="96">
        <f>SUM(T80:T81)/2</f>
        <v>0</v>
      </c>
      <c r="U79" s="127"/>
      <c r="V79" s="127"/>
      <c r="W79" s="173"/>
    </row>
    <row r="80" spans="1:23" ht="15" customHeight="1" x14ac:dyDescent="0.25">
      <c r="A80" s="6"/>
      <c r="B80" s="7"/>
      <c r="C80" s="7"/>
      <c r="D80" s="6"/>
      <c r="E80" s="6"/>
      <c r="F80" s="48"/>
      <c r="G80" s="48"/>
      <c r="H80" s="48"/>
      <c r="I80" s="55"/>
      <c r="J80" s="55" t="s">
        <v>18</v>
      </c>
      <c r="K80" s="78" t="s">
        <v>114</v>
      </c>
      <c r="L80" s="10"/>
      <c r="M80" s="97">
        <v>11200000</v>
      </c>
      <c r="N80" s="104">
        <f>Juni!R80</f>
        <v>0</v>
      </c>
      <c r="O80" s="99">
        <f t="shared" si="9"/>
        <v>0</v>
      </c>
      <c r="P80" s="26"/>
      <c r="Q80" s="99">
        <f t="shared" si="10"/>
        <v>0</v>
      </c>
      <c r="R80" s="98">
        <f>N80+P80</f>
        <v>0</v>
      </c>
      <c r="S80" s="99">
        <f t="shared" si="11"/>
        <v>0</v>
      </c>
      <c r="T80" s="100">
        <f>0/4*100</f>
        <v>0</v>
      </c>
      <c r="U80" s="10"/>
      <c r="V80" s="10"/>
      <c r="W80" s="133"/>
    </row>
    <row r="81" spans="1:23" ht="15" customHeight="1" x14ac:dyDescent="0.25">
      <c r="A81" s="6"/>
      <c r="B81" s="7"/>
      <c r="C81" s="7"/>
      <c r="D81" s="6"/>
      <c r="E81" s="6"/>
      <c r="F81" s="48"/>
      <c r="G81" s="48"/>
      <c r="H81" s="48"/>
      <c r="I81" s="55"/>
      <c r="J81" s="55" t="s">
        <v>17</v>
      </c>
      <c r="K81" s="78" t="s">
        <v>115</v>
      </c>
      <c r="L81" s="10"/>
      <c r="M81" s="97">
        <v>1000000</v>
      </c>
      <c r="N81" s="104">
        <f>Juni!R81</f>
        <v>0</v>
      </c>
      <c r="O81" s="99">
        <f t="shared" si="9"/>
        <v>0</v>
      </c>
      <c r="P81" s="26"/>
      <c r="Q81" s="95">
        <f t="shared" si="10"/>
        <v>0</v>
      </c>
      <c r="R81" s="98">
        <f>N81+P81</f>
        <v>0</v>
      </c>
      <c r="S81" s="95">
        <f t="shared" si="11"/>
        <v>0</v>
      </c>
      <c r="T81" s="100">
        <f>0/1*100</f>
        <v>0</v>
      </c>
      <c r="U81" s="10"/>
      <c r="V81" s="10"/>
      <c r="W81" s="133"/>
    </row>
    <row r="82" spans="1:23" ht="9.9499999999999993" customHeight="1" x14ac:dyDescent="0.25">
      <c r="A82" s="8"/>
      <c r="B82" s="9"/>
      <c r="C82" s="9"/>
      <c r="D82" s="8"/>
      <c r="E82" s="8"/>
      <c r="F82" s="42"/>
      <c r="G82" s="42"/>
      <c r="H82" s="42"/>
      <c r="I82" s="55"/>
      <c r="J82" s="55"/>
      <c r="K82" s="78"/>
      <c r="L82" s="10"/>
      <c r="M82" s="97"/>
      <c r="N82" s="104">
        <f>Juni!R82</f>
        <v>0</v>
      </c>
      <c r="O82" s="99"/>
      <c r="P82" s="26"/>
      <c r="Q82" s="95"/>
      <c r="R82" s="98"/>
      <c r="S82" s="95"/>
      <c r="T82" s="100"/>
      <c r="U82" s="10"/>
      <c r="V82" s="10"/>
      <c r="W82" s="133"/>
    </row>
    <row r="83" spans="1:23" s="174" customFormat="1" ht="27.95" customHeight="1" x14ac:dyDescent="0.25">
      <c r="A83" s="8">
        <v>1</v>
      </c>
      <c r="B83" s="9" t="s">
        <v>17</v>
      </c>
      <c r="C83" s="9" t="s">
        <v>18</v>
      </c>
      <c r="D83" s="8">
        <v>38</v>
      </c>
      <c r="E83" s="8">
        <v>14</v>
      </c>
      <c r="F83" s="42" t="s">
        <v>21</v>
      </c>
      <c r="G83" s="42" t="s">
        <v>22</v>
      </c>
      <c r="H83" s="42" t="s">
        <v>24</v>
      </c>
      <c r="I83" s="60" t="s">
        <v>78</v>
      </c>
      <c r="J83" s="60"/>
      <c r="K83" s="79" t="s">
        <v>116</v>
      </c>
      <c r="L83" s="127"/>
      <c r="M83" s="103">
        <f>M84</f>
        <v>26000000</v>
      </c>
      <c r="N83" s="104">
        <f>Juni!R83</f>
        <v>0</v>
      </c>
      <c r="O83" s="95">
        <f t="shared" si="9"/>
        <v>0</v>
      </c>
      <c r="P83" s="147">
        <f>P84</f>
        <v>0</v>
      </c>
      <c r="Q83" s="95">
        <f t="shared" si="10"/>
        <v>0</v>
      </c>
      <c r="R83" s="104">
        <f>R84</f>
        <v>0</v>
      </c>
      <c r="S83" s="95">
        <f t="shared" si="11"/>
        <v>0</v>
      </c>
      <c r="T83" s="96">
        <f>T84</f>
        <v>0</v>
      </c>
      <c r="U83" s="127"/>
      <c r="V83" s="127"/>
      <c r="W83" s="173"/>
    </row>
    <row r="84" spans="1:23" ht="15" customHeight="1" x14ac:dyDescent="0.25">
      <c r="A84" s="6"/>
      <c r="B84" s="7"/>
      <c r="C84" s="7"/>
      <c r="D84" s="6"/>
      <c r="E84" s="6"/>
      <c r="F84" s="48"/>
      <c r="G84" s="48"/>
      <c r="H84" s="48"/>
      <c r="I84" s="55"/>
      <c r="J84" s="55" t="s">
        <v>117</v>
      </c>
      <c r="K84" s="78" t="s">
        <v>118</v>
      </c>
      <c r="L84" s="10"/>
      <c r="M84" s="97">
        <v>26000000</v>
      </c>
      <c r="N84" s="104">
        <f>Juni!R84</f>
        <v>0</v>
      </c>
      <c r="O84" s="99">
        <f t="shared" si="9"/>
        <v>0</v>
      </c>
      <c r="P84" s="26"/>
      <c r="Q84" s="95">
        <f t="shared" si="10"/>
        <v>0</v>
      </c>
      <c r="R84" s="98">
        <f>N84+P84</f>
        <v>0</v>
      </c>
      <c r="S84" s="95">
        <f t="shared" si="11"/>
        <v>0</v>
      </c>
      <c r="T84" s="100">
        <f>0/2*100</f>
        <v>0</v>
      </c>
      <c r="U84" s="10"/>
      <c r="V84" s="10"/>
      <c r="W84" s="133"/>
    </row>
    <row r="85" spans="1:23" ht="9.9499999999999993" customHeight="1" x14ac:dyDescent="0.25">
      <c r="A85" s="8"/>
      <c r="B85" s="9"/>
      <c r="C85" s="9"/>
      <c r="D85" s="8"/>
      <c r="E85" s="8"/>
      <c r="F85" s="42"/>
      <c r="G85" s="42"/>
      <c r="H85" s="42"/>
      <c r="I85" s="55"/>
      <c r="J85" s="55"/>
      <c r="K85" s="78"/>
      <c r="L85" s="10"/>
      <c r="M85" s="97"/>
      <c r="N85" s="104">
        <f>Juni!R85</f>
        <v>0</v>
      </c>
      <c r="O85" s="99"/>
      <c r="P85" s="26"/>
      <c r="Q85" s="95"/>
      <c r="R85" s="98"/>
      <c r="S85" s="95"/>
      <c r="T85" s="100"/>
      <c r="U85" s="10"/>
      <c r="V85" s="10"/>
      <c r="W85" s="133"/>
    </row>
    <row r="86" spans="1:23" s="174" customFormat="1" ht="27.95" customHeight="1" x14ac:dyDescent="0.25">
      <c r="A86" s="8">
        <v>1</v>
      </c>
      <c r="B86" s="9" t="s">
        <v>17</v>
      </c>
      <c r="C86" s="9" t="s">
        <v>18</v>
      </c>
      <c r="D86" s="8">
        <v>38</v>
      </c>
      <c r="E86" s="8">
        <v>14</v>
      </c>
      <c r="F86" s="42" t="s">
        <v>21</v>
      </c>
      <c r="G86" s="42" t="s">
        <v>22</v>
      </c>
      <c r="H86" s="42" t="s">
        <v>24</v>
      </c>
      <c r="I86" s="60" t="s">
        <v>119</v>
      </c>
      <c r="J86" s="60"/>
      <c r="K86" s="79" t="s">
        <v>120</v>
      </c>
      <c r="L86" s="127"/>
      <c r="M86" s="103">
        <f>M87</f>
        <v>14000000</v>
      </c>
      <c r="N86" s="104">
        <f>Juni!R86</f>
        <v>12180000</v>
      </c>
      <c r="O86" s="95">
        <f t="shared" si="9"/>
        <v>87</v>
      </c>
      <c r="P86" s="147">
        <f>P87</f>
        <v>0</v>
      </c>
      <c r="Q86" s="95">
        <f t="shared" si="10"/>
        <v>0</v>
      </c>
      <c r="R86" s="104">
        <f>R87</f>
        <v>12180000</v>
      </c>
      <c r="S86" s="95">
        <f t="shared" si="11"/>
        <v>87</v>
      </c>
      <c r="T86" s="96">
        <f>T87</f>
        <v>100</v>
      </c>
      <c r="U86" s="127"/>
      <c r="V86" s="127"/>
      <c r="W86" s="173"/>
    </row>
    <row r="87" spans="1:23" ht="15" customHeight="1" x14ac:dyDescent="0.25">
      <c r="A87" s="6"/>
      <c r="B87" s="7"/>
      <c r="C87" s="7"/>
      <c r="D87" s="6"/>
      <c r="E87" s="6"/>
      <c r="F87" s="157"/>
      <c r="G87" s="157"/>
      <c r="H87" s="157"/>
      <c r="I87" s="48"/>
      <c r="J87" s="48" t="s">
        <v>17</v>
      </c>
      <c r="K87" s="78" t="s">
        <v>121</v>
      </c>
      <c r="L87" s="10"/>
      <c r="M87" s="107">
        <v>14000000</v>
      </c>
      <c r="N87" s="104">
        <f>Juni!R87</f>
        <v>12180000</v>
      </c>
      <c r="O87" s="99">
        <f t="shared" si="9"/>
        <v>87</v>
      </c>
      <c r="P87" s="108"/>
      <c r="Q87" s="99">
        <f t="shared" si="10"/>
        <v>0</v>
      </c>
      <c r="R87" s="108">
        <f>N87+P87</f>
        <v>12180000</v>
      </c>
      <c r="S87" s="99">
        <f t="shared" si="11"/>
        <v>87</v>
      </c>
      <c r="T87" s="100">
        <f>2/2*100</f>
        <v>100</v>
      </c>
      <c r="U87" s="10"/>
      <c r="V87" s="10"/>
      <c r="W87" s="133"/>
    </row>
    <row r="88" spans="1:23" ht="9.9499999999999993" customHeight="1" x14ac:dyDescent="0.25">
      <c r="A88" s="63"/>
      <c r="B88" s="63"/>
      <c r="C88" s="63"/>
      <c r="D88" s="63"/>
      <c r="E88" s="63"/>
      <c r="F88" s="42"/>
      <c r="G88" s="42"/>
      <c r="H88" s="42"/>
      <c r="I88" s="42"/>
      <c r="J88" s="65"/>
      <c r="K88" s="92"/>
      <c r="L88" s="10"/>
      <c r="M88" s="107"/>
      <c r="N88" s="104">
        <f>Juni!R88</f>
        <v>0</v>
      </c>
      <c r="O88" s="99"/>
      <c r="P88" s="26"/>
      <c r="Q88" s="95"/>
      <c r="R88" s="108"/>
      <c r="S88" s="95"/>
      <c r="T88" s="100"/>
      <c r="U88" s="10"/>
      <c r="V88" s="10"/>
      <c r="W88" s="133"/>
    </row>
    <row r="89" spans="1:23" s="174" customFormat="1" ht="27.95" customHeight="1" x14ac:dyDescent="0.25">
      <c r="A89" s="8">
        <v>1</v>
      </c>
      <c r="B89" s="9" t="s">
        <v>17</v>
      </c>
      <c r="C89" s="9" t="s">
        <v>18</v>
      </c>
      <c r="D89" s="8">
        <v>38</v>
      </c>
      <c r="E89" s="8">
        <v>14</v>
      </c>
      <c r="F89" s="42" t="s">
        <v>21</v>
      </c>
      <c r="G89" s="42" t="s">
        <v>22</v>
      </c>
      <c r="H89" s="42" t="s">
        <v>24</v>
      </c>
      <c r="I89" s="42" t="s">
        <v>122</v>
      </c>
      <c r="J89" s="71"/>
      <c r="K89" s="150" t="s">
        <v>123</v>
      </c>
      <c r="L89" s="127"/>
      <c r="M89" s="105">
        <f>M90</f>
        <v>9000000</v>
      </c>
      <c r="N89" s="104">
        <f>Juni!R89</f>
        <v>5500000</v>
      </c>
      <c r="O89" s="95">
        <f t="shared" si="9"/>
        <v>61.111111111111114</v>
      </c>
      <c r="P89" s="147">
        <f>P90</f>
        <v>2240000</v>
      </c>
      <c r="Q89" s="95">
        <f t="shared" si="10"/>
        <v>24.888888888888889</v>
      </c>
      <c r="R89" s="106">
        <f>R90</f>
        <v>7740000</v>
      </c>
      <c r="S89" s="95">
        <f t="shared" si="11"/>
        <v>86</v>
      </c>
      <c r="T89" s="96">
        <f>T90</f>
        <v>100</v>
      </c>
      <c r="U89" s="127"/>
      <c r="V89" s="127"/>
      <c r="W89" s="173"/>
    </row>
    <row r="90" spans="1:23" ht="15" customHeight="1" x14ac:dyDescent="0.25">
      <c r="A90" s="63"/>
      <c r="B90" s="63"/>
      <c r="C90" s="63"/>
      <c r="D90" s="63"/>
      <c r="E90" s="63"/>
      <c r="F90" s="48"/>
      <c r="G90" s="48"/>
      <c r="H90" s="48"/>
      <c r="I90" s="48"/>
      <c r="J90" s="65" t="s">
        <v>34</v>
      </c>
      <c r="K90" s="92" t="s">
        <v>124</v>
      </c>
      <c r="L90" s="10"/>
      <c r="M90" s="107">
        <v>9000000</v>
      </c>
      <c r="N90" s="104">
        <f>Juni!R90</f>
        <v>5500000</v>
      </c>
      <c r="O90" s="99">
        <f t="shared" si="9"/>
        <v>61.111111111111114</v>
      </c>
      <c r="P90" s="26">
        <v>2240000</v>
      </c>
      <c r="Q90" s="99">
        <f t="shared" si="10"/>
        <v>24.888888888888889</v>
      </c>
      <c r="R90" s="108">
        <f>N90+P90</f>
        <v>7740000</v>
      </c>
      <c r="S90" s="99">
        <f t="shared" si="11"/>
        <v>86</v>
      </c>
      <c r="T90" s="100">
        <f>3/3*100</f>
        <v>100</v>
      </c>
      <c r="U90" s="10"/>
      <c r="V90" s="10"/>
      <c r="W90" s="133"/>
    </row>
    <row r="91" spans="1:23" ht="9.9499999999999993" customHeight="1" x14ac:dyDescent="0.25">
      <c r="A91" s="63"/>
      <c r="B91" s="63"/>
      <c r="C91" s="63"/>
      <c r="D91" s="63"/>
      <c r="E91" s="63"/>
      <c r="F91" s="42"/>
      <c r="G91" s="42"/>
      <c r="H91" s="42"/>
      <c r="I91" s="42"/>
      <c r="J91" s="65"/>
      <c r="K91" s="92"/>
      <c r="L91" s="10"/>
      <c r="M91" s="107"/>
      <c r="N91" s="94"/>
      <c r="O91" s="99"/>
      <c r="P91" s="26"/>
      <c r="Q91" s="99"/>
      <c r="R91" s="108"/>
      <c r="S91" s="99"/>
      <c r="T91" s="100"/>
      <c r="U91" s="10"/>
      <c r="V91" s="10"/>
      <c r="W91" s="133"/>
    </row>
    <row r="92" spans="1:23" ht="18.75" customHeight="1" x14ac:dyDescent="0.25">
      <c r="A92" s="133"/>
      <c r="B92" s="133"/>
      <c r="C92" s="133"/>
      <c r="D92" s="133"/>
      <c r="E92" s="133"/>
      <c r="F92" s="134"/>
      <c r="G92" s="134"/>
      <c r="H92" s="134"/>
      <c r="I92" s="134"/>
      <c r="J92" s="135"/>
      <c r="K92" s="136"/>
      <c r="L92" s="133"/>
      <c r="M92" s="137"/>
      <c r="N92" s="138"/>
      <c r="O92" s="139"/>
      <c r="P92" s="140"/>
      <c r="Q92" s="139"/>
      <c r="R92" s="141"/>
      <c r="S92" s="139"/>
      <c r="T92" s="142"/>
      <c r="U92" s="133"/>
      <c r="V92" s="133"/>
      <c r="W92" s="133"/>
    </row>
    <row r="93" spans="1:23" x14ac:dyDescent="0.25">
      <c r="A93" s="171"/>
      <c r="B93" s="171"/>
      <c r="C93" s="171"/>
      <c r="D93" s="171"/>
      <c r="E93" s="171"/>
      <c r="F93" s="171"/>
      <c r="G93" s="171"/>
      <c r="H93" s="171"/>
      <c r="I93" s="171"/>
      <c r="J93" s="171"/>
      <c r="K93" s="171"/>
      <c r="L93" s="171"/>
      <c r="M93" s="175"/>
      <c r="N93" s="171"/>
      <c r="O93" s="171"/>
      <c r="P93" s="192" t="s">
        <v>132</v>
      </c>
      <c r="Q93" s="192"/>
      <c r="R93" s="192"/>
      <c r="S93" s="192"/>
      <c r="T93" s="192"/>
      <c r="U93" s="192"/>
      <c r="V93" s="192"/>
      <c r="W93" s="176"/>
    </row>
    <row r="94" spans="1:23" x14ac:dyDescent="0.25">
      <c r="A94" s="171"/>
      <c r="B94" s="171"/>
      <c r="C94" s="171"/>
      <c r="D94" s="171"/>
      <c r="E94" s="171"/>
      <c r="F94" s="171"/>
      <c r="G94" s="171"/>
      <c r="H94" s="171"/>
      <c r="I94" s="171"/>
      <c r="J94" s="171"/>
      <c r="K94" s="171"/>
      <c r="L94" s="171"/>
      <c r="M94" s="175"/>
      <c r="N94" s="171"/>
      <c r="O94" s="171"/>
      <c r="P94" s="192" t="s">
        <v>46</v>
      </c>
      <c r="Q94" s="192"/>
      <c r="R94" s="192"/>
      <c r="S94" s="192"/>
      <c r="T94" s="192"/>
      <c r="U94" s="192"/>
      <c r="V94" s="192"/>
      <c r="W94" s="176"/>
    </row>
    <row r="95" spans="1:23" x14ac:dyDescent="0.25">
      <c r="A95" s="171"/>
      <c r="B95" s="171"/>
      <c r="C95" s="171"/>
      <c r="D95" s="171"/>
      <c r="E95" s="171"/>
      <c r="F95" s="171"/>
      <c r="G95" s="171"/>
      <c r="H95" s="171"/>
      <c r="I95" s="171"/>
      <c r="J95" s="171"/>
      <c r="K95" s="171"/>
      <c r="L95" s="171"/>
      <c r="M95" s="175"/>
      <c r="N95" s="171"/>
      <c r="O95" s="171"/>
      <c r="P95" s="177"/>
      <c r="Q95" s="177"/>
      <c r="R95" s="177"/>
      <c r="S95" s="177"/>
      <c r="T95" s="177"/>
      <c r="U95" s="177"/>
      <c r="V95" s="177"/>
      <c r="W95" s="171"/>
    </row>
    <row r="96" spans="1:23" x14ac:dyDescent="0.25">
      <c r="A96" s="171"/>
      <c r="B96" s="171"/>
      <c r="C96" s="171"/>
      <c r="D96" s="171"/>
      <c r="E96" s="171"/>
      <c r="F96" s="171"/>
      <c r="G96" s="171"/>
      <c r="H96" s="171"/>
      <c r="I96" s="171"/>
      <c r="J96" s="171"/>
      <c r="K96" s="171"/>
      <c r="L96" s="171"/>
      <c r="M96" s="175"/>
      <c r="N96" s="171"/>
      <c r="O96" s="171"/>
      <c r="P96" s="177"/>
      <c r="Q96" s="177"/>
      <c r="R96" s="177"/>
      <c r="S96" s="177"/>
      <c r="T96" s="177"/>
      <c r="U96" s="177"/>
      <c r="V96" s="177"/>
      <c r="W96" s="171"/>
    </row>
    <row r="97" spans="1:23" ht="11.25" customHeight="1" x14ac:dyDescent="0.25">
      <c r="A97" s="171"/>
      <c r="B97" s="171"/>
      <c r="C97" s="171"/>
      <c r="D97" s="171"/>
      <c r="E97" s="171"/>
      <c r="F97" s="171"/>
      <c r="G97" s="171"/>
      <c r="H97" s="171"/>
      <c r="I97" s="171"/>
      <c r="J97" s="171"/>
      <c r="K97" s="171"/>
      <c r="L97" s="171"/>
      <c r="M97" s="175"/>
      <c r="N97" s="171"/>
      <c r="O97" s="171"/>
      <c r="P97" s="177"/>
      <c r="Q97" s="177"/>
      <c r="R97" s="177"/>
      <c r="S97" s="177"/>
      <c r="T97" s="177"/>
      <c r="U97" s="177"/>
      <c r="V97" s="177"/>
      <c r="W97" s="171"/>
    </row>
    <row r="98" spans="1:23" x14ac:dyDescent="0.25">
      <c r="A98" s="171"/>
      <c r="B98" s="171"/>
      <c r="C98" s="171"/>
      <c r="D98" s="171"/>
      <c r="E98" s="171"/>
      <c r="F98" s="171"/>
      <c r="G98" s="171"/>
      <c r="H98" s="171"/>
      <c r="I98" s="171"/>
      <c r="J98" s="171"/>
      <c r="K98" s="171"/>
      <c r="L98" s="171"/>
      <c r="M98" s="175"/>
      <c r="N98" s="171"/>
      <c r="O98" s="171"/>
      <c r="P98" s="193" t="s">
        <v>70</v>
      </c>
      <c r="Q98" s="193"/>
      <c r="R98" s="193"/>
      <c r="S98" s="193"/>
      <c r="T98" s="193"/>
      <c r="U98" s="193"/>
      <c r="V98" s="193"/>
      <c r="W98" s="178"/>
    </row>
    <row r="99" spans="1:23" x14ac:dyDescent="0.25">
      <c r="A99" s="171"/>
      <c r="B99" s="171"/>
      <c r="C99" s="171"/>
      <c r="D99" s="171"/>
      <c r="E99" s="171"/>
      <c r="F99" s="171"/>
      <c r="G99" s="171"/>
      <c r="H99" s="171"/>
      <c r="I99" s="171"/>
      <c r="J99" s="171"/>
      <c r="K99" s="171"/>
      <c r="L99" s="171"/>
      <c r="M99" s="175"/>
      <c r="N99" s="171"/>
      <c r="O99" s="171"/>
      <c r="P99" s="189" t="s">
        <v>71</v>
      </c>
      <c r="Q99" s="189"/>
      <c r="R99" s="189"/>
      <c r="S99" s="189"/>
      <c r="T99" s="189"/>
      <c r="U99" s="189"/>
      <c r="V99" s="189"/>
      <c r="W99" s="179"/>
    </row>
  </sheetData>
  <mergeCells count="24"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T7"/>
    <mergeCell ref="N8:O8"/>
    <mergeCell ref="P8:Q8"/>
    <mergeCell ref="R8:S8"/>
    <mergeCell ref="P99:V99"/>
    <mergeCell ref="A10:J10"/>
    <mergeCell ref="L10:L11"/>
    <mergeCell ref="A11:J11"/>
    <mergeCell ref="P93:V93"/>
    <mergeCell ref="P94:V94"/>
    <mergeCell ref="P98:V98"/>
  </mergeCells>
  <pageMargins left="0.51181102362204722" right="0.39370078740157483" top="0.59055118110236227" bottom="0.19685039370078741" header="0.31496062992125984" footer="0.31496062992125984"/>
  <pageSetup paperSize="10000" scale="7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W100"/>
  <sheetViews>
    <sheetView topLeftCell="A4" zoomScaleNormal="100" workbookViewId="0">
      <selection activeCell="A19" sqref="A19:XFD19"/>
    </sheetView>
  </sheetViews>
  <sheetFormatPr defaultRowHeight="15" x14ac:dyDescent="0.25"/>
  <cols>
    <col min="1" max="8" width="2.7109375" style="168" customWidth="1"/>
    <col min="9" max="9" width="3.140625" style="168" customWidth="1"/>
    <col min="10" max="10" width="3.5703125" style="168" customWidth="1"/>
    <col min="11" max="11" width="51.5703125" style="168" customWidth="1"/>
    <col min="12" max="12" width="11" style="168" customWidth="1"/>
    <col min="13" max="13" width="14.5703125" style="170" customWidth="1"/>
    <col min="14" max="14" width="13" style="168" customWidth="1"/>
    <col min="15" max="15" width="7.5703125" style="168" customWidth="1"/>
    <col min="16" max="16" width="13.28515625" style="168" customWidth="1"/>
    <col min="17" max="17" width="8" style="168" customWidth="1"/>
    <col min="18" max="18" width="13" style="168" customWidth="1"/>
    <col min="19" max="19" width="9.42578125" style="168" customWidth="1"/>
    <col min="20" max="20" width="11.140625" style="168" customWidth="1"/>
    <col min="21" max="21" width="15.5703125" style="168" customWidth="1"/>
    <col min="22" max="22" width="22.42578125" style="168" customWidth="1"/>
    <col min="23" max="23" width="18.28515625" style="168" customWidth="1"/>
    <col min="24" max="24" width="15.5703125" style="168" bestFit="1" customWidth="1"/>
    <col min="25" max="25" width="12.85546875" style="168" bestFit="1" customWidth="1"/>
    <col min="26" max="16384" width="9.140625" style="168"/>
  </cols>
  <sheetData>
    <row r="1" spans="1:23" ht="16.5" x14ac:dyDescent="0.25">
      <c r="A1" s="194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67"/>
    </row>
    <row r="2" spans="1:23" ht="16.5" x14ac:dyDescent="0.25">
      <c r="A2" s="194" t="s">
        <v>72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67"/>
    </row>
    <row r="3" spans="1:23" ht="16.5" x14ac:dyDescent="0.25">
      <c r="A3" s="194" t="s">
        <v>73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67"/>
    </row>
    <row r="4" spans="1:23" ht="16.5" x14ac:dyDescent="0.25">
      <c r="A4" s="194" t="s">
        <v>94</v>
      </c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67"/>
    </row>
    <row r="5" spans="1:23" ht="18" x14ac:dyDescent="0.25">
      <c r="A5" s="169"/>
      <c r="B5" s="169"/>
      <c r="C5" s="169"/>
      <c r="D5" s="169"/>
      <c r="E5" s="169"/>
    </row>
    <row r="6" spans="1:23" x14ac:dyDescent="0.25">
      <c r="A6" s="195" t="s">
        <v>1</v>
      </c>
      <c r="B6" s="195"/>
      <c r="C6" s="195"/>
      <c r="D6" s="195"/>
      <c r="E6" s="195"/>
      <c r="F6" s="195"/>
      <c r="G6" s="195"/>
      <c r="H6" s="195"/>
      <c r="I6" s="195"/>
      <c r="J6" s="195"/>
      <c r="K6" s="195" t="s">
        <v>2</v>
      </c>
      <c r="L6" s="188" t="s">
        <v>3</v>
      </c>
      <c r="M6" s="196" t="s">
        <v>4</v>
      </c>
      <c r="N6" s="195" t="s">
        <v>5</v>
      </c>
      <c r="O6" s="195"/>
      <c r="P6" s="195"/>
      <c r="Q6" s="195"/>
      <c r="R6" s="195"/>
      <c r="S6" s="195"/>
      <c r="T6" s="195"/>
      <c r="U6" s="188" t="s">
        <v>6</v>
      </c>
      <c r="V6" s="188" t="s">
        <v>7</v>
      </c>
      <c r="W6" s="21"/>
    </row>
    <row r="7" spans="1:23" x14ac:dyDescent="0.25">
      <c r="A7" s="195"/>
      <c r="B7" s="195"/>
      <c r="C7" s="195"/>
      <c r="D7" s="195"/>
      <c r="E7" s="195"/>
      <c r="F7" s="195"/>
      <c r="G7" s="195"/>
      <c r="H7" s="195"/>
      <c r="I7" s="195"/>
      <c r="J7" s="195"/>
      <c r="K7" s="195"/>
      <c r="L7" s="188"/>
      <c r="M7" s="196"/>
      <c r="N7" s="200" t="s">
        <v>8</v>
      </c>
      <c r="O7" s="201"/>
      <c r="P7" s="200" t="s">
        <v>9</v>
      </c>
      <c r="Q7" s="201"/>
      <c r="R7" s="202" t="s">
        <v>10</v>
      </c>
      <c r="S7" s="203"/>
      <c r="T7" s="204"/>
      <c r="U7" s="188"/>
      <c r="V7" s="188"/>
      <c r="W7" s="21"/>
    </row>
    <row r="8" spans="1:23" x14ac:dyDescent="0.25">
      <c r="A8" s="195"/>
      <c r="B8" s="195"/>
      <c r="C8" s="195"/>
      <c r="D8" s="195"/>
      <c r="E8" s="195"/>
      <c r="F8" s="195"/>
      <c r="G8" s="195"/>
      <c r="H8" s="195"/>
      <c r="I8" s="195"/>
      <c r="J8" s="195"/>
      <c r="K8" s="195"/>
      <c r="L8" s="188"/>
      <c r="M8" s="196"/>
      <c r="N8" s="188" t="s">
        <v>11</v>
      </c>
      <c r="O8" s="188"/>
      <c r="P8" s="188" t="s">
        <v>11</v>
      </c>
      <c r="Q8" s="188"/>
      <c r="R8" s="188" t="s">
        <v>11</v>
      </c>
      <c r="S8" s="188"/>
      <c r="T8" s="151" t="s">
        <v>12</v>
      </c>
      <c r="U8" s="188"/>
      <c r="V8" s="188"/>
      <c r="W8" s="21"/>
    </row>
    <row r="9" spans="1:23" x14ac:dyDescent="0.25">
      <c r="A9" s="195"/>
      <c r="B9" s="195"/>
      <c r="C9" s="195"/>
      <c r="D9" s="195"/>
      <c r="E9" s="195"/>
      <c r="F9" s="195"/>
      <c r="G9" s="195"/>
      <c r="H9" s="195"/>
      <c r="I9" s="195"/>
      <c r="J9" s="195"/>
      <c r="K9" s="195"/>
      <c r="L9" s="188"/>
      <c r="M9" s="196"/>
      <c r="N9" s="151" t="s">
        <v>13</v>
      </c>
      <c r="O9" s="151" t="s">
        <v>14</v>
      </c>
      <c r="P9" s="151" t="s">
        <v>13</v>
      </c>
      <c r="Q9" s="151" t="s">
        <v>14</v>
      </c>
      <c r="R9" s="151" t="s">
        <v>13</v>
      </c>
      <c r="S9" s="151" t="s">
        <v>14</v>
      </c>
      <c r="T9" s="151" t="s">
        <v>14</v>
      </c>
      <c r="U9" s="188"/>
      <c r="V9" s="188"/>
      <c r="W9" s="21"/>
    </row>
    <row r="10" spans="1:23" s="171" customFormat="1" ht="25.5" x14ac:dyDescent="0.25">
      <c r="A10" s="190" t="s">
        <v>74</v>
      </c>
      <c r="B10" s="190"/>
      <c r="C10" s="190"/>
      <c r="D10" s="190"/>
      <c r="E10" s="190"/>
      <c r="F10" s="190"/>
      <c r="G10" s="190"/>
      <c r="H10" s="190"/>
      <c r="I10" s="190"/>
      <c r="J10" s="190"/>
      <c r="K10" s="76" t="s">
        <v>72</v>
      </c>
      <c r="L10" s="198" t="s">
        <v>15</v>
      </c>
      <c r="M10" s="32"/>
      <c r="N10" s="3"/>
      <c r="O10" s="153"/>
      <c r="P10" s="153"/>
      <c r="Q10" s="153"/>
      <c r="R10" s="153"/>
      <c r="S10" s="153"/>
      <c r="T10" s="153"/>
      <c r="U10" s="153"/>
      <c r="V10" s="153"/>
      <c r="W10" s="22"/>
    </row>
    <row r="11" spans="1:23" s="171" customFormat="1" ht="39.950000000000003" customHeight="1" x14ac:dyDescent="0.25">
      <c r="A11" s="190" t="s">
        <v>75</v>
      </c>
      <c r="B11" s="190"/>
      <c r="C11" s="190"/>
      <c r="D11" s="190"/>
      <c r="E11" s="190"/>
      <c r="F11" s="190"/>
      <c r="G11" s="190"/>
      <c r="H11" s="190"/>
      <c r="I11" s="190"/>
      <c r="J11" s="190"/>
      <c r="K11" s="76" t="s">
        <v>16</v>
      </c>
      <c r="L11" s="199"/>
      <c r="M11" s="33">
        <f>M12</f>
        <v>908784000</v>
      </c>
      <c r="N11" s="3"/>
      <c r="O11" s="153"/>
      <c r="P11" s="153"/>
      <c r="Q11" s="153"/>
      <c r="R11" s="5"/>
      <c r="S11" s="153"/>
      <c r="T11" s="153"/>
      <c r="U11" s="158"/>
      <c r="V11" s="153"/>
      <c r="W11" s="22"/>
    </row>
    <row r="12" spans="1:23" ht="18" customHeight="1" x14ac:dyDescent="0.25">
      <c r="A12" s="8">
        <v>1</v>
      </c>
      <c r="B12" s="9" t="s">
        <v>17</v>
      </c>
      <c r="C12" s="9" t="s">
        <v>18</v>
      </c>
      <c r="D12" s="8">
        <v>38</v>
      </c>
      <c r="E12" s="8">
        <v>14</v>
      </c>
      <c r="F12" s="38">
        <v>5</v>
      </c>
      <c r="G12" s="38">
        <v>2</v>
      </c>
      <c r="H12" s="38"/>
      <c r="I12" s="39"/>
      <c r="J12" s="40"/>
      <c r="K12" s="77" t="s">
        <v>19</v>
      </c>
      <c r="L12" s="159"/>
      <c r="M12" s="93">
        <f>M13+M14+M15</f>
        <v>908784000</v>
      </c>
      <c r="N12" s="94">
        <f>Juli!R12</f>
        <v>388352080</v>
      </c>
      <c r="O12" s="95">
        <f>N12/M12*100</f>
        <v>42.733155513301291</v>
      </c>
      <c r="P12" s="94">
        <f>P13+P14+P15</f>
        <v>70533040</v>
      </c>
      <c r="Q12" s="95">
        <f>P12/M12*100</f>
        <v>7.7612545995528093</v>
      </c>
      <c r="R12" s="94">
        <f>R13+R14+R15</f>
        <v>458885120</v>
      </c>
      <c r="S12" s="95">
        <f>R12/M12*100</f>
        <v>50.494410112854105</v>
      </c>
      <c r="T12" s="96">
        <f>SUM(T13:T15)/3</f>
        <v>55.238552918922345</v>
      </c>
      <c r="U12" s="10"/>
      <c r="V12" s="160"/>
      <c r="W12" s="172"/>
    </row>
    <row r="13" spans="1:23" ht="18" customHeight="1" x14ac:dyDescent="0.25">
      <c r="A13" s="8">
        <v>1</v>
      </c>
      <c r="B13" s="9" t="s">
        <v>17</v>
      </c>
      <c r="C13" s="9" t="s">
        <v>18</v>
      </c>
      <c r="D13" s="8">
        <v>38</v>
      </c>
      <c r="E13" s="8">
        <v>14</v>
      </c>
      <c r="F13" s="41">
        <v>5</v>
      </c>
      <c r="G13" s="41">
        <v>2</v>
      </c>
      <c r="H13" s="41">
        <v>1</v>
      </c>
      <c r="I13" s="42"/>
      <c r="J13" s="43"/>
      <c r="K13" s="73" t="s">
        <v>20</v>
      </c>
      <c r="L13" s="159"/>
      <c r="M13" s="97">
        <f>M17</f>
        <v>545270400</v>
      </c>
      <c r="N13" s="94">
        <f>Juli!R13</f>
        <v>250944480</v>
      </c>
      <c r="O13" s="99">
        <f t="shared" ref="O13:O76" si="0">N13/M13*100</f>
        <v>46.022025035652035</v>
      </c>
      <c r="P13" s="98">
        <f>P17</f>
        <v>35594640</v>
      </c>
      <c r="Q13" s="99">
        <f t="shared" ref="Q13:Q76" si="1">P13/M13*100</f>
        <v>6.52788781492632</v>
      </c>
      <c r="R13" s="98">
        <f>N13+P13</f>
        <v>286539120</v>
      </c>
      <c r="S13" s="99">
        <f t="shared" ref="S13:S76" si="2">R13/M13*100</f>
        <v>52.549912850578352</v>
      </c>
      <c r="T13" s="100">
        <f>T17</f>
        <v>66.666666666666657</v>
      </c>
      <c r="U13" s="10"/>
      <c r="V13" s="10"/>
      <c r="W13" s="133"/>
    </row>
    <row r="14" spans="1:23" ht="18" customHeight="1" x14ac:dyDescent="0.25">
      <c r="A14" s="8">
        <v>1</v>
      </c>
      <c r="B14" s="9" t="s">
        <v>17</v>
      </c>
      <c r="C14" s="9" t="s">
        <v>18</v>
      </c>
      <c r="D14" s="8">
        <v>38</v>
      </c>
      <c r="E14" s="8">
        <v>14</v>
      </c>
      <c r="F14" s="42" t="s">
        <v>21</v>
      </c>
      <c r="G14" s="42" t="s">
        <v>22</v>
      </c>
      <c r="H14" s="42" t="s">
        <v>22</v>
      </c>
      <c r="I14" s="44"/>
      <c r="J14" s="45"/>
      <c r="K14" s="78" t="s">
        <v>23</v>
      </c>
      <c r="L14" s="11"/>
      <c r="M14" s="97">
        <f>M21</f>
        <v>294813600</v>
      </c>
      <c r="N14" s="94">
        <f>Juli!R14</f>
        <v>117487600</v>
      </c>
      <c r="O14" s="99">
        <f t="shared" si="0"/>
        <v>39.851485820192828</v>
      </c>
      <c r="P14" s="98">
        <f>P21</f>
        <v>27438400</v>
      </c>
      <c r="Q14" s="99">
        <f t="shared" si="1"/>
        <v>9.3070333254639532</v>
      </c>
      <c r="R14" s="98">
        <f>N14+P14</f>
        <v>144926000</v>
      </c>
      <c r="S14" s="99">
        <f t="shared" si="2"/>
        <v>49.158519145656783</v>
      </c>
      <c r="T14" s="100">
        <f>T21</f>
        <v>39.048992090100356</v>
      </c>
      <c r="U14" s="10"/>
      <c r="V14" s="10"/>
      <c r="W14" s="133"/>
    </row>
    <row r="15" spans="1:23" ht="18" customHeight="1" x14ac:dyDescent="0.25">
      <c r="A15" s="8">
        <v>1</v>
      </c>
      <c r="B15" s="9" t="s">
        <v>17</v>
      </c>
      <c r="C15" s="9" t="s">
        <v>18</v>
      </c>
      <c r="D15" s="8">
        <v>38</v>
      </c>
      <c r="E15" s="8">
        <v>14</v>
      </c>
      <c r="F15" s="42" t="s">
        <v>21</v>
      </c>
      <c r="G15" s="42" t="s">
        <v>22</v>
      </c>
      <c r="H15" s="42" t="s">
        <v>24</v>
      </c>
      <c r="I15" s="44"/>
      <c r="J15" s="45"/>
      <c r="K15" s="78" t="s">
        <v>25</v>
      </c>
      <c r="L15" s="11"/>
      <c r="M15" s="97">
        <f>M75</f>
        <v>68700000</v>
      </c>
      <c r="N15" s="94">
        <f>Juli!R15</f>
        <v>19920000</v>
      </c>
      <c r="O15" s="99">
        <f t="shared" si="0"/>
        <v>28.995633187772924</v>
      </c>
      <c r="P15" s="98">
        <f>P75</f>
        <v>7500000</v>
      </c>
      <c r="Q15" s="99">
        <f t="shared" si="1"/>
        <v>10.91703056768559</v>
      </c>
      <c r="R15" s="98">
        <f>N15+P15</f>
        <v>27420000</v>
      </c>
      <c r="S15" s="99">
        <f t="shared" si="2"/>
        <v>39.912663755458517</v>
      </c>
      <c r="T15" s="100">
        <f>T75</f>
        <v>60</v>
      </c>
      <c r="U15" s="10"/>
      <c r="V15" s="10"/>
      <c r="W15" s="133"/>
    </row>
    <row r="16" spans="1:23" ht="9.9499999999999993" customHeight="1" x14ac:dyDescent="0.25">
      <c r="A16" s="8"/>
      <c r="B16" s="9"/>
      <c r="C16" s="9"/>
      <c r="D16" s="8"/>
      <c r="E16" s="8"/>
      <c r="F16" s="42"/>
      <c r="G16" s="42"/>
      <c r="H16" s="42"/>
      <c r="I16" s="44"/>
      <c r="J16" s="45"/>
      <c r="K16" s="78"/>
      <c r="L16" s="11"/>
      <c r="M16" s="97"/>
      <c r="N16" s="94">
        <f>Juli!R16</f>
        <v>0</v>
      </c>
      <c r="O16" s="99"/>
      <c r="P16" s="101"/>
      <c r="Q16" s="99"/>
      <c r="R16" s="101"/>
      <c r="S16" s="99"/>
      <c r="T16" s="102"/>
      <c r="U16" s="10"/>
      <c r="V16" s="10"/>
      <c r="W16" s="133"/>
    </row>
    <row r="17" spans="1:23" ht="18" customHeight="1" x14ac:dyDescent="0.25">
      <c r="A17" s="8">
        <v>1</v>
      </c>
      <c r="B17" s="9" t="s">
        <v>17</v>
      </c>
      <c r="C17" s="9" t="s">
        <v>18</v>
      </c>
      <c r="D17" s="8">
        <v>38</v>
      </c>
      <c r="E17" s="8">
        <v>14</v>
      </c>
      <c r="F17" s="42" t="s">
        <v>21</v>
      </c>
      <c r="G17" s="42" t="s">
        <v>22</v>
      </c>
      <c r="H17" s="42" t="s">
        <v>26</v>
      </c>
      <c r="I17" s="42"/>
      <c r="J17" s="46"/>
      <c r="K17" s="79" t="s">
        <v>20</v>
      </c>
      <c r="L17" s="11"/>
      <c r="M17" s="103">
        <f>M18</f>
        <v>545270400</v>
      </c>
      <c r="N17" s="94">
        <f>Juli!R17</f>
        <v>250944480</v>
      </c>
      <c r="O17" s="99">
        <f t="shared" si="0"/>
        <v>46.022025035652035</v>
      </c>
      <c r="P17" s="104">
        <f>P18</f>
        <v>35594640</v>
      </c>
      <c r="Q17" s="95">
        <f t="shared" si="1"/>
        <v>6.52788781492632</v>
      </c>
      <c r="R17" s="104">
        <f>R18</f>
        <v>286539120</v>
      </c>
      <c r="S17" s="95">
        <f t="shared" si="2"/>
        <v>52.549912850578352</v>
      </c>
      <c r="T17" s="96">
        <f>T18</f>
        <v>66.666666666666657</v>
      </c>
      <c r="U17" s="10"/>
      <c r="V17" s="10"/>
      <c r="W17" s="133"/>
    </row>
    <row r="18" spans="1:23" ht="18" customHeight="1" x14ac:dyDescent="0.25">
      <c r="A18" s="8">
        <v>1</v>
      </c>
      <c r="B18" s="9" t="s">
        <v>17</v>
      </c>
      <c r="C18" s="9" t="s">
        <v>18</v>
      </c>
      <c r="D18" s="8">
        <v>38</v>
      </c>
      <c r="E18" s="8">
        <v>14</v>
      </c>
      <c r="F18" s="41">
        <v>5</v>
      </c>
      <c r="G18" s="41">
        <v>2</v>
      </c>
      <c r="H18" s="41">
        <v>1</v>
      </c>
      <c r="I18" s="42" t="s">
        <v>30</v>
      </c>
      <c r="J18" s="47"/>
      <c r="K18" s="80" t="s">
        <v>31</v>
      </c>
      <c r="L18" s="159"/>
      <c r="M18" s="105">
        <f>M19</f>
        <v>545270400</v>
      </c>
      <c r="N18" s="94">
        <f>Juli!R18</f>
        <v>250944480</v>
      </c>
      <c r="O18" s="99">
        <f t="shared" si="0"/>
        <v>46.022025035652035</v>
      </c>
      <c r="P18" s="106">
        <f>P19</f>
        <v>35594640</v>
      </c>
      <c r="Q18" s="95">
        <f t="shared" si="1"/>
        <v>6.52788781492632</v>
      </c>
      <c r="R18" s="106">
        <f>R19</f>
        <v>286539120</v>
      </c>
      <c r="S18" s="95">
        <f t="shared" si="2"/>
        <v>52.549912850578352</v>
      </c>
      <c r="T18" s="96">
        <f>T19</f>
        <v>66.666666666666657</v>
      </c>
      <c r="U18" s="10"/>
      <c r="V18" s="10"/>
      <c r="W18" s="133"/>
    </row>
    <row r="19" spans="1:23" ht="15" customHeight="1" x14ac:dyDescent="0.25">
      <c r="A19" s="6"/>
      <c r="B19" s="7"/>
      <c r="C19" s="7"/>
      <c r="D19" s="6"/>
      <c r="E19" s="6"/>
      <c r="F19" s="41"/>
      <c r="G19" s="41"/>
      <c r="H19" s="41"/>
      <c r="I19" s="42"/>
      <c r="J19" s="43" t="s">
        <v>18</v>
      </c>
      <c r="K19" s="73" t="s">
        <v>32</v>
      </c>
      <c r="L19" s="161"/>
      <c r="M19" s="107">
        <v>545270400</v>
      </c>
      <c r="N19" s="94">
        <f>Juli!R19</f>
        <v>250944480</v>
      </c>
      <c r="O19" s="99">
        <f t="shared" si="0"/>
        <v>46.022025035652035</v>
      </c>
      <c r="P19" s="26">
        <v>35594640</v>
      </c>
      <c r="Q19" s="99">
        <f t="shared" si="1"/>
        <v>6.52788781492632</v>
      </c>
      <c r="R19" s="108">
        <f>N19+P19</f>
        <v>286539120</v>
      </c>
      <c r="S19" s="99">
        <f>R19/M19*100</f>
        <v>52.549912850578352</v>
      </c>
      <c r="T19" s="100">
        <f>8/12*100</f>
        <v>66.666666666666657</v>
      </c>
      <c r="U19" s="10"/>
      <c r="V19" s="10"/>
      <c r="W19" s="133"/>
    </row>
    <row r="20" spans="1:23" ht="9.9499999999999993" customHeight="1" x14ac:dyDescent="0.25">
      <c r="A20" s="10"/>
      <c r="B20" s="10"/>
      <c r="C20" s="10"/>
      <c r="D20" s="10"/>
      <c r="E20" s="10"/>
      <c r="F20" s="121"/>
      <c r="G20" s="121"/>
      <c r="H20" s="121"/>
      <c r="I20" s="122"/>
      <c r="J20" s="123"/>
      <c r="K20" s="73"/>
      <c r="L20" s="78"/>
      <c r="M20" s="107"/>
      <c r="N20" s="94">
        <f>Juli!R20</f>
        <v>0</v>
      </c>
      <c r="O20" s="99"/>
      <c r="P20" s="101"/>
      <c r="Q20" s="99"/>
      <c r="R20" s="101"/>
      <c r="S20" s="99"/>
      <c r="T20" s="109"/>
      <c r="U20" s="10"/>
      <c r="V20" s="10"/>
      <c r="W20" s="133"/>
    </row>
    <row r="21" spans="1:23" ht="18" customHeight="1" x14ac:dyDescent="0.25">
      <c r="A21" s="8">
        <v>1</v>
      </c>
      <c r="B21" s="9" t="s">
        <v>17</v>
      </c>
      <c r="C21" s="9" t="s">
        <v>18</v>
      </c>
      <c r="D21" s="8">
        <v>38</v>
      </c>
      <c r="E21" s="8">
        <v>14</v>
      </c>
      <c r="F21" s="42" t="s">
        <v>21</v>
      </c>
      <c r="G21" s="42" t="s">
        <v>22</v>
      </c>
      <c r="H21" s="42" t="s">
        <v>22</v>
      </c>
      <c r="I21" s="48"/>
      <c r="J21" s="49"/>
      <c r="K21" s="79" t="s">
        <v>23</v>
      </c>
      <c r="L21" s="11"/>
      <c r="M21" s="105">
        <f>M22+M31+M34+M42+M46+M52+M55+M58+M68+M72+M64+M39+M49</f>
        <v>294813600</v>
      </c>
      <c r="N21" s="94">
        <f>Juli!R21</f>
        <v>114367600</v>
      </c>
      <c r="O21" s="95">
        <f t="shared" si="0"/>
        <v>38.793190002089453</v>
      </c>
      <c r="P21" s="106">
        <f>P22+P31+P34+P42+P46+P52+P55+P58+P68+P72+P39+P49</f>
        <v>27438400</v>
      </c>
      <c r="Q21" s="95">
        <f t="shared" si="1"/>
        <v>9.3070333254639532</v>
      </c>
      <c r="R21" s="106">
        <f>R22+R31+R34+R42+R46+R52+R55+R58+R68+R72+R39+R49</f>
        <v>141806000</v>
      </c>
      <c r="S21" s="95">
        <f>R21/M21*100</f>
        <v>48.100223327553408</v>
      </c>
      <c r="T21" s="110">
        <f>(T22+T31+T34+T42+T46+T52+T55+T58+T68+T72+T39+T49)/13</f>
        <v>39.048992090100356</v>
      </c>
      <c r="U21" s="160"/>
      <c r="V21" s="10"/>
      <c r="W21" s="133"/>
    </row>
    <row r="22" spans="1:23" ht="18" customHeight="1" x14ac:dyDescent="0.25">
      <c r="A22" s="6">
        <v>1</v>
      </c>
      <c r="B22" s="9" t="s">
        <v>17</v>
      </c>
      <c r="C22" s="9" t="s">
        <v>18</v>
      </c>
      <c r="D22" s="8">
        <v>38</v>
      </c>
      <c r="E22" s="8">
        <v>14</v>
      </c>
      <c r="F22" s="42" t="s">
        <v>21</v>
      </c>
      <c r="G22" s="42" t="s">
        <v>22</v>
      </c>
      <c r="H22" s="42" t="s">
        <v>22</v>
      </c>
      <c r="I22" s="42" t="s">
        <v>18</v>
      </c>
      <c r="J22" s="43"/>
      <c r="K22" s="79" t="s">
        <v>33</v>
      </c>
      <c r="L22" s="17"/>
      <c r="M22" s="105">
        <f>SUM(M23:M29)</f>
        <v>119064100</v>
      </c>
      <c r="N22" s="94">
        <f>Juli!R22</f>
        <v>52806300</v>
      </c>
      <c r="O22" s="95">
        <f t="shared" si="0"/>
        <v>44.351152026513454</v>
      </c>
      <c r="P22" s="111">
        <f>SUM(P23:P29)</f>
        <v>145000</v>
      </c>
      <c r="Q22" s="95">
        <f t="shared" si="1"/>
        <v>0.12178314034205105</v>
      </c>
      <c r="R22" s="111">
        <f>SUM(R23:R29)</f>
        <v>52951300</v>
      </c>
      <c r="S22" s="95">
        <f t="shared" si="2"/>
        <v>44.4729351668555</v>
      </c>
      <c r="T22" s="96">
        <f>SUM(T23:T29)/7</f>
        <v>43.333333333333329</v>
      </c>
      <c r="U22" s="10"/>
      <c r="V22" s="160"/>
      <c r="W22" s="133"/>
    </row>
    <row r="23" spans="1:23" ht="15" customHeight="1" x14ac:dyDescent="0.25">
      <c r="A23" s="10"/>
      <c r="B23" s="10"/>
      <c r="C23" s="10"/>
      <c r="D23" s="10"/>
      <c r="E23" s="10"/>
      <c r="F23" s="48"/>
      <c r="G23" s="48"/>
      <c r="H23" s="48"/>
      <c r="I23" s="48"/>
      <c r="J23" s="50" t="s">
        <v>18</v>
      </c>
      <c r="K23" s="81" t="s">
        <v>99</v>
      </c>
      <c r="L23" s="73"/>
      <c r="M23" s="97">
        <v>14306500</v>
      </c>
      <c r="N23" s="94">
        <f>Juli!R23</f>
        <v>10860900</v>
      </c>
      <c r="O23" s="99">
        <f t="shared" si="0"/>
        <v>75.915842449236365</v>
      </c>
      <c r="P23" s="26"/>
      <c r="Q23" s="99">
        <f t="shared" si="1"/>
        <v>0</v>
      </c>
      <c r="R23" s="112">
        <f>N23+P23</f>
        <v>10860900</v>
      </c>
      <c r="S23" s="99">
        <f t="shared" si="2"/>
        <v>75.915842449236365</v>
      </c>
      <c r="T23" s="109">
        <f>2/2*100</f>
        <v>100</v>
      </c>
      <c r="U23" s="10"/>
      <c r="V23" s="10"/>
      <c r="W23" s="133"/>
    </row>
    <row r="24" spans="1:23" ht="15" customHeight="1" x14ac:dyDescent="0.25">
      <c r="A24" s="6"/>
      <c r="B24" s="7"/>
      <c r="C24" s="7"/>
      <c r="D24" s="6"/>
      <c r="E24" s="6"/>
      <c r="F24" s="48"/>
      <c r="G24" s="48"/>
      <c r="H24" s="48"/>
      <c r="I24" s="48"/>
      <c r="J24" s="50" t="s">
        <v>35</v>
      </c>
      <c r="K24" s="74" t="s">
        <v>100</v>
      </c>
      <c r="L24" s="12"/>
      <c r="M24" s="97">
        <v>780000</v>
      </c>
      <c r="N24" s="94">
        <f>Juli!R24</f>
        <v>780000</v>
      </c>
      <c r="O24" s="99">
        <f t="shared" si="0"/>
        <v>100</v>
      </c>
      <c r="P24" s="101"/>
      <c r="Q24" s="99">
        <f t="shared" si="1"/>
        <v>0</v>
      </c>
      <c r="R24" s="112">
        <f>N24+P24</f>
        <v>780000</v>
      </c>
      <c r="S24" s="99">
        <f t="shared" si="2"/>
        <v>100</v>
      </c>
      <c r="T24" s="109">
        <f>2/2*100</f>
        <v>100</v>
      </c>
      <c r="U24" s="10"/>
      <c r="V24" s="10"/>
      <c r="W24" s="133"/>
    </row>
    <row r="25" spans="1:23" ht="15" customHeight="1" x14ac:dyDescent="0.25">
      <c r="A25" s="6"/>
      <c r="B25" s="7"/>
      <c r="C25" s="7"/>
      <c r="D25" s="6"/>
      <c r="E25" s="6"/>
      <c r="F25" s="48"/>
      <c r="G25" s="48"/>
      <c r="H25" s="48"/>
      <c r="I25" s="48"/>
      <c r="J25" s="43" t="s">
        <v>28</v>
      </c>
      <c r="K25" s="81" t="s">
        <v>101</v>
      </c>
      <c r="L25" s="12"/>
      <c r="M25" s="97">
        <v>2000000</v>
      </c>
      <c r="N25" s="94">
        <f>Juli!R25</f>
        <v>150000</v>
      </c>
      <c r="O25" s="99">
        <f t="shared" si="0"/>
        <v>7.5</v>
      </c>
      <c r="P25" s="101"/>
      <c r="Q25" s="99">
        <f t="shared" si="1"/>
        <v>0</v>
      </c>
      <c r="R25" s="112">
        <f t="shared" ref="R25:R29" si="3">N25+P25</f>
        <v>150000</v>
      </c>
      <c r="S25" s="99">
        <f t="shared" si="2"/>
        <v>7.5</v>
      </c>
      <c r="T25" s="109">
        <f>2/10*100</f>
        <v>20</v>
      </c>
      <c r="U25" s="10"/>
      <c r="V25" s="10"/>
      <c r="W25" s="133"/>
    </row>
    <row r="26" spans="1:23" ht="15" customHeight="1" x14ac:dyDescent="0.25">
      <c r="A26" s="6"/>
      <c r="B26" s="7"/>
      <c r="C26" s="7"/>
      <c r="D26" s="6"/>
      <c r="E26" s="6"/>
      <c r="F26" s="48"/>
      <c r="G26" s="48"/>
      <c r="H26" s="48"/>
      <c r="I26" s="51"/>
      <c r="J26" s="43" t="s">
        <v>50</v>
      </c>
      <c r="K26" s="81" t="s">
        <v>102</v>
      </c>
      <c r="L26" s="12"/>
      <c r="M26" s="97">
        <v>800000</v>
      </c>
      <c r="N26" s="94">
        <f>Juli!R26</f>
        <v>0</v>
      </c>
      <c r="O26" s="99">
        <f t="shared" si="0"/>
        <v>0</v>
      </c>
      <c r="P26" s="101"/>
      <c r="Q26" s="99">
        <f t="shared" si="1"/>
        <v>0</v>
      </c>
      <c r="R26" s="112">
        <f t="shared" si="3"/>
        <v>0</v>
      </c>
      <c r="S26" s="99">
        <f t="shared" si="2"/>
        <v>0</v>
      </c>
      <c r="T26" s="109">
        <f>0/2*100</f>
        <v>0</v>
      </c>
      <c r="U26" s="10"/>
      <c r="V26" s="10"/>
      <c r="W26" s="133"/>
    </row>
    <row r="27" spans="1:23" ht="15" customHeight="1" x14ac:dyDescent="0.25">
      <c r="A27" s="6"/>
      <c r="B27" s="7"/>
      <c r="C27" s="7"/>
      <c r="D27" s="6"/>
      <c r="E27" s="6"/>
      <c r="F27" s="121"/>
      <c r="G27" s="122"/>
      <c r="H27" s="122"/>
      <c r="I27" s="124"/>
      <c r="J27" s="52" t="s">
        <v>30</v>
      </c>
      <c r="K27" s="82" t="s">
        <v>103</v>
      </c>
      <c r="L27" s="12"/>
      <c r="M27" s="97">
        <v>2610000</v>
      </c>
      <c r="N27" s="94">
        <f>Juli!R27</f>
        <v>1015000</v>
      </c>
      <c r="O27" s="99">
        <f t="shared" si="0"/>
        <v>38.888888888888893</v>
      </c>
      <c r="P27" s="132">
        <v>145000</v>
      </c>
      <c r="Q27" s="99">
        <f t="shared" si="1"/>
        <v>5.5555555555555554</v>
      </c>
      <c r="R27" s="112">
        <f t="shared" si="3"/>
        <v>1160000</v>
      </c>
      <c r="S27" s="113">
        <f t="shared" si="2"/>
        <v>44.444444444444443</v>
      </c>
      <c r="T27" s="100">
        <f>8/24*100</f>
        <v>33.333333333333329</v>
      </c>
      <c r="U27" s="10"/>
      <c r="V27" s="10"/>
      <c r="W27" s="133"/>
    </row>
    <row r="28" spans="1:23" ht="15" customHeight="1" x14ac:dyDescent="0.25">
      <c r="A28" s="6"/>
      <c r="B28" s="7"/>
      <c r="C28" s="7"/>
      <c r="D28" s="6"/>
      <c r="E28" s="6"/>
      <c r="F28" s="48"/>
      <c r="G28" s="48"/>
      <c r="H28" s="48"/>
      <c r="I28" s="53"/>
      <c r="J28" s="43" t="s">
        <v>37</v>
      </c>
      <c r="K28" s="74" t="s">
        <v>38</v>
      </c>
      <c r="L28" s="162"/>
      <c r="M28" s="97">
        <v>98117600</v>
      </c>
      <c r="N28" s="94">
        <f>Juli!R28</f>
        <v>40000400</v>
      </c>
      <c r="O28" s="99">
        <f t="shared" si="0"/>
        <v>40.767813317896071</v>
      </c>
      <c r="P28" s="26"/>
      <c r="Q28" s="99">
        <f t="shared" si="1"/>
        <v>0</v>
      </c>
      <c r="R28" s="112">
        <f t="shared" si="3"/>
        <v>40000400</v>
      </c>
      <c r="S28" s="99">
        <f t="shared" si="2"/>
        <v>40.767813317896071</v>
      </c>
      <c r="T28" s="109">
        <f>1/2*100</f>
        <v>50</v>
      </c>
      <c r="U28" s="10"/>
      <c r="V28" s="10"/>
      <c r="W28" s="133"/>
    </row>
    <row r="29" spans="1:23" ht="15" customHeight="1" x14ac:dyDescent="0.25">
      <c r="A29" s="6"/>
      <c r="B29" s="7"/>
      <c r="C29" s="7"/>
      <c r="D29" s="6"/>
      <c r="E29" s="6"/>
      <c r="F29" s="48"/>
      <c r="G29" s="48"/>
      <c r="H29" s="48"/>
      <c r="I29" s="48"/>
      <c r="J29" s="43" t="s">
        <v>44</v>
      </c>
      <c r="K29" s="74" t="s">
        <v>104</v>
      </c>
      <c r="L29" s="161"/>
      <c r="M29" s="97">
        <v>450000</v>
      </c>
      <c r="N29" s="94">
        <f>Juli!R29</f>
        <v>0</v>
      </c>
      <c r="O29" s="99">
        <f t="shared" si="0"/>
        <v>0</v>
      </c>
      <c r="P29" s="101"/>
      <c r="Q29" s="99">
        <f t="shared" si="1"/>
        <v>0</v>
      </c>
      <c r="R29" s="112">
        <f t="shared" si="3"/>
        <v>0</v>
      </c>
      <c r="S29" s="99">
        <f t="shared" si="2"/>
        <v>0</v>
      </c>
      <c r="T29" s="109">
        <f>0/3*100</f>
        <v>0</v>
      </c>
      <c r="U29" s="10"/>
      <c r="V29" s="10"/>
      <c r="W29" s="133"/>
    </row>
    <row r="30" spans="1:23" ht="9.9499999999999993" customHeight="1" x14ac:dyDescent="0.25">
      <c r="A30" s="6"/>
      <c r="B30" s="7"/>
      <c r="C30" s="7"/>
      <c r="D30" s="6"/>
      <c r="E30" s="6"/>
      <c r="F30" s="54"/>
      <c r="G30" s="54"/>
      <c r="H30" s="54"/>
      <c r="I30" s="55"/>
      <c r="J30" s="56"/>
      <c r="K30" s="83"/>
      <c r="L30" s="163"/>
      <c r="M30" s="115"/>
      <c r="N30" s="94">
        <f>Juli!R30</f>
        <v>0</v>
      </c>
      <c r="O30" s="99"/>
      <c r="P30" s="101"/>
      <c r="Q30" s="99"/>
      <c r="R30" s="101"/>
      <c r="S30" s="99"/>
      <c r="T30" s="101"/>
      <c r="U30" s="10"/>
      <c r="V30" s="10"/>
      <c r="W30" s="133"/>
    </row>
    <row r="31" spans="1:23" ht="18" customHeight="1" x14ac:dyDescent="0.25">
      <c r="A31" s="8">
        <v>1</v>
      </c>
      <c r="B31" s="9" t="s">
        <v>17</v>
      </c>
      <c r="C31" s="9" t="s">
        <v>18</v>
      </c>
      <c r="D31" s="8">
        <v>38</v>
      </c>
      <c r="E31" s="8">
        <v>14</v>
      </c>
      <c r="F31" s="41">
        <v>5</v>
      </c>
      <c r="G31" s="41">
        <v>2</v>
      </c>
      <c r="H31" s="41">
        <v>2</v>
      </c>
      <c r="I31" s="42" t="s">
        <v>17</v>
      </c>
      <c r="J31" s="46"/>
      <c r="K31" s="80" t="s">
        <v>39</v>
      </c>
      <c r="L31" s="14"/>
      <c r="M31" s="105">
        <f>M32</f>
        <v>2400000</v>
      </c>
      <c r="N31" s="94">
        <f>Juli!R31</f>
        <v>1400000</v>
      </c>
      <c r="O31" s="99">
        <f t="shared" si="0"/>
        <v>58.333333333333336</v>
      </c>
      <c r="P31" s="94">
        <f>P32</f>
        <v>200000</v>
      </c>
      <c r="Q31" s="95">
        <f t="shared" si="1"/>
        <v>8.3333333333333321</v>
      </c>
      <c r="R31" s="116">
        <f>R32</f>
        <v>1600000</v>
      </c>
      <c r="S31" s="95">
        <f t="shared" si="2"/>
        <v>66.666666666666657</v>
      </c>
      <c r="T31" s="95">
        <f>(T32)/1</f>
        <v>66.666666666666657</v>
      </c>
      <c r="U31" s="10"/>
      <c r="V31" s="10"/>
      <c r="W31" s="133"/>
    </row>
    <row r="32" spans="1:23" ht="15" customHeight="1" x14ac:dyDescent="0.25">
      <c r="A32" s="6"/>
      <c r="B32" s="7"/>
      <c r="C32" s="7"/>
      <c r="D32" s="6"/>
      <c r="E32" s="6"/>
      <c r="F32" s="48"/>
      <c r="G32" s="48"/>
      <c r="H32" s="48"/>
      <c r="I32" s="53"/>
      <c r="J32" s="43" t="s">
        <v>28</v>
      </c>
      <c r="K32" s="74" t="s">
        <v>40</v>
      </c>
      <c r="L32" s="12"/>
      <c r="M32" s="97">
        <v>2400000</v>
      </c>
      <c r="N32" s="94">
        <f>Juli!R32</f>
        <v>1400000</v>
      </c>
      <c r="O32" s="99">
        <f t="shared" si="0"/>
        <v>58.333333333333336</v>
      </c>
      <c r="P32" s="26">
        <v>200000</v>
      </c>
      <c r="Q32" s="99">
        <f t="shared" si="1"/>
        <v>8.3333333333333321</v>
      </c>
      <c r="R32" s="101">
        <f t="shared" ref="R32" si="4">N32+P32</f>
        <v>1600000</v>
      </c>
      <c r="S32" s="99">
        <f t="shared" si="2"/>
        <v>66.666666666666657</v>
      </c>
      <c r="T32" s="100">
        <f>80/120*100</f>
        <v>66.666666666666657</v>
      </c>
      <c r="U32" s="10"/>
      <c r="V32" s="10"/>
      <c r="W32" s="133"/>
    </row>
    <row r="33" spans="1:23" ht="9.9499999999999993" customHeight="1" x14ac:dyDescent="0.25">
      <c r="A33" s="10"/>
      <c r="B33" s="10"/>
      <c r="C33" s="10"/>
      <c r="D33" s="10"/>
      <c r="E33" s="10"/>
      <c r="F33" s="54"/>
      <c r="G33" s="54"/>
      <c r="H33" s="54"/>
      <c r="I33" s="48"/>
      <c r="J33" s="43"/>
      <c r="K33" s="73"/>
      <c r="L33" s="13"/>
      <c r="M33" s="107"/>
      <c r="N33" s="94">
        <f>Juli!R33</f>
        <v>0</v>
      </c>
      <c r="O33" s="99"/>
      <c r="P33" s="101"/>
      <c r="Q33" s="99"/>
      <c r="R33" s="101"/>
      <c r="S33" s="99"/>
      <c r="T33" s="101"/>
      <c r="U33" s="10"/>
      <c r="V33" s="10"/>
      <c r="W33" s="133"/>
    </row>
    <row r="34" spans="1:23" ht="18" customHeight="1" x14ac:dyDescent="0.25">
      <c r="A34" s="8">
        <v>1</v>
      </c>
      <c r="B34" s="9" t="s">
        <v>17</v>
      </c>
      <c r="C34" s="9" t="s">
        <v>18</v>
      </c>
      <c r="D34" s="8">
        <v>38</v>
      </c>
      <c r="E34" s="8">
        <v>14</v>
      </c>
      <c r="F34" s="41">
        <v>5</v>
      </c>
      <c r="G34" s="41">
        <v>2</v>
      </c>
      <c r="H34" s="41">
        <v>2</v>
      </c>
      <c r="I34" s="42" t="s">
        <v>34</v>
      </c>
      <c r="J34" s="46"/>
      <c r="K34" s="80" t="s">
        <v>52</v>
      </c>
      <c r="L34" s="14"/>
      <c r="M34" s="103">
        <f>M35+M37+M36</f>
        <v>19800000</v>
      </c>
      <c r="N34" s="94">
        <f>Juli!R34</f>
        <v>6099500</v>
      </c>
      <c r="O34" s="99">
        <f t="shared" si="0"/>
        <v>30.805555555555557</v>
      </c>
      <c r="P34" s="116">
        <f>P35+P36+P37</f>
        <v>870600</v>
      </c>
      <c r="Q34" s="95">
        <f t="shared" si="1"/>
        <v>4.3969696969696974</v>
      </c>
      <c r="R34" s="116">
        <f>R35+R36</f>
        <v>6970100</v>
      </c>
      <c r="S34" s="95">
        <f>R34/M34*100</f>
        <v>35.202525252525248</v>
      </c>
      <c r="T34" s="95">
        <f>SUM(T35:T37)/3</f>
        <v>55.555555555555543</v>
      </c>
      <c r="U34" s="10"/>
      <c r="V34" s="10"/>
      <c r="W34" s="133"/>
    </row>
    <row r="35" spans="1:23" ht="15" customHeight="1" x14ac:dyDescent="0.25">
      <c r="A35" s="10"/>
      <c r="B35" s="10"/>
      <c r="C35" s="10"/>
      <c r="D35" s="10"/>
      <c r="E35" s="10"/>
      <c r="F35" s="54"/>
      <c r="G35" s="54"/>
      <c r="H35" s="54"/>
      <c r="I35" s="48"/>
      <c r="J35" s="43" t="s">
        <v>28</v>
      </c>
      <c r="K35" s="73" t="s">
        <v>41</v>
      </c>
      <c r="L35" s="164"/>
      <c r="M35" s="97">
        <v>12000000</v>
      </c>
      <c r="N35" s="94">
        <f>Juli!R35</f>
        <v>6073900</v>
      </c>
      <c r="O35" s="99">
        <f t="shared" si="0"/>
        <v>50.615833333333335</v>
      </c>
      <c r="P35" s="26">
        <v>867700</v>
      </c>
      <c r="Q35" s="99">
        <f t="shared" si="1"/>
        <v>7.2308333333333339</v>
      </c>
      <c r="R35" s="101">
        <f>N35+P35</f>
        <v>6941600</v>
      </c>
      <c r="S35" s="99">
        <f>R35/M35*100</f>
        <v>57.846666666666671</v>
      </c>
      <c r="T35" s="99">
        <f>8/12*100</f>
        <v>66.666666666666657</v>
      </c>
      <c r="U35" s="10"/>
      <c r="V35" s="10"/>
      <c r="W35" s="133"/>
    </row>
    <row r="36" spans="1:23" ht="15" customHeight="1" x14ac:dyDescent="0.25">
      <c r="A36" s="6"/>
      <c r="B36" s="7"/>
      <c r="C36" s="7"/>
      <c r="D36" s="6"/>
      <c r="E36" s="6"/>
      <c r="F36" s="54"/>
      <c r="G36" s="54"/>
      <c r="H36" s="54"/>
      <c r="I36" s="48"/>
      <c r="J36" s="43" t="s">
        <v>29</v>
      </c>
      <c r="K36" s="74" t="s">
        <v>42</v>
      </c>
      <c r="L36" s="54"/>
      <c r="M36" s="107">
        <v>600000</v>
      </c>
      <c r="N36" s="94">
        <f>Juli!R36</f>
        <v>25600</v>
      </c>
      <c r="O36" s="99">
        <f t="shared" si="0"/>
        <v>4.2666666666666666</v>
      </c>
      <c r="P36" s="26">
        <v>2900</v>
      </c>
      <c r="Q36" s="99">
        <f t="shared" si="1"/>
        <v>0.48333333333333334</v>
      </c>
      <c r="R36" s="101">
        <f>N36+P36</f>
        <v>28500</v>
      </c>
      <c r="S36" s="99">
        <f>R36/M36*100</f>
        <v>4.75</v>
      </c>
      <c r="T36" s="100">
        <f>8/12*100</f>
        <v>66.666666666666657</v>
      </c>
      <c r="U36" s="10"/>
      <c r="V36" s="10"/>
      <c r="W36" s="133"/>
    </row>
    <row r="37" spans="1:23" ht="15" customHeight="1" x14ac:dyDescent="0.25">
      <c r="A37" s="10"/>
      <c r="B37" s="10"/>
      <c r="C37" s="10"/>
      <c r="D37" s="10"/>
      <c r="E37" s="10"/>
      <c r="F37" s="57"/>
      <c r="G37" s="57"/>
      <c r="H37" s="57"/>
      <c r="I37" s="125"/>
      <c r="J37" s="58" t="s">
        <v>47</v>
      </c>
      <c r="K37" s="75" t="s">
        <v>64</v>
      </c>
      <c r="L37" s="164"/>
      <c r="M37" s="97">
        <v>7200000</v>
      </c>
      <c r="N37" s="94">
        <f>Juli!R37</f>
        <v>1120000</v>
      </c>
      <c r="O37" s="99">
        <f t="shared" si="0"/>
        <v>15.555555555555555</v>
      </c>
      <c r="P37" s="101"/>
      <c r="Q37" s="99">
        <f t="shared" si="1"/>
        <v>0</v>
      </c>
      <c r="R37" s="101">
        <f>N37+P37</f>
        <v>1120000</v>
      </c>
      <c r="S37" s="99">
        <f t="shared" si="2"/>
        <v>15.555555555555555</v>
      </c>
      <c r="T37" s="100">
        <f>1/3*100</f>
        <v>33.333333333333329</v>
      </c>
      <c r="U37" s="10"/>
      <c r="V37" s="10"/>
      <c r="W37" s="133"/>
    </row>
    <row r="38" spans="1:23" ht="9.9499999999999993" customHeight="1" x14ac:dyDescent="0.25">
      <c r="A38" s="10"/>
      <c r="B38" s="10"/>
      <c r="C38" s="10"/>
      <c r="D38" s="10"/>
      <c r="E38" s="10"/>
      <c r="F38" s="57"/>
      <c r="G38" s="57"/>
      <c r="H38" s="57"/>
      <c r="I38" s="125"/>
      <c r="J38" s="126"/>
      <c r="K38" s="84"/>
      <c r="L38" s="165"/>
      <c r="M38" s="115"/>
      <c r="N38" s="94">
        <f>Juli!R38</f>
        <v>0</v>
      </c>
      <c r="O38" s="99"/>
      <c r="P38" s="101"/>
      <c r="Q38" s="99"/>
      <c r="R38" s="101"/>
      <c r="S38" s="99"/>
      <c r="T38" s="101"/>
      <c r="U38" s="10"/>
      <c r="V38" s="10"/>
      <c r="W38" s="133"/>
    </row>
    <row r="39" spans="1:23" ht="18" customHeight="1" x14ac:dyDescent="0.25">
      <c r="A39" s="8">
        <v>1</v>
      </c>
      <c r="B39" s="9" t="s">
        <v>17</v>
      </c>
      <c r="C39" s="9" t="s">
        <v>18</v>
      </c>
      <c r="D39" s="8">
        <v>38</v>
      </c>
      <c r="E39" s="8">
        <v>14</v>
      </c>
      <c r="F39" s="41">
        <v>5</v>
      </c>
      <c r="G39" s="41">
        <v>2</v>
      </c>
      <c r="H39" s="41">
        <v>2</v>
      </c>
      <c r="I39" s="42" t="s">
        <v>27</v>
      </c>
      <c r="J39" s="155"/>
      <c r="K39" s="154" t="s">
        <v>105</v>
      </c>
      <c r="L39" s="14"/>
      <c r="M39" s="103">
        <f>M40</f>
        <v>900000</v>
      </c>
      <c r="N39" s="94">
        <f>Juli!R39</f>
        <v>0</v>
      </c>
      <c r="O39" s="99">
        <f t="shared" si="0"/>
        <v>0</v>
      </c>
      <c r="P39" s="101">
        <f>P40</f>
        <v>0</v>
      </c>
      <c r="Q39" s="99">
        <f t="shared" si="1"/>
        <v>0</v>
      </c>
      <c r="R39" s="101">
        <f>R40</f>
        <v>0</v>
      </c>
      <c r="S39" s="99">
        <f t="shared" si="2"/>
        <v>0</v>
      </c>
      <c r="T39" s="185">
        <f>T40</f>
        <v>0</v>
      </c>
      <c r="U39" s="10"/>
      <c r="V39" s="10"/>
      <c r="W39" s="133"/>
    </row>
    <row r="40" spans="1:23" ht="15" customHeight="1" x14ac:dyDescent="0.25">
      <c r="A40" s="63"/>
      <c r="B40" s="63"/>
      <c r="C40" s="63"/>
      <c r="D40" s="63"/>
      <c r="E40" s="63"/>
      <c r="F40" s="57"/>
      <c r="G40" s="57"/>
      <c r="H40" s="57"/>
      <c r="I40" s="67"/>
      <c r="J40" s="43" t="s">
        <v>17</v>
      </c>
      <c r="K40" s="75" t="s">
        <v>106</v>
      </c>
      <c r="L40" s="13"/>
      <c r="M40" s="97">
        <v>900000</v>
      </c>
      <c r="N40" s="94">
        <f>Juli!R40</f>
        <v>0</v>
      </c>
      <c r="O40" s="99">
        <f t="shared" si="0"/>
        <v>0</v>
      </c>
      <c r="P40" s="101"/>
      <c r="Q40" s="99">
        <f t="shared" si="1"/>
        <v>0</v>
      </c>
      <c r="R40" s="101">
        <f>N40+P40</f>
        <v>0</v>
      </c>
      <c r="S40" s="99">
        <f t="shared" si="2"/>
        <v>0</v>
      </c>
      <c r="T40" s="109">
        <f>0/1*100</f>
        <v>0</v>
      </c>
      <c r="U40" s="10"/>
      <c r="V40" s="10"/>
      <c r="W40" s="133"/>
    </row>
    <row r="41" spans="1:23" ht="9.9499999999999993" customHeight="1" x14ac:dyDescent="0.25">
      <c r="A41" s="63"/>
      <c r="B41" s="63"/>
      <c r="C41" s="63"/>
      <c r="D41" s="63"/>
      <c r="E41" s="63"/>
      <c r="F41" s="57"/>
      <c r="G41" s="57"/>
      <c r="H41" s="57"/>
      <c r="I41" s="67"/>
      <c r="J41" s="68"/>
      <c r="K41" s="84"/>
      <c r="L41" s="165"/>
      <c r="M41" s="115"/>
      <c r="N41" s="94">
        <f>Juli!R41</f>
        <v>0</v>
      </c>
      <c r="O41" s="99"/>
      <c r="P41" s="101"/>
      <c r="Q41" s="99"/>
      <c r="R41" s="101"/>
      <c r="S41" s="99"/>
      <c r="T41" s="101"/>
      <c r="U41" s="10"/>
      <c r="V41" s="10"/>
      <c r="W41" s="133"/>
    </row>
    <row r="42" spans="1:23" ht="18" customHeight="1" x14ac:dyDescent="0.25">
      <c r="A42" s="8">
        <v>1</v>
      </c>
      <c r="B42" s="9" t="s">
        <v>17</v>
      </c>
      <c r="C42" s="9" t="s">
        <v>18</v>
      </c>
      <c r="D42" s="8">
        <v>38</v>
      </c>
      <c r="E42" s="8">
        <v>14</v>
      </c>
      <c r="F42" s="42" t="s">
        <v>21</v>
      </c>
      <c r="G42" s="42" t="s">
        <v>22</v>
      </c>
      <c r="H42" s="42" t="s">
        <v>22</v>
      </c>
      <c r="I42" s="60" t="s">
        <v>28</v>
      </c>
      <c r="J42" s="56"/>
      <c r="K42" s="85" t="s">
        <v>53</v>
      </c>
      <c r="L42" s="14"/>
      <c r="M42" s="103">
        <f>SUM(M43:M44)</f>
        <v>29487500</v>
      </c>
      <c r="N42" s="94">
        <f>Juli!R42</f>
        <v>6050000</v>
      </c>
      <c r="O42" s="99">
        <f t="shared" si="0"/>
        <v>20.517168291649003</v>
      </c>
      <c r="P42" s="104">
        <f>P44+P43</f>
        <v>22180800</v>
      </c>
      <c r="Q42" s="95">
        <f t="shared" si="1"/>
        <v>75.221025858414578</v>
      </c>
      <c r="R42" s="104">
        <f>SUM(R43:R44)</f>
        <v>28230800</v>
      </c>
      <c r="S42" s="95">
        <f t="shared" si="2"/>
        <v>95.738194150063578</v>
      </c>
      <c r="T42" s="95">
        <f>SUM(T43:T44)/2</f>
        <v>94.301536262951061</v>
      </c>
      <c r="U42" s="10"/>
      <c r="V42" s="10"/>
      <c r="W42" s="133"/>
    </row>
    <row r="43" spans="1:23" ht="15" customHeight="1" x14ac:dyDescent="0.25">
      <c r="A43" s="8"/>
      <c r="B43" s="9"/>
      <c r="C43" s="9"/>
      <c r="D43" s="8"/>
      <c r="E43" s="8"/>
      <c r="F43" s="42"/>
      <c r="G43" s="42"/>
      <c r="H43" s="42"/>
      <c r="I43" s="59"/>
      <c r="J43" s="50" t="s">
        <v>18</v>
      </c>
      <c r="K43" s="81" t="s">
        <v>65</v>
      </c>
      <c r="L43" s="14"/>
      <c r="M43" s="97">
        <v>22490000</v>
      </c>
      <c r="N43" s="94">
        <f>Juli!R43</f>
        <v>0</v>
      </c>
      <c r="O43" s="99">
        <f t="shared" si="0"/>
        <v>0</v>
      </c>
      <c r="P43" s="26">
        <v>22030800</v>
      </c>
      <c r="Q43" s="99">
        <f t="shared" si="1"/>
        <v>97.958203646064916</v>
      </c>
      <c r="R43" s="98">
        <f>N43+P43</f>
        <v>22030800</v>
      </c>
      <c r="S43" s="99">
        <f>R43/M43*100</f>
        <v>97.958203646064916</v>
      </c>
      <c r="T43" s="187">
        <f>10/10*100</f>
        <v>100</v>
      </c>
      <c r="U43" s="10"/>
      <c r="V43" s="10"/>
      <c r="W43" s="133"/>
    </row>
    <row r="44" spans="1:23" ht="15" customHeight="1" x14ac:dyDescent="0.25">
      <c r="A44" s="6"/>
      <c r="B44" s="7"/>
      <c r="C44" s="7"/>
      <c r="D44" s="6"/>
      <c r="E44" s="6"/>
      <c r="F44" s="48"/>
      <c r="G44" s="48"/>
      <c r="H44" s="48"/>
      <c r="I44" s="51"/>
      <c r="J44" s="50" t="s">
        <v>17</v>
      </c>
      <c r="K44" s="82" t="s">
        <v>54</v>
      </c>
      <c r="L44" s="162"/>
      <c r="M44" s="97">
        <v>6997500</v>
      </c>
      <c r="N44" s="94">
        <f>Juli!R44</f>
        <v>6050000</v>
      </c>
      <c r="O44" s="99">
        <f t="shared" si="0"/>
        <v>86.459449803501258</v>
      </c>
      <c r="P44" s="26">
        <v>150000</v>
      </c>
      <c r="Q44" s="99">
        <f t="shared" si="1"/>
        <v>2.1436227224008575</v>
      </c>
      <c r="R44" s="98">
        <f>N44+P44</f>
        <v>6200000</v>
      </c>
      <c r="S44" s="99">
        <f>R44/M44*100</f>
        <v>88.603072525902107</v>
      </c>
      <c r="T44" s="100">
        <f>24800/27990*100</f>
        <v>88.603072525902107</v>
      </c>
      <c r="U44" s="10"/>
      <c r="V44" s="10"/>
      <c r="W44" s="133"/>
    </row>
    <row r="45" spans="1:23" ht="9.9499999999999993" customHeight="1" x14ac:dyDescent="0.25">
      <c r="A45" s="10"/>
      <c r="B45" s="10"/>
      <c r="C45" s="10"/>
      <c r="D45" s="10"/>
      <c r="E45" s="10"/>
      <c r="F45" s="48"/>
      <c r="G45" s="48"/>
      <c r="H45" s="48"/>
      <c r="I45" s="53"/>
      <c r="J45" s="56"/>
      <c r="K45" s="86"/>
      <c r="L45" s="165"/>
      <c r="M45" s="115"/>
      <c r="N45" s="94">
        <f>Juli!R45</f>
        <v>0</v>
      </c>
      <c r="O45" s="99"/>
      <c r="P45" s="117"/>
      <c r="Q45" s="99"/>
      <c r="R45" s="117"/>
      <c r="S45" s="99"/>
      <c r="T45" s="101"/>
      <c r="U45" s="10"/>
      <c r="V45" s="10"/>
      <c r="W45" s="133"/>
    </row>
    <row r="46" spans="1:23" ht="18" customHeight="1" x14ac:dyDescent="0.25">
      <c r="A46" s="8">
        <v>1</v>
      </c>
      <c r="B46" s="9" t="s">
        <v>17</v>
      </c>
      <c r="C46" s="9" t="s">
        <v>18</v>
      </c>
      <c r="D46" s="8">
        <v>38</v>
      </c>
      <c r="E46" s="8">
        <v>14</v>
      </c>
      <c r="F46" s="41">
        <v>5</v>
      </c>
      <c r="G46" s="41">
        <v>2</v>
      </c>
      <c r="H46" s="41">
        <v>2</v>
      </c>
      <c r="I46" s="60" t="s">
        <v>37</v>
      </c>
      <c r="J46" s="46"/>
      <c r="K46" s="85" t="s">
        <v>55</v>
      </c>
      <c r="L46" s="13"/>
      <c r="M46" s="105">
        <f>M47</f>
        <v>30300000</v>
      </c>
      <c r="N46" s="94">
        <f>Juli!R46</f>
        <v>8550000</v>
      </c>
      <c r="O46" s="99">
        <f t="shared" si="0"/>
        <v>28.217821782178216</v>
      </c>
      <c r="P46" s="106">
        <f>P47</f>
        <v>0</v>
      </c>
      <c r="Q46" s="95">
        <f t="shared" si="1"/>
        <v>0</v>
      </c>
      <c r="R46" s="106">
        <f>R47</f>
        <v>8550000</v>
      </c>
      <c r="S46" s="95">
        <f t="shared" si="2"/>
        <v>28.217821782178216</v>
      </c>
      <c r="T46" s="95">
        <f>T47</f>
        <v>18.613138686131386</v>
      </c>
      <c r="U46" s="10"/>
      <c r="V46" s="10"/>
      <c r="W46" s="133"/>
    </row>
    <row r="47" spans="1:23" ht="15" customHeight="1" x14ac:dyDescent="0.25">
      <c r="A47" s="127"/>
      <c r="B47" s="127"/>
      <c r="C47" s="127"/>
      <c r="D47" s="127"/>
      <c r="E47" s="127"/>
      <c r="F47" s="42"/>
      <c r="G47" s="42"/>
      <c r="H47" s="42"/>
      <c r="I47" s="42"/>
      <c r="J47" s="55" t="s">
        <v>17</v>
      </c>
      <c r="K47" s="78" t="s">
        <v>56</v>
      </c>
      <c r="L47" s="10"/>
      <c r="M47" s="107">
        <v>30300000</v>
      </c>
      <c r="N47" s="94">
        <f>Juli!R47</f>
        <v>8550000</v>
      </c>
      <c r="O47" s="99">
        <f t="shared" si="0"/>
        <v>28.217821782178216</v>
      </c>
      <c r="P47" s="26"/>
      <c r="Q47" s="99">
        <f t="shared" si="1"/>
        <v>0</v>
      </c>
      <c r="R47" s="108">
        <f>N47+P47</f>
        <v>8550000</v>
      </c>
      <c r="S47" s="99">
        <f>R47/M47*100</f>
        <v>28.217821782178216</v>
      </c>
      <c r="T47" s="100">
        <f>306/1644*100</f>
        <v>18.613138686131386</v>
      </c>
      <c r="U47" s="10"/>
      <c r="V47" s="10"/>
      <c r="W47" s="133"/>
    </row>
    <row r="48" spans="1:23" ht="9.9499999999999993" customHeight="1" x14ac:dyDescent="0.25">
      <c r="A48" s="127"/>
      <c r="B48" s="127"/>
      <c r="C48" s="127"/>
      <c r="D48" s="127"/>
      <c r="E48" s="127"/>
      <c r="F48" s="42"/>
      <c r="G48" s="42"/>
      <c r="H48" s="42"/>
      <c r="I48" s="42"/>
      <c r="J48" s="59"/>
      <c r="K48" s="87"/>
      <c r="L48" s="166"/>
      <c r="M48" s="118"/>
      <c r="N48" s="94">
        <f>Juli!R48</f>
        <v>0</v>
      </c>
      <c r="O48" s="99"/>
      <c r="P48" s="119"/>
      <c r="Q48" s="99"/>
      <c r="R48" s="119"/>
      <c r="S48" s="99"/>
      <c r="T48" s="63"/>
      <c r="U48" s="10"/>
      <c r="V48" s="10"/>
      <c r="W48" s="133"/>
    </row>
    <row r="49" spans="1:23" s="174" customFormat="1" ht="18" customHeight="1" x14ac:dyDescent="0.25">
      <c r="A49" s="8">
        <v>1</v>
      </c>
      <c r="B49" s="9" t="s">
        <v>17</v>
      </c>
      <c r="C49" s="9" t="s">
        <v>18</v>
      </c>
      <c r="D49" s="8">
        <v>38</v>
      </c>
      <c r="E49" s="8">
        <v>14</v>
      </c>
      <c r="F49" s="41">
        <v>5</v>
      </c>
      <c r="G49" s="41">
        <v>2</v>
      </c>
      <c r="H49" s="41">
        <v>2</v>
      </c>
      <c r="I49" s="60" t="s">
        <v>82</v>
      </c>
      <c r="J49" s="46"/>
      <c r="K49" s="79" t="s">
        <v>83</v>
      </c>
      <c r="L49" s="127"/>
      <c r="M49" s="105">
        <f>M50</f>
        <v>3300000</v>
      </c>
      <c r="N49" s="94">
        <f>Juli!R49</f>
        <v>0</v>
      </c>
      <c r="O49" s="95">
        <f t="shared" si="0"/>
        <v>0</v>
      </c>
      <c r="P49" s="106">
        <f>P50</f>
        <v>0</v>
      </c>
      <c r="Q49" s="95">
        <f t="shared" si="1"/>
        <v>0</v>
      </c>
      <c r="R49" s="106">
        <f>R50</f>
        <v>0</v>
      </c>
      <c r="S49" s="95">
        <f t="shared" si="2"/>
        <v>0</v>
      </c>
      <c r="T49" s="186">
        <f>T50</f>
        <v>0</v>
      </c>
      <c r="U49" s="127"/>
      <c r="V49" s="127"/>
      <c r="W49" s="173"/>
    </row>
    <row r="50" spans="1:23" ht="15" customHeight="1" x14ac:dyDescent="0.25">
      <c r="A50" s="63"/>
      <c r="B50" s="63"/>
      <c r="C50" s="63"/>
      <c r="D50" s="63"/>
      <c r="E50" s="63"/>
      <c r="F50" s="48"/>
      <c r="G50" s="48"/>
      <c r="H50" s="48"/>
      <c r="I50" s="48"/>
      <c r="J50" s="55" t="s">
        <v>35</v>
      </c>
      <c r="K50" s="78" t="s">
        <v>84</v>
      </c>
      <c r="L50" s="10"/>
      <c r="M50" s="107">
        <v>3300000</v>
      </c>
      <c r="N50" s="94">
        <f>Juli!R50</f>
        <v>0</v>
      </c>
      <c r="O50" s="99">
        <f t="shared" si="0"/>
        <v>0</v>
      </c>
      <c r="P50" s="108"/>
      <c r="Q50" s="99">
        <f t="shared" si="1"/>
        <v>0</v>
      </c>
      <c r="R50" s="108">
        <f>N50+P50</f>
        <v>0</v>
      </c>
      <c r="S50" s="99">
        <f t="shared" si="2"/>
        <v>0</v>
      </c>
      <c r="T50" s="109">
        <f>0/1*100</f>
        <v>0</v>
      </c>
      <c r="U50" s="10"/>
      <c r="V50" s="10"/>
      <c r="W50" s="133"/>
    </row>
    <row r="51" spans="1:23" ht="9.9499999999999993" customHeight="1" x14ac:dyDescent="0.25">
      <c r="A51" s="152"/>
      <c r="B51" s="152"/>
      <c r="C51" s="152"/>
      <c r="D51" s="152"/>
      <c r="E51" s="152"/>
      <c r="F51" s="42"/>
      <c r="G51" s="42"/>
      <c r="H51" s="42"/>
      <c r="I51" s="42"/>
      <c r="J51" s="59"/>
      <c r="K51" s="87"/>
      <c r="L51" s="166"/>
      <c r="M51" s="118"/>
      <c r="N51" s="94">
        <f>Juli!R51</f>
        <v>0</v>
      </c>
      <c r="O51" s="99"/>
      <c r="P51" s="119"/>
      <c r="Q51" s="99"/>
      <c r="R51" s="119"/>
      <c r="S51" s="99"/>
      <c r="T51" s="109"/>
      <c r="U51" s="10"/>
      <c r="V51" s="10"/>
      <c r="W51" s="133"/>
    </row>
    <row r="52" spans="1:23" ht="18" customHeight="1" x14ac:dyDescent="0.25">
      <c r="A52" s="8">
        <v>1</v>
      </c>
      <c r="B52" s="9" t="s">
        <v>17</v>
      </c>
      <c r="C52" s="9" t="s">
        <v>18</v>
      </c>
      <c r="D52" s="8">
        <v>38</v>
      </c>
      <c r="E52" s="8">
        <v>14</v>
      </c>
      <c r="F52" s="61" t="s">
        <v>21</v>
      </c>
      <c r="G52" s="61" t="s">
        <v>22</v>
      </c>
      <c r="H52" s="61" t="s">
        <v>22</v>
      </c>
      <c r="I52" s="128">
        <v>15</v>
      </c>
      <c r="J52" s="61"/>
      <c r="K52" s="88" t="s">
        <v>43</v>
      </c>
      <c r="L52" s="10"/>
      <c r="M52" s="105">
        <f>M53</f>
        <v>15612000</v>
      </c>
      <c r="N52" s="94">
        <f>Juli!R52</f>
        <v>5626800</v>
      </c>
      <c r="O52" s="99">
        <f t="shared" si="0"/>
        <v>36.041506533435822</v>
      </c>
      <c r="P52" s="106">
        <f>P53</f>
        <v>0</v>
      </c>
      <c r="Q52" s="95">
        <f t="shared" si="1"/>
        <v>0</v>
      </c>
      <c r="R52" s="106">
        <f>R53</f>
        <v>5626800</v>
      </c>
      <c r="S52" s="95">
        <f t="shared" si="2"/>
        <v>36.041506533435822</v>
      </c>
      <c r="T52" s="185">
        <f>T53</f>
        <v>50</v>
      </c>
      <c r="U52" s="10"/>
      <c r="V52" s="10"/>
      <c r="W52" s="133"/>
    </row>
    <row r="53" spans="1:23" ht="15" customHeight="1" x14ac:dyDescent="0.25">
      <c r="A53" s="10"/>
      <c r="B53" s="10"/>
      <c r="C53" s="10"/>
      <c r="D53" s="10"/>
      <c r="E53" s="10"/>
      <c r="F53" s="57"/>
      <c r="G53" s="57"/>
      <c r="H53" s="57"/>
      <c r="I53" s="129"/>
      <c r="J53" s="57" t="s">
        <v>17</v>
      </c>
      <c r="K53" s="89" t="s">
        <v>69</v>
      </c>
      <c r="L53" s="10"/>
      <c r="M53" s="107">
        <v>15612000</v>
      </c>
      <c r="N53" s="94">
        <f>Juli!R53</f>
        <v>5626800</v>
      </c>
      <c r="O53" s="99">
        <f t="shared" si="0"/>
        <v>36.041506533435822</v>
      </c>
      <c r="P53" s="120"/>
      <c r="Q53" s="99">
        <f t="shared" si="1"/>
        <v>0</v>
      </c>
      <c r="R53" s="108">
        <f>N53+P53</f>
        <v>5626800</v>
      </c>
      <c r="S53" s="99">
        <f t="shared" si="2"/>
        <v>36.041506533435822</v>
      </c>
      <c r="T53" s="109">
        <f>1/2*100</f>
        <v>50</v>
      </c>
      <c r="U53" s="10"/>
      <c r="V53" s="10"/>
      <c r="W53" s="133"/>
    </row>
    <row r="54" spans="1:23" ht="9.9499999999999993" customHeight="1" x14ac:dyDescent="0.25">
      <c r="A54" s="10"/>
      <c r="B54" s="10"/>
      <c r="C54" s="10"/>
      <c r="D54" s="10"/>
      <c r="E54" s="10"/>
      <c r="F54" s="48"/>
      <c r="G54" s="48"/>
      <c r="H54" s="48"/>
      <c r="I54" s="53"/>
      <c r="J54" s="53"/>
      <c r="K54" s="78"/>
      <c r="L54" s="10"/>
      <c r="M54" s="107"/>
      <c r="N54" s="94">
        <f>Juli!R54</f>
        <v>0</v>
      </c>
      <c r="O54" s="99"/>
      <c r="P54" s="108"/>
      <c r="Q54" s="99"/>
      <c r="R54" s="108"/>
      <c r="S54" s="99"/>
      <c r="T54" s="109"/>
      <c r="U54" s="10"/>
      <c r="V54" s="10"/>
      <c r="W54" s="133"/>
    </row>
    <row r="55" spans="1:23" ht="27.95" customHeight="1" x14ac:dyDescent="0.25">
      <c r="A55" s="8">
        <v>1</v>
      </c>
      <c r="B55" s="9" t="s">
        <v>17</v>
      </c>
      <c r="C55" s="9" t="s">
        <v>18</v>
      </c>
      <c r="D55" s="8">
        <v>38</v>
      </c>
      <c r="E55" s="8">
        <v>14</v>
      </c>
      <c r="F55" s="61" t="s">
        <v>21</v>
      </c>
      <c r="G55" s="61" t="s">
        <v>22</v>
      </c>
      <c r="H55" s="61" t="s">
        <v>22</v>
      </c>
      <c r="I55" s="128" t="s">
        <v>48</v>
      </c>
      <c r="J55" s="42"/>
      <c r="K55" s="79" t="s">
        <v>57</v>
      </c>
      <c r="L55" s="10"/>
      <c r="M55" s="105">
        <f>M56</f>
        <v>20000000</v>
      </c>
      <c r="N55" s="94">
        <f>Juli!R55</f>
        <v>15000000</v>
      </c>
      <c r="O55" s="99">
        <f t="shared" si="0"/>
        <v>75</v>
      </c>
      <c r="P55" s="106">
        <f>P56</f>
        <v>0</v>
      </c>
      <c r="Q55" s="95">
        <f t="shared" si="1"/>
        <v>0</v>
      </c>
      <c r="R55" s="106">
        <f>R56</f>
        <v>15000000</v>
      </c>
      <c r="S55" s="95">
        <f t="shared" si="2"/>
        <v>75</v>
      </c>
      <c r="T55" s="185">
        <f>T56</f>
        <v>75</v>
      </c>
      <c r="U55" s="10"/>
      <c r="V55" s="10"/>
      <c r="W55" s="133"/>
    </row>
    <row r="56" spans="1:23" ht="15" customHeight="1" x14ac:dyDescent="0.25">
      <c r="A56" s="10"/>
      <c r="B56" s="10"/>
      <c r="C56" s="10"/>
      <c r="D56" s="10"/>
      <c r="E56" s="10"/>
      <c r="F56" s="48"/>
      <c r="G56" s="48"/>
      <c r="H56" s="48"/>
      <c r="I56" s="48"/>
      <c r="J56" s="48" t="s">
        <v>18</v>
      </c>
      <c r="K56" s="78" t="s">
        <v>58</v>
      </c>
      <c r="L56" s="10"/>
      <c r="M56" s="107">
        <v>20000000</v>
      </c>
      <c r="N56" s="94">
        <f>Juli!R56</f>
        <v>15000000</v>
      </c>
      <c r="O56" s="99">
        <f t="shared" si="0"/>
        <v>75</v>
      </c>
      <c r="P56" s="26"/>
      <c r="Q56" s="99">
        <f t="shared" si="1"/>
        <v>0</v>
      </c>
      <c r="R56" s="108">
        <f>N56+P56</f>
        <v>15000000</v>
      </c>
      <c r="S56" s="99">
        <f t="shared" si="2"/>
        <v>75</v>
      </c>
      <c r="T56" s="109">
        <f>3/4*100</f>
        <v>75</v>
      </c>
      <c r="U56" s="10"/>
      <c r="V56" s="10"/>
      <c r="W56" s="133"/>
    </row>
    <row r="57" spans="1:23" ht="9.9499999999999993" customHeight="1" x14ac:dyDescent="0.25">
      <c r="A57" s="10"/>
      <c r="B57" s="10"/>
      <c r="C57" s="10"/>
      <c r="D57" s="10"/>
      <c r="E57" s="10"/>
      <c r="F57" s="48"/>
      <c r="G57" s="48"/>
      <c r="H57" s="48"/>
      <c r="I57" s="53"/>
      <c r="J57" s="53"/>
      <c r="K57" s="90"/>
      <c r="L57" s="10"/>
      <c r="M57" s="97"/>
      <c r="N57" s="94">
        <f>Juli!R57</f>
        <v>0</v>
      </c>
      <c r="O57" s="99"/>
      <c r="P57" s="98"/>
      <c r="Q57" s="99"/>
      <c r="R57" s="98"/>
      <c r="S57" s="99"/>
      <c r="T57" s="109"/>
      <c r="U57" s="10"/>
      <c r="V57" s="10"/>
      <c r="W57" s="133"/>
    </row>
    <row r="58" spans="1:23" ht="18" customHeight="1" x14ac:dyDescent="0.25">
      <c r="A58" s="8">
        <v>1</v>
      </c>
      <c r="B58" s="9" t="s">
        <v>17</v>
      </c>
      <c r="C58" s="9" t="s">
        <v>18</v>
      </c>
      <c r="D58" s="8">
        <v>38</v>
      </c>
      <c r="E58" s="8">
        <v>14</v>
      </c>
      <c r="F58" s="61" t="s">
        <v>21</v>
      </c>
      <c r="G58" s="61" t="s">
        <v>22</v>
      </c>
      <c r="H58" s="61" t="s">
        <v>22</v>
      </c>
      <c r="I58" s="128" t="s">
        <v>51</v>
      </c>
      <c r="J58" s="130"/>
      <c r="K58" s="88" t="s">
        <v>59</v>
      </c>
      <c r="L58" s="10"/>
      <c r="M58" s="103">
        <f>SUM(M59:M62)</f>
        <v>24000000</v>
      </c>
      <c r="N58" s="94">
        <f>Juli!R58</f>
        <v>9785000</v>
      </c>
      <c r="O58" s="99">
        <f t="shared" si="0"/>
        <v>40.770833333333336</v>
      </c>
      <c r="P58" s="104">
        <f>SUM(P59:P62)</f>
        <v>4042000</v>
      </c>
      <c r="Q58" s="95">
        <f t="shared" si="1"/>
        <v>16.841666666666665</v>
      </c>
      <c r="R58" s="104">
        <f>SUM(R59:R62)</f>
        <v>13827000</v>
      </c>
      <c r="S58" s="95">
        <f t="shared" si="2"/>
        <v>57.612499999999997</v>
      </c>
      <c r="T58" s="185">
        <f>SUM(T59:T62)/4</f>
        <v>50</v>
      </c>
      <c r="U58" s="10"/>
      <c r="V58" s="10"/>
      <c r="W58" s="133"/>
    </row>
    <row r="59" spans="1:23" ht="15" customHeight="1" x14ac:dyDescent="0.25">
      <c r="A59" s="10"/>
      <c r="B59" s="10"/>
      <c r="C59" s="10"/>
      <c r="D59" s="10"/>
      <c r="E59" s="10"/>
      <c r="F59" s="57"/>
      <c r="G59" s="57"/>
      <c r="H59" s="57"/>
      <c r="I59" s="129"/>
      <c r="J59" s="62" t="s">
        <v>34</v>
      </c>
      <c r="K59" s="89" t="s">
        <v>60</v>
      </c>
      <c r="L59" s="10"/>
      <c r="M59" s="97">
        <v>1000000</v>
      </c>
      <c r="N59" s="94">
        <f>Juli!R59</f>
        <v>0</v>
      </c>
      <c r="O59" s="99">
        <f t="shared" si="0"/>
        <v>0</v>
      </c>
      <c r="P59" s="98"/>
      <c r="Q59" s="99">
        <f t="shared" si="1"/>
        <v>0</v>
      </c>
      <c r="R59" s="98">
        <f>N59+P59</f>
        <v>0</v>
      </c>
      <c r="S59" s="99">
        <f t="shared" si="2"/>
        <v>0</v>
      </c>
      <c r="T59" s="109">
        <f>0/1*100</f>
        <v>0</v>
      </c>
      <c r="U59" s="10"/>
      <c r="V59" s="10"/>
      <c r="W59" s="133"/>
    </row>
    <row r="60" spans="1:23" ht="15" customHeight="1" x14ac:dyDescent="0.25">
      <c r="A60" s="10"/>
      <c r="B60" s="10"/>
      <c r="C60" s="10"/>
      <c r="D60" s="10"/>
      <c r="E60" s="10"/>
      <c r="F60" s="54"/>
      <c r="G60" s="54"/>
      <c r="H60" s="54"/>
      <c r="I60" s="48"/>
      <c r="J60" s="55" t="s">
        <v>35</v>
      </c>
      <c r="K60" s="73" t="s">
        <v>61</v>
      </c>
      <c r="L60" s="10"/>
      <c r="M60" s="97">
        <v>13000000</v>
      </c>
      <c r="N60" s="94">
        <f>Juli!R60</f>
        <v>9785000</v>
      </c>
      <c r="O60" s="99">
        <f t="shared" si="0"/>
        <v>75.269230769230759</v>
      </c>
      <c r="P60" s="98"/>
      <c r="Q60" s="99">
        <f t="shared" si="1"/>
        <v>0</v>
      </c>
      <c r="R60" s="98">
        <f t="shared" ref="R60:R62" si="5">N60+P60</f>
        <v>9785000</v>
      </c>
      <c r="S60" s="99">
        <f t="shared" si="2"/>
        <v>75.269230769230759</v>
      </c>
      <c r="T60" s="109">
        <f>1/1*100</f>
        <v>100</v>
      </c>
      <c r="U60" s="10"/>
      <c r="V60" s="10"/>
      <c r="W60" s="133"/>
    </row>
    <row r="61" spans="1:23" ht="15" customHeight="1" x14ac:dyDescent="0.25">
      <c r="A61" s="10"/>
      <c r="B61" s="10"/>
      <c r="C61" s="10"/>
      <c r="D61" s="10"/>
      <c r="E61" s="10"/>
      <c r="F61" s="57"/>
      <c r="G61" s="57"/>
      <c r="H61" s="57"/>
      <c r="I61" s="129"/>
      <c r="J61" s="62" t="s">
        <v>50</v>
      </c>
      <c r="K61" s="89" t="s">
        <v>62</v>
      </c>
      <c r="L61" s="10"/>
      <c r="M61" s="97">
        <v>5000000</v>
      </c>
      <c r="N61" s="94">
        <f>Juli!R61</f>
        <v>0</v>
      </c>
      <c r="O61" s="99">
        <f t="shared" si="0"/>
        <v>0</v>
      </c>
      <c r="P61" s="98"/>
      <c r="Q61" s="99">
        <f t="shared" si="1"/>
        <v>0</v>
      </c>
      <c r="R61" s="98">
        <f t="shared" si="5"/>
        <v>0</v>
      </c>
      <c r="S61" s="99">
        <f t="shared" si="2"/>
        <v>0</v>
      </c>
      <c r="T61" s="109">
        <f>0/2*100</f>
        <v>0</v>
      </c>
      <c r="U61" s="10"/>
      <c r="V61" s="10"/>
      <c r="W61" s="133"/>
    </row>
    <row r="62" spans="1:23" ht="15" customHeight="1" x14ac:dyDescent="0.25">
      <c r="A62" s="10"/>
      <c r="B62" s="10"/>
      <c r="C62" s="10"/>
      <c r="D62" s="10"/>
      <c r="E62" s="10"/>
      <c r="F62" s="57"/>
      <c r="G62" s="57"/>
      <c r="H62" s="57"/>
      <c r="I62" s="129"/>
      <c r="J62" s="62" t="s">
        <v>36</v>
      </c>
      <c r="K62" s="89" t="s">
        <v>80</v>
      </c>
      <c r="L62" s="10"/>
      <c r="M62" s="97">
        <v>5000000</v>
      </c>
      <c r="N62" s="94">
        <f>Juli!R62</f>
        <v>0</v>
      </c>
      <c r="O62" s="99">
        <v>0</v>
      </c>
      <c r="P62" s="98">
        <v>4042000</v>
      </c>
      <c r="Q62" s="99">
        <v>0</v>
      </c>
      <c r="R62" s="98">
        <f t="shared" si="5"/>
        <v>4042000</v>
      </c>
      <c r="S62" s="99">
        <f t="shared" si="2"/>
        <v>80.84</v>
      </c>
      <c r="T62" s="109">
        <f>1/1*100</f>
        <v>100</v>
      </c>
      <c r="U62" s="10"/>
      <c r="V62" s="10"/>
      <c r="W62" s="133"/>
    </row>
    <row r="63" spans="1:23" ht="9.9499999999999993" customHeight="1" x14ac:dyDescent="0.25">
      <c r="A63" s="10"/>
      <c r="B63" s="10"/>
      <c r="C63" s="10"/>
      <c r="D63" s="10"/>
      <c r="E63" s="10"/>
      <c r="F63" s="48"/>
      <c r="G63" s="48"/>
      <c r="H63" s="48"/>
      <c r="I63" s="53"/>
      <c r="J63" s="53"/>
      <c r="K63" s="78"/>
      <c r="L63" s="10"/>
      <c r="M63" s="97"/>
      <c r="N63" s="94">
        <f>Juli!R63</f>
        <v>0</v>
      </c>
      <c r="O63" s="99"/>
      <c r="P63" s="98"/>
      <c r="Q63" s="99"/>
      <c r="R63" s="98"/>
      <c r="S63" s="99"/>
      <c r="T63" s="63"/>
      <c r="U63" s="10"/>
      <c r="V63" s="10"/>
      <c r="W63" s="133"/>
    </row>
    <row r="64" spans="1:23" ht="18" customHeight="1" x14ac:dyDescent="0.25">
      <c r="A64" s="127">
        <v>1</v>
      </c>
      <c r="B64" s="127" t="s">
        <v>17</v>
      </c>
      <c r="C64" s="127" t="s">
        <v>18</v>
      </c>
      <c r="D64" s="127">
        <v>38</v>
      </c>
      <c r="E64" s="127">
        <v>14</v>
      </c>
      <c r="F64" s="42" t="s">
        <v>21</v>
      </c>
      <c r="G64" s="42" t="s">
        <v>22</v>
      </c>
      <c r="H64" s="42" t="s">
        <v>22</v>
      </c>
      <c r="I64" s="42" t="s">
        <v>78</v>
      </c>
      <c r="J64" s="42"/>
      <c r="K64" s="79" t="s">
        <v>76</v>
      </c>
      <c r="L64" s="127"/>
      <c r="M64" s="103">
        <f>SUM(M65:M66)</f>
        <v>10000000</v>
      </c>
      <c r="N64" s="94">
        <f>Juli!R64</f>
        <v>2000000</v>
      </c>
      <c r="O64" s="95">
        <f t="shared" ref="O64:O66" si="6">N64/M64*100</f>
        <v>20</v>
      </c>
      <c r="P64" s="104">
        <f>SUM(P65:P66)</f>
        <v>0</v>
      </c>
      <c r="Q64" s="95">
        <f t="shared" ref="Q64:Q66" si="7">P64/M64*100</f>
        <v>0</v>
      </c>
      <c r="R64" s="104">
        <f>SUM(R65:R66)</f>
        <v>2000000</v>
      </c>
      <c r="S64" s="95">
        <f t="shared" ref="S64:S66" si="8">R64/M64*100</f>
        <v>20</v>
      </c>
      <c r="T64" s="185">
        <f>SUM(T65:T66)/2</f>
        <v>50</v>
      </c>
      <c r="U64" s="10"/>
      <c r="V64" s="10"/>
      <c r="W64" s="133"/>
    </row>
    <row r="65" spans="1:23" ht="15" customHeight="1" x14ac:dyDescent="0.25">
      <c r="A65" s="6"/>
      <c r="B65" s="7"/>
      <c r="C65" s="7"/>
      <c r="D65" s="6"/>
      <c r="E65" s="6"/>
      <c r="F65" s="57"/>
      <c r="G65" s="57"/>
      <c r="H65" s="57"/>
      <c r="I65" s="70"/>
      <c r="J65" s="62" t="s">
        <v>34</v>
      </c>
      <c r="K65" s="89" t="s">
        <v>107</v>
      </c>
      <c r="L65" s="10"/>
      <c r="M65" s="97">
        <v>7000000</v>
      </c>
      <c r="N65" s="94">
        <f>Juli!R65</f>
        <v>0</v>
      </c>
      <c r="O65" s="99">
        <f t="shared" si="6"/>
        <v>0</v>
      </c>
      <c r="P65" s="98"/>
      <c r="Q65" s="99">
        <f t="shared" si="7"/>
        <v>0</v>
      </c>
      <c r="R65" s="98">
        <f>N65+P65</f>
        <v>0</v>
      </c>
      <c r="S65" s="99">
        <f t="shared" si="8"/>
        <v>0</v>
      </c>
      <c r="T65" s="109">
        <f>0/1*100</f>
        <v>0</v>
      </c>
      <c r="U65" s="10"/>
      <c r="V65" s="10"/>
      <c r="W65" s="133"/>
    </row>
    <row r="66" spans="1:23" ht="15" customHeight="1" x14ac:dyDescent="0.25">
      <c r="A66" s="10"/>
      <c r="B66" s="10"/>
      <c r="C66" s="10"/>
      <c r="D66" s="10"/>
      <c r="E66" s="10"/>
      <c r="F66" s="48"/>
      <c r="G66" s="48"/>
      <c r="H66" s="48"/>
      <c r="I66" s="48"/>
      <c r="J66" s="48" t="s">
        <v>30</v>
      </c>
      <c r="K66" s="78" t="s">
        <v>77</v>
      </c>
      <c r="L66" s="10"/>
      <c r="M66" s="97">
        <v>3000000</v>
      </c>
      <c r="N66" s="94">
        <f>Juli!R66</f>
        <v>2000000</v>
      </c>
      <c r="O66" s="99">
        <f t="shared" si="6"/>
        <v>66.666666666666657</v>
      </c>
      <c r="P66" s="98"/>
      <c r="Q66" s="99">
        <f t="shared" si="7"/>
        <v>0</v>
      </c>
      <c r="R66" s="98">
        <f>N66+P66</f>
        <v>2000000</v>
      </c>
      <c r="S66" s="99">
        <f t="shared" si="8"/>
        <v>66.666666666666657</v>
      </c>
      <c r="T66" s="109">
        <f>1/1*100</f>
        <v>100</v>
      </c>
      <c r="U66" s="10"/>
      <c r="V66" s="10"/>
      <c r="W66" s="133"/>
    </row>
    <row r="67" spans="1:23" ht="9.9499999999999993" customHeight="1" x14ac:dyDescent="0.25">
      <c r="A67" s="10"/>
      <c r="B67" s="10"/>
      <c r="C67" s="10"/>
      <c r="D67" s="10"/>
      <c r="E67" s="10"/>
      <c r="F67" s="48"/>
      <c r="G67" s="48"/>
      <c r="H67" s="48"/>
      <c r="I67" s="53"/>
      <c r="J67" s="53"/>
      <c r="K67" s="78"/>
      <c r="L67" s="10"/>
      <c r="M67" s="97"/>
      <c r="N67" s="94">
        <f>Juli!R67</f>
        <v>0</v>
      </c>
      <c r="O67" s="99"/>
      <c r="P67" s="98"/>
      <c r="Q67" s="99"/>
      <c r="R67" s="98"/>
      <c r="S67" s="99"/>
      <c r="T67" s="63"/>
      <c r="U67" s="10"/>
      <c r="V67" s="10"/>
      <c r="W67" s="133"/>
    </row>
    <row r="68" spans="1:23" ht="27.95" customHeight="1" x14ac:dyDescent="0.25">
      <c r="A68" s="8">
        <v>1</v>
      </c>
      <c r="B68" s="9" t="s">
        <v>17</v>
      </c>
      <c r="C68" s="9" t="s">
        <v>18</v>
      </c>
      <c r="D68" s="8">
        <v>38</v>
      </c>
      <c r="E68" s="8">
        <v>14</v>
      </c>
      <c r="F68" s="61" t="s">
        <v>21</v>
      </c>
      <c r="G68" s="61" t="s">
        <v>22</v>
      </c>
      <c r="H68" s="61" t="s">
        <v>22</v>
      </c>
      <c r="I68" s="131" t="s">
        <v>49</v>
      </c>
      <c r="J68" s="61"/>
      <c r="K68" s="88" t="s">
        <v>63</v>
      </c>
      <c r="L68" s="10"/>
      <c r="M68" s="105">
        <f>SUM(M69:M70)</f>
        <v>19450000</v>
      </c>
      <c r="N68" s="94">
        <f>Juli!R68</f>
        <v>9050000</v>
      </c>
      <c r="O68" s="99">
        <f t="shared" si="0"/>
        <v>46.529562982005139</v>
      </c>
      <c r="P68" s="106">
        <f>SUM(P69:P70)</f>
        <v>0</v>
      </c>
      <c r="Q68" s="95">
        <f t="shared" si="1"/>
        <v>0</v>
      </c>
      <c r="R68" s="106">
        <f>SUM(R69:R70)</f>
        <v>9050000</v>
      </c>
      <c r="S68" s="95">
        <f t="shared" si="2"/>
        <v>46.529562982005139</v>
      </c>
      <c r="T68" s="96">
        <f>SUM(T69:T70)/2</f>
        <v>54.166666666666671</v>
      </c>
      <c r="U68" s="10"/>
      <c r="V68" s="10"/>
      <c r="W68" s="133"/>
    </row>
    <row r="69" spans="1:23" ht="15" customHeight="1" x14ac:dyDescent="0.25">
      <c r="A69" s="10"/>
      <c r="B69" s="10"/>
      <c r="C69" s="10"/>
      <c r="D69" s="10"/>
      <c r="E69" s="10"/>
      <c r="F69" s="57"/>
      <c r="G69" s="57"/>
      <c r="H69" s="57"/>
      <c r="I69" s="129"/>
      <c r="J69" s="62" t="s">
        <v>17</v>
      </c>
      <c r="K69" s="89" t="s">
        <v>66</v>
      </c>
      <c r="L69" s="10"/>
      <c r="M69" s="107">
        <v>7200000</v>
      </c>
      <c r="N69" s="94">
        <f>Juli!R69</f>
        <v>1800000</v>
      </c>
      <c r="O69" s="99">
        <f t="shared" si="0"/>
        <v>25</v>
      </c>
      <c r="P69" s="26"/>
      <c r="Q69" s="99">
        <f t="shared" si="1"/>
        <v>0</v>
      </c>
      <c r="R69" s="108">
        <f>N69+P69</f>
        <v>1800000</v>
      </c>
      <c r="S69" s="99">
        <f t="shared" si="2"/>
        <v>25</v>
      </c>
      <c r="T69" s="100">
        <f>6/24*100</f>
        <v>25</v>
      </c>
      <c r="U69" s="10"/>
      <c r="V69" s="10"/>
      <c r="W69" s="133"/>
    </row>
    <row r="70" spans="1:23" ht="15" customHeight="1" x14ac:dyDescent="0.25">
      <c r="A70" s="63"/>
      <c r="B70" s="63"/>
      <c r="C70" s="63"/>
      <c r="D70" s="63"/>
      <c r="E70" s="63"/>
      <c r="F70" s="57"/>
      <c r="G70" s="57"/>
      <c r="H70" s="57"/>
      <c r="I70" s="70"/>
      <c r="J70" s="62" t="s">
        <v>34</v>
      </c>
      <c r="K70" s="89" t="s">
        <v>81</v>
      </c>
      <c r="L70" s="10"/>
      <c r="M70" s="107">
        <v>12250000</v>
      </c>
      <c r="N70" s="94">
        <f>Juli!R70</f>
        <v>7250000</v>
      </c>
      <c r="O70" s="99">
        <f t="shared" si="0"/>
        <v>59.183673469387756</v>
      </c>
      <c r="P70" s="26"/>
      <c r="Q70" s="99">
        <f t="shared" si="1"/>
        <v>0</v>
      </c>
      <c r="R70" s="108">
        <f>N70+P70</f>
        <v>7250000</v>
      </c>
      <c r="S70" s="99">
        <f t="shared" si="2"/>
        <v>59.183673469387756</v>
      </c>
      <c r="T70" s="100">
        <f>10/12*100</f>
        <v>83.333333333333343</v>
      </c>
      <c r="U70" s="10"/>
      <c r="V70" s="10"/>
      <c r="W70" s="133"/>
    </row>
    <row r="71" spans="1:23" ht="9.9499999999999993" customHeight="1" x14ac:dyDescent="0.25">
      <c r="A71" s="10"/>
      <c r="B71" s="10"/>
      <c r="C71" s="10"/>
      <c r="D71" s="10"/>
      <c r="E71" s="10"/>
      <c r="F71" s="48"/>
      <c r="G71" s="48"/>
      <c r="H71" s="48"/>
      <c r="I71" s="53"/>
      <c r="J71" s="53"/>
      <c r="K71" s="78"/>
      <c r="L71" s="10"/>
      <c r="M71" s="97"/>
      <c r="N71" s="94">
        <f>Juli!R71</f>
        <v>0</v>
      </c>
      <c r="O71" s="99"/>
      <c r="P71" s="98"/>
      <c r="Q71" s="99"/>
      <c r="R71" s="98"/>
      <c r="S71" s="99"/>
      <c r="T71" s="63"/>
      <c r="U71" s="10"/>
      <c r="V71" s="10"/>
      <c r="W71" s="133"/>
    </row>
    <row r="72" spans="1:23" ht="27.95" customHeight="1" x14ac:dyDescent="0.25">
      <c r="A72" s="8">
        <v>1</v>
      </c>
      <c r="B72" s="9" t="s">
        <v>17</v>
      </c>
      <c r="C72" s="9" t="s">
        <v>18</v>
      </c>
      <c r="D72" s="8">
        <v>38</v>
      </c>
      <c r="E72" s="8">
        <v>14</v>
      </c>
      <c r="F72" s="42" t="s">
        <v>21</v>
      </c>
      <c r="G72" s="42" t="s">
        <v>22</v>
      </c>
      <c r="H72" s="42" t="s">
        <v>22</v>
      </c>
      <c r="I72" s="42" t="s">
        <v>108</v>
      </c>
      <c r="J72" s="44"/>
      <c r="K72" s="79" t="s">
        <v>109</v>
      </c>
      <c r="L72" s="10"/>
      <c r="M72" s="103">
        <f>M73</f>
        <v>500000</v>
      </c>
      <c r="N72" s="94">
        <f>Juli!R72</f>
        <v>0</v>
      </c>
      <c r="O72" s="99">
        <f t="shared" si="0"/>
        <v>0</v>
      </c>
      <c r="P72" s="104">
        <f>P73</f>
        <v>0</v>
      </c>
      <c r="Q72" s="95">
        <f t="shared" si="1"/>
        <v>0</v>
      </c>
      <c r="R72" s="104">
        <f>R73</f>
        <v>0</v>
      </c>
      <c r="S72" s="95">
        <f t="shared" si="2"/>
        <v>0</v>
      </c>
      <c r="T72" s="185">
        <v>0</v>
      </c>
      <c r="U72" s="10"/>
      <c r="V72" s="10"/>
      <c r="W72" s="133"/>
    </row>
    <row r="73" spans="1:23" ht="15" customHeight="1" x14ac:dyDescent="0.25">
      <c r="A73" s="10"/>
      <c r="B73" s="10"/>
      <c r="C73" s="10"/>
      <c r="D73" s="10"/>
      <c r="E73" s="10"/>
      <c r="F73" s="48"/>
      <c r="G73" s="48"/>
      <c r="H73" s="48"/>
      <c r="I73" s="53"/>
      <c r="J73" s="55" t="s">
        <v>17</v>
      </c>
      <c r="K73" s="82" t="s">
        <v>110</v>
      </c>
      <c r="L73" s="10"/>
      <c r="M73" s="97">
        <v>500000</v>
      </c>
      <c r="N73" s="94">
        <f>Juli!R73</f>
        <v>0</v>
      </c>
      <c r="O73" s="99">
        <f t="shared" si="0"/>
        <v>0</v>
      </c>
      <c r="P73" s="26"/>
      <c r="Q73" s="99">
        <f t="shared" si="1"/>
        <v>0</v>
      </c>
      <c r="R73" s="98">
        <f>N73+P73</f>
        <v>0</v>
      </c>
      <c r="S73" s="99">
        <f t="shared" si="2"/>
        <v>0</v>
      </c>
      <c r="T73" s="109">
        <f>0/1*100</f>
        <v>0</v>
      </c>
      <c r="U73" s="10"/>
      <c r="V73" s="160"/>
      <c r="W73" s="133"/>
    </row>
    <row r="74" spans="1:23" ht="9.9499999999999993" customHeight="1" x14ac:dyDescent="0.25">
      <c r="A74" s="10"/>
      <c r="B74" s="10"/>
      <c r="C74" s="10"/>
      <c r="D74" s="10"/>
      <c r="E74" s="10"/>
      <c r="F74" s="48"/>
      <c r="G74" s="48"/>
      <c r="H74" s="48"/>
      <c r="I74" s="53"/>
      <c r="J74" s="59"/>
      <c r="K74" s="91"/>
      <c r="L74" s="166"/>
      <c r="M74" s="115"/>
      <c r="N74" s="94">
        <f>Juli!R74</f>
        <v>0</v>
      </c>
      <c r="O74" s="99"/>
      <c r="P74" s="117"/>
      <c r="Q74" s="99"/>
      <c r="R74" s="117"/>
      <c r="S74" s="99"/>
      <c r="T74" s="63"/>
      <c r="U74" s="10"/>
      <c r="V74" s="10"/>
      <c r="W74" s="133"/>
    </row>
    <row r="75" spans="1:23" ht="18" customHeight="1" x14ac:dyDescent="0.25">
      <c r="A75" s="8">
        <v>1</v>
      </c>
      <c r="B75" s="9" t="s">
        <v>17</v>
      </c>
      <c r="C75" s="9" t="s">
        <v>18</v>
      </c>
      <c r="D75" s="8">
        <v>38</v>
      </c>
      <c r="E75" s="8">
        <v>14</v>
      </c>
      <c r="F75" s="42" t="s">
        <v>21</v>
      </c>
      <c r="G75" s="42" t="s">
        <v>22</v>
      </c>
      <c r="H75" s="42" t="s">
        <v>24</v>
      </c>
      <c r="I75" s="42"/>
      <c r="J75" s="44"/>
      <c r="K75" s="79" t="s">
        <v>25</v>
      </c>
      <c r="L75" s="10"/>
      <c r="M75" s="105">
        <f>M79+M76+M83+M86+M89</f>
        <v>68700000</v>
      </c>
      <c r="N75" s="94">
        <f>Juli!R75</f>
        <v>19920000</v>
      </c>
      <c r="O75" s="99">
        <f t="shared" si="0"/>
        <v>28.995633187772924</v>
      </c>
      <c r="P75" s="106">
        <f>P79+P76+P83+P86+P89</f>
        <v>7500000</v>
      </c>
      <c r="Q75" s="95">
        <f t="shared" si="1"/>
        <v>10.91703056768559</v>
      </c>
      <c r="R75" s="106">
        <f>R79+R76+R83+R86+R89</f>
        <v>27420000</v>
      </c>
      <c r="S75" s="95">
        <f t="shared" si="2"/>
        <v>39.912663755458517</v>
      </c>
      <c r="T75" s="185">
        <f>(T79+T76+T83+T86+T89)/5</f>
        <v>60</v>
      </c>
      <c r="U75" s="10"/>
      <c r="V75" s="10"/>
      <c r="W75" s="133"/>
    </row>
    <row r="76" spans="1:23" ht="18" customHeight="1" x14ac:dyDescent="0.25">
      <c r="A76" s="8">
        <v>1</v>
      </c>
      <c r="B76" s="9" t="s">
        <v>17</v>
      </c>
      <c r="C76" s="9" t="s">
        <v>18</v>
      </c>
      <c r="D76" s="8">
        <v>38</v>
      </c>
      <c r="E76" s="8">
        <v>14</v>
      </c>
      <c r="F76" s="42" t="s">
        <v>21</v>
      </c>
      <c r="G76" s="42" t="s">
        <v>22</v>
      </c>
      <c r="H76" s="42" t="s">
        <v>24</v>
      </c>
      <c r="I76" s="42" t="s">
        <v>44</v>
      </c>
      <c r="J76" s="44"/>
      <c r="K76" s="80" t="s">
        <v>111</v>
      </c>
      <c r="L76" s="10"/>
      <c r="M76" s="103">
        <f>M77</f>
        <v>7500000</v>
      </c>
      <c r="N76" s="94">
        <f>Juli!R76</f>
        <v>0</v>
      </c>
      <c r="O76" s="99">
        <f t="shared" si="0"/>
        <v>0</v>
      </c>
      <c r="P76" s="104">
        <f>P77</f>
        <v>7500000</v>
      </c>
      <c r="Q76" s="95">
        <f t="shared" si="1"/>
        <v>100</v>
      </c>
      <c r="R76" s="104">
        <f>R77</f>
        <v>7500000</v>
      </c>
      <c r="S76" s="95">
        <f t="shared" si="2"/>
        <v>100</v>
      </c>
      <c r="T76" s="185">
        <f>T77</f>
        <v>100</v>
      </c>
      <c r="U76" s="10"/>
      <c r="V76" s="10"/>
      <c r="W76" s="133"/>
    </row>
    <row r="77" spans="1:23" ht="15" customHeight="1" x14ac:dyDescent="0.25">
      <c r="A77" s="8"/>
      <c r="B77" s="9"/>
      <c r="C77" s="9"/>
      <c r="D77" s="8"/>
      <c r="E77" s="8"/>
      <c r="F77" s="42"/>
      <c r="G77" s="42"/>
      <c r="H77" s="42"/>
      <c r="I77" s="48"/>
      <c r="J77" s="55" t="s">
        <v>35</v>
      </c>
      <c r="K77" s="73" t="s">
        <v>112</v>
      </c>
      <c r="L77" s="10"/>
      <c r="M77" s="97">
        <v>7500000</v>
      </c>
      <c r="N77" s="94">
        <f>Juli!R77</f>
        <v>0</v>
      </c>
      <c r="O77" s="99">
        <f t="shared" ref="O77:O90" si="9">N77/M77*100</f>
        <v>0</v>
      </c>
      <c r="P77" s="98">
        <v>7500000</v>
      </c>
      <c r="Q77" s="99">
        <f t="shared" ref="Q77:Q90" si="10">P77/M77*100</f>
        <v>100</v>
      </c>
      <c r="R77" s="98">
        <f>N77+P77</f>
        <v>7500000</v>
      </c>
      <c r="S77" s="99">
        <f t="shared" ref="S77:S90" si="11">R77/M77*100</f>
        <v>100</v>
      </c>
      <c r="T77" s="109">
        <f>1/1*100</f>
        <v>100</v>
      </c>
      <c r="U77" s="10"/>
      <c r="V77" s="10"/>
      <c r="W77" s="133"/>
    </row>
    <row r="78" spans="1:23" ht="9.9499999999999993" customHeight="1" x14ac:dyDescent="0.25">
      <c r="A78" s="8"/>
      <c r="B78" s="9"/>
      <c r="C78" s="9"/>
      <c r="D78" s="8"/>
      <c r="E78" s="8"/>
      <c r="F78" s="42"/>
      <c r="G78" s="42"/>
      <c r="H78" s="42"/>
      <c r="I78" s="55"/>
      <c r="J78" s="55"/>
      <c r="K78" s="78"/>
      <c r="L78" s="10"/>
      <c r="M78" s="97"/>
      <c r="N78" s="94">
        <f>Juli!R78</f>
        <v>0</v>
      </c>
      <c r="O78" s="99"/>
      <c r="P78" s="26"/>
      <c r="Q78" s="95"/>
      <c r="R78" s="98"/>
      <c r="S78" s="95"/>
      <c r="T78" s="100"/>
      <c r="U78" s="10"/>
      <c r="V78" s="10"/>
      <c r="W78" s="133"/>
    </row>
    <row r="79" spans="1:23" s="174" customFormat="1" ht="18" customHeight="1" x14ac:dyDescent="0.25">
      <c r="A79" s="8">
        <v>1</v>
      </c>
      <c r="B79" s="9" t="s">
        <v>17</v>
      </c>
      <c r="C79" s="9" t="s">
        <v>18</v>
      </c>
      <c r="D79" s="8">
        <v>38</v>
      </c>
      <c r="E79" s="8">
        <v>14</v>
      </c>
      <c r="F79" s="42" t="s">
        <v>21</v>
      </c>
      <c r="G79" s="42" t="s">
        <v>22</v>
      </c>
      <c r="H79" s="42" t="s">
        <v>24</v>
      </c>
      <c r="I79" s="60" t="s">
        <v>113</v>
      </c>
      <c r="J79" s="60"/>
      <c r="K79" s="79" t="s">
        <v>45</v>
      </c>
      <c r="L79" s="127"/>
      <c r="M79" s="103">
        <f>SUM(M80:M81)</f>
        <v>12200000</v>
      </c>
      <c r="N79" s="94">
        <f>Juli!R79</f>
        <v>0</v>
      </c>
      <c r="O79" s="95">
        <f t="shared" si="9"/>
        <v>0</v>
      </c>
      <c r="P79" s="147">
        <f>SUM(P80:P81)</f>
        <v>0</v>
      </c>
      <c r="Q79" s="95">
        <f t="shared" si="10"/>
        <v>0</v>
      </c>
      <c r="R79" s="104">
        <f>SUM(R80:R81)</f>
        <v>0</v>
      </c>
      <c r="S79" s="95">
        <f t="shared" si="11"/>
        <v>0</v>
      </c>
      <c r="T79" s="185">
        <f>SUM(T80:T81)/2</f>
        <v>0</v>
      </c>
      <c r="U79" s="127"/>
      <c r="V79" s="127"/>
      <c r="W79" s="173"/>
    </row>
    <row r="80" spans="1:23" ht="15" customHeight="1" x14ac:dyDescent="0.25">
      <c r="A80" s="6"/>
      <c r="B80" s="7"/>
      <c r="C80" s="7"/>
      <c r="D80" s="6"/>
      <c r="E80" s="6"/>
      <c r="F80" s="48"/>
      <c r="G80" s="48"/>
      <c r="H80" s="48"/>
      <c r="I80" s="55"/>
      <c r="J80" s="55" t="s">
        <v>18</v>
      </c>
      <c r="K80" s="78" t="s">
        <v>114</v>
      </c>
      <c r="L80" s="10"/>
      <c r="M80" s="97">
        <v>11200000</v>
      </c>
      <c r="N80" s="94">
        <f>Juli!R80</f>
        <v>0</v>
      </c>
      <c r="O80" s="99">
        <f t="shared" si="9"/>
        <v>0</v>
      </c>
      <c r="P80" s="26"/>
      <c r="Q80" s="99">
        <f t="shared" si="10"/>
        <v>0</v>
      </c>
      <c r="R80" s="98">
        <f>N80+P80</f>
        <v>0</v>
      </c>
      <c r="S80" s="99">
        <f t="shared" si="11"/>
        <v>0</v>
      </c>
      <c r="T80" s="109">
        <f>0/4*100</f>
        <v>0</v>
      </c>
      <c r="U80" s="10"/>
      <c r="V80" s="10"/>
      <c r="W80" s="133"/>
    </row>
    <row r="81" spans="1:23" ht="15" customHeight="1" x14ac:dyDescent="0.25">
      <c r="A81" s="6"/>
      <c r="B81" s="7"/>
      <c r="C81" s="7"/>
      <c r="D81" s="6"/>
      <c r="E81" s="6"/>
      <c r="F81" s="48"/>
      <c r="G81" s="48"/>
      <c r="H81" s="48"/>
      <c r="I81" s="55"/>
      <c r="J81" s="55" t="s">
        <v>17</v>
      </c>
      <c r="K81" s="78" t="s">
        <v>115</v>
      </c>
      <c r="L81" s="10"/>
      <c r="M81" s="97">
        <v>1000000</v>
      </c>
      <c r="N81" s="94">
        <f>Juli!R81</f>
        <v>0</v>
      </c>
      <c r="O81" s="99">
        <f t="shared" si="9"/>
        <v>0</v>
      </c>
      <c r="P81" s="26"/>
      <c r="Q81" s="95">
        <f t="shared" si="10"/>
        <v>0</v>
      </c>
      <c r="R81" s="98">
        <f>N81+P81</f>
        <v>0</v>
      </c>
      <c r="S81" s="95">
        <f t="shared" si="11"/>
        <v>0</v>
      </c>
      <c r="T81" s="109">
        <f>0/1*100</f>
        <v>0</v>
      </c>
      <c r="U81" s="10"/>
      <c r="V81" s="10"/>
      <c r="W81" s="133"/>
    </row>
    <row r="82" spans="1:23" ht="9.9499999999999993" customHeight="1" x14ac:dyDescent="0.25">
      <c r="A82" s="8"/>
      <c r="B82" s="9"/>
      <c r="C82" s="9"/>
      <c r="D82" s="8"/>
      <c r="E82" s="8"/>
      <c r="F82" s="42"/>
      <c r="G82" s="42"/>
      <c r="H82" s="42"/>
      <c r="I82" s="55"/>
      <c r="J82" s="55"/>
      <c r="K82" s="78"/>
      <c r="L82" s="10"/>
      <c r="M82" s="97"/>
      <c r="N82" s="94">
        <f>Juli!R82</f>
        <v>0</v>
      </c>
      <c r="O82" s="99"/>
      <c r="P82" s="26"/>
      <c r="Q82" s="95"/>
      <c r="R82" s="98"/>
      <c r="S82" s="95"/>
      <c r="T82" s="109"/>
      <c r="U82" s="10"/>
      <c r="V82" s="10"/>
      <c r="W82" s="133"/>
    </row>
    <row r="83" spans="1:23" s="174" customFormat="1" ht="27.95" customHeight="1" x14ac:dyDescent="0.25">
      <c r="A83" s="8">
        <v>1</v>
      </c>
      <c r="B83" s="9" t="s">
        <v>17</v>
      </c>
      <c r="C83" s="9" t="s">
        <v>18</v>
      </c>
      <c r="D83" s="8">
        <v>38</v>
      </c>
      <c r="E83" s="8">
        <v>14</v>
      </c>
      <c r="F83" s="42" t="s">
        <v>21</v>
      </c>
      <c r="G83" s="42" t="s">
        <v>22</v>
      </c>
      <c r="H83" s="42" t="s">
        <v>24</v>
      </c>
      <c r="I83" s="60" t="s">
        <v>78</v>
      </c>
      <c r="J83" s="60"/>
      <c r="K83" s="79" t="s">
        <v>116</v>
      </c>
      <c r="L83" s="127"/>
      <c r="M83" s="103">
        <f>M84</f>
        <v>26000000</v>
      </c>
      <c r="N83" s="94">
        <f>Juli!R83</f>
        <v>0</v>
      </c>
      <c r="O83" s="95">
        <f t="shared" si="9"/>
        <v>0</v>
      </c>
      <c r="P83" s="147">
        <f>P84</f>
        <v>0</v>
      </c>
      <c r="Q83" s="95">
        <f t="shared" si="10"/>
        <v>0</v>
      </c>
      <c r="R83" s="104">
        <f>R84</f>
        <v>0</v>
      </c>
      <c r="S83" s="95">
        <f t="shared" si="11"/>
        <v>0</v>
      </c>
      <c r="T83" s="185">
        <f>T84</f>
        <v>0</v>
      </c>
      <c r="U83" s="127"/>
      <c r="V83" s="127"/>
      <c r="W83" s="173"/>
    </row>
    <row r="84" spans="1:23" ht="15" customHeight="1" x14ac:dyDescent="0.25">
      <c r="A84" s="6"/>
      <c r="B84" s="7"/>
      <c r="C84" s="7"/>
      <c r="D84" s="6"/>
      <c r="E84" s="6"/>
      <c r="F84" s="48"/>
      <c r="G84" s="48"/>
      <c r="H84" s="48"/>
      <c r="I84" s="55"/>
      <c r="J84" s="55" t="s">
        <v>117</v>
      </c>
      <c r="K84" s="78" t="s">
        <v>118</v>
      </c>
      <c r="L84" s="10"/>
      <c r="M84" s="97">
        <v>26000000</v>
      </c>
      <c r="N84" s="94">
        <f>Juli!R84</f>
        <v>0</v>
      </c>
      <c r="O84" s="99">
        <f t="shared" si="9"/>
        <v>0</v>
      </c>
      <c r="P84" s="26"/>
      <c r="Q84" s="95">
        <f t="shared" si="10"/>
        <v>0</v>
      </c>
      <c r="R84" s="98">
        <f>N84+P84</f>
        <v>0</v>
      </c>
      <c r="S84" s="95">
        <f t="shared" si="11"/>
        <v>0</v>
      </c>
      <c r="T84" s="109">
        <f>0/2*100</f>
        <v>0</v>
      </c>
      <c r="U84" s="10"/>
      <c r="V84" s="10"/>
      <c r="W84" s="133"/>
    </row>
    <row r="85" spans="1:23" ht="9.9499999999999993" customHeight="1" x14ac:dyDescent="0.25">
      <c r="A85" s="8"/>
      <c r="B85" s="9"/>
      <c r="C85" s="9"/>
      <c r="D85" s="8"/>
      <c r="E85" s="8"/>
      <c r="F85" s="42"/>
      <c r="G85" s="42"/>
      <c r="H85" s="42"/>
      <c r="I85" s="55"/>
      <c r="J85" s="55"/>
      <c r="K85" s="78"/>
      <c r="L85" s="10"/>
      <c r="M85" s="97"/>
      <c r="N85" s="94">
        <f>Juli!R85</f>
        <v>0</v>
      </c>
      <c r="O85" s="99"/>
      <c r="P85" s="26"/>
      <c r="Q85" s="95"/>
      <c r="R85" s="98"/>
      <c r="S85" s="95"/>
      <c r="T85" s="109"/>
      <c r="U85" s="10"/>
      <c r="V85" s="10"/>
      <c r="W85" s="133"/>
    </row>
    <row r="86" spans="1:23" s="174" customFormat="1" ht="27.95" customHeight="1" x14ac:dyDescent="0.25">
      <c r="A86" s="8">
        <v>1</v>
      </c>
      <c r="B86" s="9" t="s">
        <v>17</v>
      </c>
      <c r="C86" s="9" t="s">
        <v>18</v>
      </c>
      <c r="D86" s="8">
        <v>38</v>
      </c>
      <c r="E86" s="8">
        <v>14</v>
      </c>
      <c r="F86" s="42" t="s">
        <v>21</v>
      </c>
      <c r="G86" s="42" t="s">
        <v>22</v>
      </c>
      <c r="H86" s="42" t="s">
        <v>24</v>
      </c>
      <c r="I86" s="60" t="s">
        <v>119</v>
      </c>
      <c r="J86" s="60"/>
      <c r="K86" s="79" t="s">
        <v>120</v>
      </c>
      <c r="L86" s="127"/>
      <c r="M86" s="103">
        <f>M87</f>
        <v>14000000</v>
      </c>
      <c r="N86" s="94">
        <f>Juli!R86</f>
        <v>12180000</v>
      </c>
      <c r="O86" s="95">
        <f t="shared" si="9"/>
        <v>87</v>
      </c>
      <c r="P86" s="147">
        <f>P87</f>
        <v>0</v>
      </c>
      <c r="Q86" s="95">
        <f t="shared" si="10"/>
        <v>0</v>
      </c>
      <c r="R86" s="104">
        <f>R87</f>
        <v>12180000</v>
      </c>
      <c r="S86" s="95">
        <f t="shared" si="11"/>
        <v>87</v>
      </c>
      <c r="T86" s="185">
        <f>T87</f>
        <v>100</v>
      </c>
      <c r="U86" s="127"/>
      <c r="V86" s="127"/>
      <c r="W86" s="173"/>
    </row>
    <row r="87" spans="1:23" ht="15" customHeight="1" x14ac:dyDescent="0.25">
      <c r="A87" s="6"/>
      <c r="B87" s="7"/>
      <c r="C87" s="7"/>
      <c r="D87" s="6"/>
      <c r="E87" s="6"/>
      <c r="F87" s="157"/>
      <c r="G87" s="157"/>
      <c r="H87" s="157"/>
      <c r="I87" s="48"/>
      <c r="J87" s="48" t="s">
        <v>17</v>
      </c>
      <c r="K87" s="78" t="s">
        <v>121</v>
      </c>
      <c r="L87" s="10"/>
      <c r="M87" s="107">
        <v>14000000</v>
      </c>
      <c r="N87" s="94">
        <f>Juli!R87</f>
        <v>12180000</v>
      </c>
      <c r="O87" s="99">
        <f t="shared" si="9"/>
        <v>87</v>
      </c>
      <c r="P87" s="108"/>
      <c r="Q87" s="99">
        <f t="shared" si="10"/>
        <v>0</v>
      </c>
      <c r="R87" s="108">
        <f>N87+P87</f>
        <v>12180000</v>
      </c>
      <c r="S87" s="99">
        <f t="shared" si="11"/>
        <v>87</v>
      </c>
      <c r="T87" s="109">
        <f>2/2*100</f>
        <v>100</v>
      </c>
      <c r="U87" s="10"/>
      <c r="V87" s="10"/>
      <c r="W87" s="133"/>
    </row>
    <row r="88" spans="1:23" ht="9.9499999999999993" customHeight="1" x14ac:dyDescent="0.25">
      <c r="A88" s="63"/>
      <c r="B88" s="63"/>
      <c r="C88" s="63"/>
      <c r="D88" s="63"/>
      <c r="E88" s="63"/>
      <c r="F88" s="42"/>
      <c r="G88" s="42"/>
      <c r="H88" s="42"/>
      <c r="I88" s="42"/>
      <c r="J88" s="65"/>
      <c r="K88" s="92"/>
      <c r="L88" s="10"/>
      <c r="M88" s="107"/>
      <c r="N88" s="94">
        <f>Juli!R88</f>
        <v>0</v>
      </c>
      <c r="O88" s="99"/>
      <c r="P88" s="26"/>
      <c r="Q88" s="95"/>
      <c r="R88" s="108"/>
      <c r="S88" s="95"/>
      <c r="T88" s="109"/>
      <c r="U88" s="10"/>
      <c r="V88" s="10"/>
      <c r="W88" s="133"/>
    </row>
    <row r="89" spans="1:23" s="174" customFormat="1" ht="27.95" customHeight="1" x14ac:dyDescent="0.25">
      <c r="A89" s="8">
        <v>1</v>
      </c>
      <c r="B89" s="9" t="s">
        <v>17</v>
      </c>
      <c r="C89" s="9" t="s">
        <v>18</v>
      </c>
      <c r="D89" s="8">
        <v>38</v>
      </c>
      <c r="E89" s="8">
        <v>14</v>
      </c>
      <c r="F89" s="42" t="s">
        <v>21</v>
      </c>
      <c r="G89" s="42" t="s">
        <v>22</v>
      </c>
      <c r="H89" s="42" t="s">
        <v>24</v>
      </c>
      <c r="I89" s="42" t="s">
        <v>122</v>
      </c>
      <c r="J89" s="71"/>
      <c r="K89" s="150" t="s">
        <v>123</v>
      </c>
      <c r="L89" s="127"/>
      <c r="M89" s="105">
        <f>M90</f>
        <v>9000000</v>
      </c>
      <c r="N89" s="94">
        <f>Juli!R89</f>
        <v>7740000</v>
      </c>
      <c r="O89" s="95">
        <f t="shared" si="9"/>
        <v>86</v>
      </c>
      <c r="P89" s="147">
        <f>P90</f>
        <v>0</v>
      </c>
      <c r="Q89" s="95">
        <f t="shared" si="10"/>
        <v>0</v>
      </c>
      <c r="R89" s="106">
        <f>R90</f>
        <v>7740000</v>
      </c>
      <c r="S89" s="95">
        <f t="shared" si="11"/>
        <v>86</v>
      </c>
      <c r="T89" s="185">
        <f>T90</f>
        <v>100</v>
      </c>
      <c r="U89" s="127"/>
      <c r="V89" s="127"/>
      <c r="W89" s="173"/>
    </row>
    <row r="90" spans="1:23" ht="15" customHeight="1" x14ac:dyDescent="0.25">
      <c r="A90" s="63"/>
      <c r="B90" s="63"/>
      <c r="C90" s="63"/>
      <c r="D90" s="63"/>
      <c r="E90" s="63"/>
      <c r="F90" s="48"/>
      <c r="G90" s="48"/>
      <c r="H90" s="48"/>
      <c r="I90" s="48"/>
      <c r="J90" s="65" t="s">
        <v>34</v>
      </c>
      <c r="K90" s="92" t="s">
        <v>124</v>
      </c>
      <c r="L90" s="10"/>
      <c r="M90" s="107">
        <v>9000000</v>
      </c>
      <c r="N90" s="94">
        <f>Juli!R90</f>
        <v>7740000</v>
      </c>
      <c r="O90" s="99">
        <f t="shared" si="9"/>
        <v>86</v>
      </c>
      <c r="P90" s="26"/>
      <c r="Q90" s="99">
        <f t="shared" si="10"/>
        <v>0</v>
      </c>
      <c r="R90" s="108">
        <f>N90+P90</f>
        <v>7740000</v>
      </c>
      <c r="S90" s="99">
        <f t="shared" si="11"/>
        <v>86</v>
      </c>
      <c r="T90" s="109">
        <f>3/3*100</f>
        <v>100</v>
      </c>
      <c r="U90" s="10"/>
      <c r="V90" s="10"/>
      <c r="W90" s="133"/>
    </row>
    <row r="91" spans="1:23" ht="9.9499999999999993" customHeight="1" x14ac:dyDescent="0.25">
      <c r="A91" s="63"/>
      <c r="B91" s="63"/>
      <c r="C91" s="63"/>
      <c r="D91" s="63"/>
      <c r="E91" s="63"/>
      <c r="F91" s="42"/>
      <c r="G91" s="42"/>
      <c r="H91" s="42"/>
      <c r="I91" s="42"/>
      <c r="J91" s="65"/>
      <c r="K91" s="92"/>
      <c r="L91" s="10"/>
      <c r="M91" s="107"/>
      <c r="N91" s="94"/>
      <c r="O91" s="99"/>
      <c r="P91" s="26"/>
      <c r="Q91" s="99"/>
      <c r="R91" s="108"/>
      <c r="S91" s="99"/>
      <c r="T91" s="100"/>
      <c r="U91" s="10"/>
      <c r="V91" s="10"/>
      <c r="W91" s="133"/>
    </row>
    <row r="92" spans="1:23" x14ac:dyDescent="0.25">
      <c r="A92" s="171"/>
      <c r="B92" s="171"/>
      <c r="C92" s="171"/>
      <c r="D92" s="171"/>
      <c r="E92" s="171"/>
      <c r="F92" s="171"/>
      <c r="G92" s="171"/>
      <c r="H92" s="171"/>
      <c r="I92" s="171"/>
      <c r="J92" s="171"/>
      <c r="K92" s="171"/>
      <c r="L92" s="171"/>
      <c r="M92" s="175"/>
      <c r="N92" s="171"/>
      <c r="O92" s="171"/>
      <c r="P92" s="171"/>
      <c r="Q92" s="171"/>
      <c r="R92" s="171"/>
      <c r="S92" s="171"/>
      <c r="T92" s="171"/>
      <c r="U92" s="171"/>
      <c r="V92" s="171"/>
      <c r="W92" s="171"/>
    </row>
    <row r="93" spans="1:23" x14ac:dyDescent="0.25">
      <c r="A93" s="171"/>
      <c r="B93" s="171"/>
      <c r="C93" s="171"/>
      <c r="D93" s="171"/>
      <c r="E93" s="171"/>
      <c r="F93" s="171"/>
      <c r="G93" s="171"/>
      <c r="H93" s="171"/>
      <c r="I93" s="171"/>
      <c r="J93" s="171"/>
      <c r="K93" s="171"/>
      <c r="L93" s="171"/>
      <c r="M93" s="175"/>
      <c r="N93" s="171"/>
      <c r="O93" s="171"/>
      <c r="P93" s="192" t="s">
        <v>133</v>
      </c>
      <c r="Q93" s="192"/>
      <c r="R93" s="192"/>
      <c r="S93" s="192"/>
      <c r="T93" s="192"/>
      <c r="U93" s="192"/>
      <c r="V93" s="192"/>
      <c r="W93" s="176"/>
    </row>
    <row r="94" spans="1:23" x14ac:dyDescent="0.25">
      <c r="A94" s="171"/>
      <c r="B94" s="171"/>
      <c r="C94" s="171"/>
      <c r="D94" s="171"/>
      <c r="E94" s="171"/>
      <c r="F94" s="171"/>
      <c r="G94" s="171"/>
      <c r="H94" s="171"/>
      <c r="I94" s="171"/>
      <c r="J94" s="171"/>
      <c r="K94" s="171"/>
      <c r="L94" s="171"/>
      <c r="M94" s="175"/>
      <c r="N94" s="171"/>
      <c r="O94" s="171"/>
      <c r="P94" s="192" t="s">
        <v>46</v>
      </c>
      <c r="Q94" s="192"/>
      <c r="R94" s="192"/>
      <c r="S94" s="192"/>
      <c r="T94" s="192"/>
      <c r="U94" s="192"/>
      <c r="V94" s="192"/>
      <c r="W94" s="176"/>
    </row>
    <row r="95" spans="1:23" x14ac:dyDescent="0.25">
      <c r="A95" s="171"/>
      <c r="B95" s="171"/>
      <c r="C95" s="171"/>
      <c r="D95" s="171"/>
      <c r="E95" s="171"/>
      <c r="F95" s="171"/>
      <c r="G95" s="171"/>
      <c r="H95" s="171"/>
      <c r="I95" s="171"/>
      <c r="J95" s="171"/>
      <c r="K95" s="171"/>
      <c r="L95" s="171"/>
      <c r="M95" s="175"/>
      <c r="N95" s="171"/>
      <c r="O95" s="171"/>
      <c r="P95" s="177"/>
      <c r="Q95" s="177"/>
      <c r="R95" s="177"/>
      <c r="S95" s="177"/>
      <c r="T95" s="177"/>
      <c r="U95" s="177"/>
      <c r="V95" s="177"/>
      <c r="W95" s="171"/>
    </row>
    <row r="96" spans="1:23" x14ac:dyDescent="0.25">
      <c r="A96" s="171"/>
      <c r="B96" s="171"/>
      <c r="C96" s="171"/>
      <c r="D96" s="171"/>
      <c r="E96" s="171"/>
      <c r="F96" s="171"/>
      <c r="G96" s="171"/>
      <c r="H96" s="171"/>
      <c r="I96" s="171"/>
      <c r="J96" s="171"/>
      <c r="K96" s="171"/>
      <c r="L96" s="171"/>
      <c r="M96" s="175"/>
      <c r="N96" s="171"/>
      <c r="O96" s="171"/>
      <c r="P96" s="177"/>
      <c r="Q96" s="177"/>
      <c r="R96" s="177"/>
      <c r="S96" s="177"/>
      <c r="T96" s="177"/>
      <c r="U96" s="177"/>
      <c r="V96" s="177"/>
      <c r="W96" s="171"/>
    </row>
    <row r="97" spans="1:23" x14ac:dyDescent="0.25">
      <c r="A97" s="171"/>
      <c r="B97" s="171"/>
      <c r="C97" s="171"/>
      <c r="D97" s="171"/>
      <c r="E97" s="171"/>
      <c r="F97" s="171"/>
      <c r="G97" s="171"/>
      <c r="H97" s="171"/>
      <c r="I97" s="171"/>
      <c r="J97" s="171"/>
      <c r="K97" s="171"/>
      <c r="L97" s="171"/>
      <c r="M97" s="175"/>
      <c r="N97" s="171"/>
      <c r="O97" s="171"/>
      <c r="P97" s="177"/>
      <c r="Q97" s="177"/>
      <c r="R97" s="177"/>
      <c r="S97" s="177"/>
      <c r="T97" s="177"/>
      <c r="U97" s="177"/>
      <c r="V97" s="177"/>
      <c r="W97" s="171"/>
    </row>
    <row r="98" spans="1:23" x14ac:dyDescent="0.25">
      <c r="A98" s="171"/>
      <c r="B98" s="171"/>
      <c r="C98" s="171"/>
      <c r="D98" s="171"/>
      <c r="E98" s="171"/>
      <c r="F98" s="171"/>
      <c r="G98" s="171"/>
      <c r="H98" s="171"/>
      <c r="I98" s="171"/>
      <c r="J98" s="171"/>
      <c r="K98" s="171"/>
      <c r="L98" s="171"/>
      <c r="M98" s="175"/>
      <c r="N98" s="171"/>
      <c r="O98" s="171"/>
      <c r="P98" s="177"/>
      <c r="Q98" s="177"/>
      <c r="R98" s="177"/>
      <c r="S98" s="177"/>
      <c r="T98" s="177"/>
      <c r="U98" s="177"/>
      <c r="V98" s="177"/>
      <c r="W98" s="171"/>
    </row>
    <row r="99" spans="1:23" x14ac:dyDescent="0.25">
      <c r="A99" s="171"/>
      <c r="B99" s="171"/>
      <c r="C99" s="171"/>
      <c r="D99" s="171"/>
      <c r="E99" s="171"/>
      <c r="F99" s="171"/>
      <c r="G99" s="171"/>
      <c r="H99" s="171"/>
      <c r="I99" s="171"/>
      <c r="J99" s="171"/>
      <c r="K99" s="171"/>
      <c r="L99" s="171"/>
      <c r="M99" s="175"/>
      <c r="N99" s="171"/>
      <c r="O99" s="171"/>
      <c r="P99" s="193" t="s">
        <v>70</v>
      </c>
      <c r="Q99" s="193"/>
      <c r="R99" s="193"/>
      <c r="S99" s="193"/>
      <c r="T99" s="193"/>
      <c r="U99" s="193"/>
      <c r="V99" s="193"/>
      <c r="W99" s="178"/>
    </row>
    <row r="100" spans="1:23" x14ac:dyDescent="0.25">
      <c r="A100" s="171"/>
      <c r="B100" s="171"/>
      <c r="C100" s="171"/>
      <c r="D100" s="171"/>
      <c r="E100" s="171"/>
      <c r="F100" s="171"/>
      <c r="G100" s="171"/>
      <c r="H100" s="171"/>
      <c r="I100" s="171"/>
      <c r="J100" s="171"/>
      <c r="K100" s="171"/>
      <c r="L100" s="171"/>
      <c r="M100" s="175"/>
      <c r="N100" s="171"/>
      <c r="O100" s="171"/>
      <c r="P100" s="189" t="s">
        <v>71</v>
      </c>
      <c r="Q100" s="189"/>
      <c r="R100" s="189"/>
      <c r="S100" s="189"/>
      <c r="T100" s="189"/>
      <c r="U100" s="189"/>
      <c r="V100" s="189"/>
      <c r="W100" s="179"/>
    </row>
  </sheetData>
  <mergeCells count="24">
    <mergeCell ref="R8:S8"/>
    <mergeCell ref="P100:V100"/>
    <mergeCell ref="A10:J10"/>
    <mergeCell ref="L10:L11"/>
    <mergeCell ref="A11:J11"/>
    <mergeCell ref="P93:V93"/>
    <mergeCell ref="P94:V94"/>
    <mergeCell ref="P99:V99"/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T7"/>
    <mergeCell ref="N8:O8"/>
    <mergeCell ref="P8:Q8"/>
  </mergeCells>
  <pageMargins left="0.51181102362204722" right="0.39370078740157483" top="0.59055118110236227" bottom="0.19685039370078741" header="0.31496062992125984" footer="0.31496062992125984"/>
  <pageSetup paperSize="10000" scale="7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W100"/>
  <sheetViews>
    <sheetView workbookViewId="0">
      <selection activeCell="A55" sqref="A55:XFD55"/>
    </sheetView>
  </sheetViews>
  <sheetFormatPr defaultRowHeight="15" x14ac:dyDescent="0.25"/>
  <cols>
    <col min="1" max="8" width="2.7109375" style="168" customWidth="1"/>
    <col min="9" max="9" width="3.140625" style="168" customWidth="1"/>
    <col min="10" max="10" width="3.5703125" style="168" customWidth="1"/>
    <col min="11" max="11" width="52" style="168" customWidth="1"/>
    <col min="12" max="12" width="11" style="168" customWidth="1"/>
    <col min="13" max="13" width="14.5703125" style="170" customWidth="1"/>
    <col min="14" max="14" width="13" style="168" customWidth="1"/>
    <col min="15" max="15" width="7.5703125" style="168" customWidth="1"/>
    <col min="16" max="16" width="13.28515625" style="168" customWidth="1"/>
    <col min="17" max="17" width="8" style="168" customWidth="1"/>
    <col min="18" max="18" width="13" style="168" customWidth="1"/>
    <col min="19" max="19" width="9.42578125" style="168" customWidth="1"/>
    <col min="20" max="20" width="11.140625" style="168" customWidth="1"/>
    <col min="21" max="21" width="15.5703125" style="168" customWidth="1"/>
    <col min="22" max="22" width="22.42578125" style="168" customWidth="1"/>
    <col min="23" max="23" width="18.28515625" style="168" customWidth="1"/>
    <col min="24" max="24" width="15.5703125" style="168" bestFit="1" customWidth="1"/>
    <col min="25" max="25" width="12.85546875" style="168" bestFit="1" customWidth="1"/>
    <col min="26" max="16384" width="9.140625" style="168"/>
  </cols>
  <sheetData>
    <row r="1" spans="1:23" ht="16.5" x14ac:dyDescent="0.25">
      <c r="A1" s="194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67"/>
    </row>
    <row r="2" spans="1:23" ht="16.5" x14ac:dyDescent="0.25">
      <c r="A2" s="194" t="s">
        <v>72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67"/>
    </row>
    <row r="3" spans="1:23" ht="16.5" x14ac:dyDescent="0.25">
      <c r="A3" s="194" t="s">
        <v>73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67"/>
    </row>
    <row r="4" spans="1:23" ht="16.5" x14ac:dyDescent="0.25">
      <c r="A4" s="194" t="s">
        <v>95</v>
      </c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67"/>
    </row>
    <row r="5" spans="1:23" ht="18" x14ac:dyDescent="0.25">
      <c r="A5" s="169"/>
      <c r="B5" s="169"/>
      <c r="C5" s="169"/>
      <c r="D5" s="169"/>
      <c r="E5" s="169"/>
    </row>
    <row r="6" spans="1:23" x14ac:dyDescent="0.25">
      <c r="A6" s="195" t="s">
        <v>1</v>
      </c>
      <c r="B6" s="195"/>
      <c r="C6" s="195"/>
      <c r="D6" s="195"/>
      <c r="E6" s="195"/>
      <c r="F6" s="195"/>
      <c r="G6" s="195"/>
      <c r="H6" s="195"/>
      <c r="I6" s="195"/>
      <c r="J6" s="195"/>
      <c r="K6" s="195" t="s">
        <v>2</v>
      </c>
      <c r="L6" s="188" t="s">
        <v>3</v>
      </c>
      <c r="M6" s="196" t="s">
        <v>4</v>
      </c>
      <c r="N6" s="195" t="s">
        <v>5</v>
      </c>
      <c r="O6" s="195"/>
      <c r="P6" s="195"/>
      <c r="Q6" s="195"/>
      <c r="R6" s="195"/>
      <c r="S6" s="195"/>
      <c r="T6" s="195"/>
      <c r="U6" s="188" t="s">
        <v>6</v>
      </c>
      <c r="V6" s="188" t="s">
        <v>7</v>
      </c>
      <c r="W6" s="21"/>
    </row>
    <row r="7" spans="1:23" x14ac:dyDescent="0.25">
      <c r="A7" s="195"/>
      <c r="B7" s="195"/>
      <c r="C7" s="195"/>
      <c r="D7" s="195"/>
      <c r="E7" s="195"/>
      <c r="F7" s="195"/>
      <c r="G7" s="195"/>
      <c r="H7" s="195"/>
      <c r="I7" s="195"/>
      <c r="J7" s="195"/>
      <c r="K7" s="195"/>
      <c r="L7" s="188"/>
      <c r="M7" s="196"/>
      <c r="N7" s="200" t="s">
        <v>8</v>
      </c>
      <c r="O7" s="201"/>
      <c r="P7" s="200" t="s">
        <v>9</v>
      </c>
      <c r="Q7" s="201"/>
      <c r="R7" s="202" t="s">
        <v>10</v>
      </c>
      <c r="S7" s="203"/>
      <c r="T7" s="204"/>
      <c r="U7" s="188"/>
      <c r="V7" s="188"/>
      <c r="W7" s="21"/>
    </row>
    <row r="8" spans="1:23" x14ac:dyDescent="0.25">
      <c r="A8" s="195"/>
      <c r="B8" s="195"/>
      <c r="C8" s="195"/>
      <c r="D8" s="195"/>
      <c r="E8" s="195"/>
      <c r="F8" s="195"/>
      <c r="G8" s="195"/>
      <c r="H8" s="195"/>
      <c r="I8" s="195"/>
      <c r="J8" s="195"/>
      <c r="K8" s="195"/>
      <c r="L8" s="188"/>
      <c r="M8" s="196"/>
      <c r="N8" s="188" t="s">
        <v>11</v>
      </c>
      <c r="O8" s="188"/>
      <c r="P8" s="188" t="s">
        <v>11</v>
      </c>
      <c r="Q8" s="188"/>
      <c r="R8" s="188" t="s">
        <v>11</v>
      </c>
      <c r="S8" s="188"/>
      <c r="T8" s="151" t="s">
        <v>12</v>
      </c>
      <c r="U8" s="188"/>
      <c r="V8" s="188"/>
      <c r="W8" s="21"/>
    </row>
    <row r="9" spans="1:23" x14ac:dyDescent="0.25">
      <c r="A9" s="195"/>
      <c r="B9" s="195"/>
      <c r="C9" s="195"/>
      <c r="D9" s="195"/>
      <c r="E9" s="195"/>
      <c r="F9" s="195"/>
      <c r="G9" s="195"/>
      <c r="H9" s="195"/>
      <c r="I9" s="195"/>
      <c r="J9" s="195"/>
      <c r="K9" s="195"/>
      <c r="L9" s="188"/>
      <c r="M9" s="196"/>
      <c r="N9" s="151" t="s">
        <v>13</v>
      </c>
      <c r="O9" s="151" t="s">
        <v>14</v>
      </c>
      <c r="P9" s="151" t="s">
        <v>13</v>
      </c>
      <c r="Q9" s="151" t="s">
        <v>14</v>
      </c>
      <c r="R9" s="151" t="s">
        <v>13</v>
      </c>
      <c r="S9" s="151" t="s">
        <v>14</v>
      </c>
      <c r="T9" s="151" t="s">
        <v>14</v>
      </c>
      <c r="U9" s="188"/>
      <c r="V9" s="188"/>
      <c r="W9" s="21"/>
    </row>
    <row r="10" spans="1:23" s="171" customFormat="1" ht="25.5" x14ac:dyDescent="0.25">
      <c r="A10" s="190" t="s">
        <v>74</v>
      </c>
      <c r="B10" s="190"/>
      <c r="C10" s="190"/>
      <c r="D10" s="190"/>
      <c r="E10" s="190"/>
      <c r="F10" s="190"/>
      <c r="G10" s="190"/>
      <c r="H10" s="190"/>
      <c r="I10" s="190"/>
      <c r="J10" s="190"/>
      <c r="K10" s="76" t="s">
        <v>72</v>
      </c>
      <c r="L10" s="198" t="s">
        <v>15</v>
      </c>
      <c r="M10" s="32"/>
      <c r="N10" s="3"/>
      <c r="O10" s="153"/>
      <c r="P10" s="153"/>
      <c r="Q10" s="153"/>
      <c r="R10" s="153"/>
      <c r="S10" s="153"/>
      <c r="T10" s="153"/>
      <c r="U10" s="153"/>
      <c r="V10" s="153"/>
      <c r="W10" s="22"/>
    </row>
    <row r="11" spans="1:23" s="171" customFormat="1" ht="39.950000000000003" customHeight="1" x14ac:dyDescent="0.25">
      <c r="A11" s="190" t="s">
        <v>75</v>
      </c>
      <c r="B11" s="190"/>
      <c r="C11" s="190"/>
      <c r="D11" s="190"/>
      <c r="E11" s="190"/>
      <c r="F11" s="190"/>
      <c r="G11" s="190"/>
      <c r="H11" s="190"/>
      <c r="I11" s="190"/>
      <c r="J11" s="190"/>
      <c r="K11" s="76" t="s">
        <v>16</v>
      </c>
      <c r="L11" s="199"/>
      <c r="M11" s="33">
        <f>M12</f>
        <v>908784000</v>
      </c>
      <c r="N11" s="3"/>
      <c r="O11" s="153"/>
      <c r="P11" s="153"/>
      <c r="Q11" s="153"/>
      <c r="R11" s="5"/>
      <c r="S11" s="153"/>
      <c r="T11" s="153"/>
      <c r="U11" s="158"/>
      <c r="V11" s="153"/>
      <c r="W11" s="22"/>
    </row>
    <row r="12" spans="1:23" ht="18" customHeight="1" x14ac:dyDescent="0.25">
      <c r="A12" s="8">
        <v>1</v>
      </c>
      <c r="B12" s="9" t="s">
        <v>17</v>
      </c>
      <c r="C12" s="9" t="s">
        <v>18</v>
      </c>
      <c r="D12" s="8">
        <v>38</v>
      </c>
      <c r="E12" s="8">
        <v>14</v>
      </c>
      <c r="F12" s="38">
        <v>5</v>
      </c>
      <c r="G12" s="38">
        <v>2</v>
      </c>
      <c r="H12" s="38"/>
      <c r="I12" s="39"/>
      <c r="J12" s="40"/>
      <c r="K12" s="77" t="s">
        <v>19</v>
      </c>
      <c r="L12" s="159"/>
      <c r="M12" s="93">
        <f>M13+M14+M15</f>
        <v>908784000</v>
      </c>
      <c r="N12" s="94">
        <f>Agustus!R12</f>
        <v>458885120</v>
      </c>
      <c r="O12" s="95">
        <f>N12/M12*100</f>
        <v>50.494410112854105</v>
      </c>
      <c r="P12" s="94">
        <f>P13+P14+P15</f>
        <v>51476000</v>
      </c>
      <c r="Q12" s="95">
        <f>P12/M12*100</f>
        <v>5.6642722583144067</v>
      </c>
      <c r="R12" s="94">
        <f>R13+R14+R15</f>
        <v>510361120</v>
      </c>
      <c r="S12" s="95">
        <f>R12/M12*100</f>
        <v>56.15868237116851</v>
      </c>
      <c r="T12" s="96">
        <f>SUM(T13:T15)/3</f>
        <v>62.069047064529023</v>
      </c>
      <c r="U12" s="10"/>
      <c r="V12" s="160"/>
      <c r="W12" s="172"/>
    </row>
    <row r="13" spans="1:23" ht="18" customHeight="1" x14ac:dyDescent="0.25">
      <c r="A13" s="8">
        <v>1</v>
      </c>
      <c r="B13" s="9" t="s">
        <v>17</v>
      </c>
      <c r="C13" s="9" t="s">
        <v>18</v>
      </c>
      <c r="D13" s="8">
        <v>38</v>
      </c>
      <c r="E13" s="8">
        <v>14</v>
      </c>
      <c r="F13" s="41">
        <v>5</v>
      </c>
      <c r="G13" s="41">
        <v>2</v>
      </c>
      <c r="H13" s="41">
        <v>1</v>
      </c>
      <c r="I13" s="42"/>
      <c r="J13" s="43"/>
      <c r="K13" s="73" t="s">
        <v>20</v>
      </c>
      <c r="L13" s="159"/>
      <c r="M13" s="97">
        <f>M17</f>
        <v>545270400</v>
      </c>
      <c r="N13" s="94">
        <f>Agustus!R13</f>
        <v>286539120</v>
      </c>
      <c r="O13" s="99">
        <f t="shared" ref="O13:O76" si="0">N13/M13*100</f>
        <v>52.549912850578352</v>
      </c>
      <c r="P13" s="98">
        <f>P17</f>
        <v>40424400</v>
      </c>
      <c r="Q13" s="99">
        <f t="shared" ref="Q13:Q76" si="1">P13/M13*100</f>
        <v>7.4136428458247501</v>
      </c>
      <c r="R13" s="98">
        <f>N13+P13</f>
        <v>326963520</v>
      </c>
      <c r="S13" s="99">
        <f t="shared" ref="S13:S76" si="2">R13/M13*100</f>
        <v>59.963555696403105</v>
      </c>
      <c r="T13" s="100">
        <f>T17</f>
        <v>75</v>
      </c>
      <c r="U13" s="10"/>
      <c r="V13" s="10"/>
      <c r="W13" s="133"/>
    </row>
    <row r="14" spans="1:23" ht="18" customHeight="1" x14ac:dyDescent="0.25">
      <c r="A14" s="8">
        <v>1</v>
      </c>
      <c r="B14" s="9" t="s">
        <v>17</v>
      </c>
      <c r="C14" s="9" t="s">
        <v>18</v>
      </c>
      <c r="D14" s="8">
        <v>38</v>
      </c>
      <c r="E14" s="8">
        <v>14</v>
      </c>
      <c r="F14" s="42" t="s">
        <v>21</v>
      </c>
      <c r="G14" s="42" t="s">
        <v>22</v>
      </c>
      <c r="H14" s="42" t="s">
        <v>22</v>
      </c>
      <c r="I14" s="44"/>
      <c r="J14" s="45"/>
      <c r="K14" s="78" t="s">
        <v>23</v>
      </c>
      <c r="L14" s="11"/>
      <c r="M14" s="97">
        <f>M21</f>
        <v>294813600</v>
      </c>
      <c r="N14" s="94">
        <f>Agustus!R14</f>
        <v>144926000</v>
      </c>
      <c r="O14" s="99">
        <f t="shared" si="0"/>
        <v>49.158519145656783</v>
      </c>
      <c r="P14" s="98">
        <f>P21</f>
        <v>2361600</v>
      </c>
      <c r="Q14" s="99">
        <f t="shared" si="1"/>
        <v>0.80104852693362849</v>
      </c>
      <c r="R14" s="98">
        <f>N14+P14</f>
        <v>147287600</v>
      </c>
      <c r="S14" s="99">
        <f t="shared" si="2"/>
        <v>49.95956767259041</v>
      </c>
      <c r="T14" s="100">
        <f>T21</f>
        <v>41.207141193587077</v>
      </c>
      <c r="U14" s="10"/>
      <c r="V14" s="10"/>
      <c r="W14" s="133"/>
    </row>
    <row r="15" spans="1:23" ht="18" customHeight="1" x14ac:dyDescent="0.25">
      <c r="A15" s="8">
        <v>1</v>
      </c>
      <c r="B15" s="9" t="s">
        <v>17</v>
      </c>
      <c r="C15" s="9" t="s">
        <v>18</v>
      </c>
      <c r="D15" s="8">
        <v>38</v>
      </c>
      <c r="E15" s="8">
        <v>14</v>
      </c>
      <c r="F15" s="42" t="s">
        <v>21</v>
      </c>
      <c r="G15" s="42" t="s">
        <v>22</v>
      </c>
      <c r="H15" s="42" t="s">
        <v>24</v>
      </c>
      <c r="I15" s="44"/>
      <c r="J15" s="45"/>
      <c r="K15" s="78" t="s">
        <v>25</v>
      </c>
      <c r="L15" s="11"/>
      <c r="M15" s="97">
        <f>M75</f>
        <v>68700000</v>
      </c>
      <c r="N15" s="94">
        <f>Agustus!R15</f>
        <v>27420000</v>
      </c>
      <c r="O15" s="99">
        <f t="shared" si="0"/>
        <v>39.912663755458517</v>
      </c>
      <c r="P15" s="98">
        <f>P75</f>
        <v>8690000</v>
      </c>
      <c r="Q15" s="99">
        <f t="shared" si="1"/>
        <v>12.64919941775837</v>
      </c>
      <c r="R15" s="98">
        <f>N15+P15</f>
        <v>36110000</v>
      </c>
      <c r="S15" s="99">
        <f t="shared" si="2"/>
        <v>52.561863173216885</v>
      </c>
      <c r="T15" s="100">
        <f>T75</f>
        <v>70</v>
      </c>
      <c r="U15" s="10"/>
      <c r="V15" s="10"/>
      <c r="W15" s="133"/>
    </row>
    <row r="16" spans="1:23" ht="9.9499999999999993" customHeight="1" x14ac:dyDescent="0.25">
      <c r="A16" s="8"/>
      <c r="B16" s="9"/>
      <c r="C16" s="9"/>
      <c r="D16" s="8"/>
      <c r="E16" s="8"/>
      <c r="F16" s="42"/>
      <c r="G16" s="42"/>
      <c r="H16" s="42"/>
      <c r="I16" s="44"/>
      <c r="J16" s="45"/>
      <c r="K16" s="78"/>
      <c r="L16" s="11"/>
      <c r="M16" s="97"/>
      <c r="N16" s="94">
        <f>Agustus!R16</f>
        <v>0</v>
      </c>
      <c r="O16" s="99"/>
      <c r="P16" s="101"/>
      <c r="Q16" s="99"/>
      <c r="R16" s="101"/>
      <c r="S16" s="99"/>
      <c r="T16" s="102"/>
      <c r="U16" s="10"/>
      <c r="V16" s="10"/>
      <c r="W16" s="133"/>
    </row>
    <row r="17" spans="1:23" ht="18" customHeight="1" x14ac:dyDescent="0.25">
      <c r="A17" s="8">
        <v>1</v>
      </c>
      <c r="B17" s="9" t="s">
        <v>17</v>
      </c>
      <c r="C17" s="9" t="s">
        <v>18</v>
      </c>
      <c r="D17" s="8">
        <v>38</v>
      </c>
      <c r="E17" s="8">
        <v>14</v>
      </c>
      <c r="F17" s="42" t="s">
        <v>21</v>
      </c>
      <c r="G17" s="42" t="s">
        <v>22</v>
      </c>
      <c r="H17" s="42" t="s">
        <v>26</v>
      </c>
      <c r="I17" s="42"/>
      <c r="J17" s="46"/>
      <c r="K17" s="79" t="s">
        <v>20</v>
      </c>
      <c r="L17" s="11"/>
      <c r="M17" s="103">
        <f>M18</f>
        <v>545270400</v>
      </c>
      <c r="N17" s="94">
        <f>Agustus!R17</f>
        <v>286539120</v>
      </c>
      <c r="O17" s="99">
        <f t="shared" si="0"/>
        <v>52.549912850578352</v>
      </c>
      <c r="P17" s="104">
        <f>P18</f>
        <v>40424400</v>
      </c>
      <c r="Q17" s="95">
        <f t="shared" si="1"/>
        <v>7.4136428458247501</v>
      </c>
      <c r="R17" s="104">
        <f>R18</f>
        <v>326963520</v>
      </c>
      <c r="S17" s="95">
        <f t="shared" si="2"/>
        <v>59.963555696403105</v>
      </c>
      <c r="T17" s="96">
        <f>T18</f>
        <v>75</v>
      </c>
      <c r="U17" s="10"/>
      <c r="V17" s="10"/>
      <c r="W17" s="133"/>
    </row>
    <row r="18" spans="1:23" ht="18" customHeight="1" x14ac:dyDescent="0.25">
      <c r="A18" s="8">
        <v>1</v>
      </c>
      <c r="B18" s="9" t="s">
        <v>17</v>
      </c>
      <c r="C18" s="9" t="s">
        <v>18</v>
      </c>
      <c r="D18" s="8">
        <v>38</v>
      </c>
      <c r="E18" s="8">
        <v>14</v>
      </c>
      <c r="F18" s="41">
        <v>5</v>
      </c>
      <c r="G18" s="41">
        <v>2</v>
      </c>
      <c r="H18" s="41">
        <v>1</v>
      </c>
      <c r="I18" s="42" t="s">
        <v>30</v>
      </c>
      <c r="J18" s="47"/>
      <c r="K18" s="80" t="s">
        <v>31</v>
      </c>
      <c r="L18" s="159"/>
      <c r="M18" s="105">
        <f>M19</f>
        <v>545270400</v>
      </c>
      <c r="N18" s="94">
        <f>Agustus!R18</f>
        <v>286539120</v>
      </c>
      <c r="O18" s="99">
        <f t="shared" si="0"/>
        <v>52.549912850578352</v>
      </c>
      <c r="P18" s="106">
        <f>P19</f>
        <v>40424400</v>
      </c>
      <c r="Q18" s="95">
        <f t="shared" si="1"/>
        <v>7.4136428458247501</v>
      </c>
      <c r="R18" s="106">
        <f>R19</f>
        <v>326963520</v>
      </c>
      <c r="S18" s="95">
        <f t="shared" si="2"/>
        <v>59.963555696403105</v>
      </c>
      <c r="T18" s="96">
        <f>T19</f>
        <v>75</v>
      </c>
      <c r="U18" s="10"/>
      <c r="V18" s="10"/>
      <c r="W18" s="133"/>
    </row>
    <row r="19" spans="1:23" ht="15" customHeight="1" x14ac:dyDescent="0.25">
      <c r="A19" s="6"/>
      <c r="B19" s="7"/>
      <c r="C19" s="7"/>
      <c r="D19" s="6"/>
      <c r="E19" s="6"/>
      <c r="F19" s="41"/>
      <c r="G19" s="41"/>
      <c r="H19" s="41"/>
      <c r="I19" s="42"/>
      <c r="J19" s="43" t="s">
        <v>18</v>
      </c>
      <c r="K19" s="73" t="s">
        <v>32</v>
      </c>
      <c r="L19" s="161"/>
      <c r="M19" s="107">
        <v>545270400</v>
      </c>
      <c r="N19" s="94">
        <f>Agustus!R19</f>
        <v>286539120</v>
      </c>
      <c r="O19" s="99">
        <f t="shared" si="0"/>
        <v>52.549912850578352</v>
      </c>
      <c r="P19" s="26">
        <v>40424400</v>
      </c>
      <c r="Q19" s="99">
        <f t="shared" si="1"/>
        <v>7.4136428458247501</v>
      </c>
      <c r="R19" s="108">
        <f>N19+P19</f>
        <v>326963520</v>
      </c>
      <c r="S19" s="99">
        <f>R19/M19*100</f>
        <v>59.963555696403105</v>
      </c>
      <c r="T19" s="100">
        <f>9/12*100</f>
        <v>75</v>
      </c>
      <c r="U19" s="10"/>
      <c r="V19" s="10"/>
      <c r="W19" s="133"/>
    </row>
    <row r="20" spans="1:23" ht="9.9499999999999993" customHeight="1" x14ac:dyDescent="0.25">
      <c r="A20" s="10"/>
      <c r="B20" s="10"/>
      <c r="C20" s="10"/>
      <c r="D20" s="10"/>
      <c r="E20" s="10"/>
      <c r="F20" s="121"/>
      <c r="G20" s="121"/>
      <c r="H20" s="121"/>
      <c r="I20" s="122"/>
      <c r="J20" s="123"/>
      <c r="K20" s="73"/>
      <c r="L20" s="78"/>
      <c r="M20" s="107"/>
      <c r="N20" s="94">
        <f>Agustus!R20</f>
        <v>0</v>
      </c>
      <c r="O20" s="99"/>
      <c r="P20" s="101"/>
      <c r="Q20" s="99"/>
      <c r="R20" s="101"/>
      <c r="S20" s="99"/>
      <c r="T20" s="109"/>
      <c r="U20" s="10"/>
      <c r="V20" s="10"/>
      <c r="W20" s="133"/>
    </row>
    <row r="21" spans="1:23" ht="18" customHeight="1" x14ac:dyDescent="0.25">
      <c r="A21" s="8">
        <v>1</v>
      </c>
      <c r="B21" s="9" t="s">
        <v>17</v>
      </c>
      <c r="C21" s="9" t="s">
        <v>18</v>
      </c>
      <c r="D21" s="8">
        <v>38</v>
      </c>
      <c r="E21" s="8">
        <v>14</v>
      </c>
      <c r="F21" s="42" t="s">
        <v>21</v>
      </c>
      <c r="G21" s="42" t="s">
        <v>22</v>
      </c>
      <c r="H21" s="42" t="s">
        <v>22</v>
      </c>
      <c r="I21" s="48"/>
      <c r="J21" s="49"/>
      <c r="K21" s="79" t="s">
        <v>23</v>
      </c>
      <c r="L21" s="11"/>
      <c r="M21" s="105">
        <f>M22+M31+M34+M42+M46+M52+M55+M58+M68+M72+M64+M39+M49</f>
        <v>294813600</v>
      </c>
      <c r="N21" s="94">
        <f>Agustus!R21</f>
        <v>141806000</v>
      </c>
      <c r="O21" s="95">
        <f t="shared" si="0"/>
        <v>48.100223327553408</v>
      </c>
      <c r="P21" s="106">
        <f>P22+P31+P34+P42+P46+P52+P55+P58+P68+P72+P39+P49</f>
        <v>2361600</v>
      </c>
      <c r="Q21" s="95">
        <f t="shared" si="1"/>
        <v>0.80104852693362849</v>
      </c>
      <c r="R21" s="106">
        <f>R22+R31+R34+R42+R46+R52+R55+R58+R68+R72+R39+R49</f>
        <v>144167600</v>
      </c>
      <c r="S21" s="95">
        <f>R21/M21*100</f>
        <v>48.901271854487035</v>
      </c>
      <c r="T21" s="110">
        <f>(T22+T31+T34+T42+T46+T52+T55+T58+T68+T72+T39+T49)/13</f>
        <v>41.207141193587077</v>
      </c>
      <c r="U21" s="160"/>
      <c r="V21" s="10"/>
      <c r="W21" s="133"/>
    </row>
    <row r="22" spans="1:23" ht="18" customHeight="1" x14ac:dyDescent="0.25">
      <c r="A22" s="6">
        <v>1</v>
      </c>
      <c r="B22" s="9" t="s">
        <v>17</v>
      </c>
      <c r="C22" s="9" t="s">
        <v>18</v>
      </c>
      <c r="D22" s="8">
        <v>38</v>
      </c>
      <c r="E22" s="8">
        <v>14</v>
      </c>
      <c r="F22" s="42" t="s">
        <v>21</v>
      </c>
      <c r="G22" s="42" t="s">
        <v>22</v>
      </c>
      <c r="H22" s="42" t="s">
        <v>22</v>
      </c>
      <c r="I22" s="42" t="s">
        <v>18</v>
      </c>
      <c r="J22" s="43"/>
      <c r="K22" s="79" t="s">
        <v>33</v>
      </c>
      <c r="L22" s="17"/>
      <c r="M22" s="105">
        <f>SUM(M23:M29)</f>
        <v>119064100</v>
      </c>
      <c r="N22" s="94">
        <f>Agustus!R22</f>
        <v>52951300</v>
      </c>
      <c r="O22" s="95">
        <f t="shared" si="0"/>
        <v>44.4729351668555</v>
      </c>
      <c r="P22" s="111">
        <f>SUM(P23:P29)</f>
        <v>145000</v>
      </c>
      <c r="Q22" s="95">
        <f t="shared" si="1"/>
        <v>0.12178314034205105</v>
      </c>
      <c r="R22" s="111">
        <f>SUM(R23:R29)</f>
        <v>53096300</v>
      </c>
      <c r="S22" s="95">
        <f t="shared" si="2"/>
        <v>44.594718307197553</v>
      </c>
      <c r="T22" s="96">
        <f>SUM(T23:T29)/7</f>
        <v>43.928571428571431</v>
      </c>
      <c r="U22" s="10"/>
      <c r="V22" s="160"/>
      <c r="W22" s="133"/>
    </row>
    <row r="23" spans="1:23" ht="15" customHeight="1" x14ac:dyDescent="0.25">
      <c r="A23" s="10"/>
      <c r="B23" s="10"/>
      <c r="C23" s="10"/>
      <c r="D23" s="10"/>
      <c r="E23" s="10"/>
      <c r="F23" s="48"/>
      <c r="G23" s="48"/>
      <c r="H23" s="48"/>
      <c r="I23" s="48"/>
      <c r="J23" s="50" t="s">
        <v>18</v>
      </c>
      <c r="K23" s="81" t="s">
        <v>99</v>
      </c>
      <c r="L23" s="73"/>
      <c r="M23" s="97">
        <v>14306500</v>
      </c>
      <c r="N23" s="94">
        <f>Agustus!R23</f>
        <v>10860900</v>
      </c>
      <c r="O23" s="99">
        <f t="shared" si="0"/>
        <v>75.915842449236365</v>
      </c>
      <c r="P23" s="26"/>
      <c r="Q23" s="99">
        <f t="shared" si="1"/>
        <v>0</v>
      </c>
      <c r="R23" s="112">
        <f>N23+P23</f>
        <v>10860900</v>
      </c>
      <c r="S23" s="99">
        <f t="shared" si="2"/>
        <v>75.915842449236365</v>
      </c>
      <c r="T23" s="100">
        <f>2/2*100</f>
        <v>100</v>
      </c>
      <c r="U23" s="10"/>
      <c r="V23" s="10"/>
      <c r="W23" s="133"/>
    </row>
    <row r="24" spans="1:23" ht="15" customHeight="1" x14ac:dyDescent="0.25">
      <c r="A24" s="6"/>
      <c r="B24" s="7"/>
      <c r="C24" s="7"/>
      <c r="D24" s="6"/>
      <c r="E24" s="6"/>
      <c r="F24" s="48"/>
      <c r="G24" s="48"/>
      <c r="H24" s="48"/>
      <c r="I24" s="48"/>
      <c r="J24" s="50" t="s">
        <v>35</v>
      </c>
      <c r="K24" s="74" t="s">
        <v>100</v>
      </c>
      <c r="L24" s="12"/>
      <c r="M24" s="97">
        <v>780000</v>
      </c>
      <c r="N24" s="94">
        <f>Agustus!R24</f>
        <v>780000</v>
      </c>
      <c r="O24" s="99">
        <f t="shared" si="0"/>
        <v>100</v>
      </c>
      <c r="P24" s="101"/>
      <c r="Q24" s="99">
        <f t="shared" si="1"/>
        <v>0</v>
      </c>
      <c r="R24" s="112">
        <f>N24+P24</f>
        <v>780000</v>
      </c>
      <c r="S24" s="99">
        <f t="shared" si="2"/>
        <v>100</v>
      </c>
      <c r="T24" s="100">
        <f>2/2*100</f>
        <v>100</v>
      </c>
      <c r="U24" s="10"/>
      <c r="V24" s="10"/>
      <c r="W24" s="133"/>
    </row>
    <row r="25" spans="1:23" ht="15" customHeight="1" x14ac:dyDescent="0.25">
      <c r="A25" s="6"/>
      <c r="B25" s="7"/>
      <c r="C25" s="7"/>
      <c r="D25" s="6"/>
      <c r="E25" s="6"/>
      <c r="F25" s="48"/>
      <c r="G25" s="48"/>
      <c r="H25" s="48"/>
      <c r="I25" s="48"/>
      <c r="J25" s="43" t="s">
        <v>28</v>
      </c>
      <c r="K25" s="81" t="s">
        <v>101</v>
      </c>
      <c r="L25" s="12"/>
      <c r="M25" s="97">
        <v>2000000</v>
      </c>
      <c r="N25" s="94">
        <f>Agustus!R25</f>
        <v>150000</v>
      </c>
      <c r="O25" s="99">
        <f t="shared" si="0"/>
        <v>7.5</v>
      </c>
      <c r="P25" s="101"/>
      <c r="Q25" s="99">
        <f t="shared" si="1"/>
        <v>0</v>
      </c>
      <c r="R25" s="112">
        <f t="shared" ref="R25:R29" si="3">N25+P25</f>
        <v>150000</v>
      </c>
      <c r="S25" s="99">
        <f t="shared" si="2"/>
        <v>7.5</v>
      </c>
      <c r="T25" s="100">
        <f>2/10*100</f>
        <v>20</v>
      </c>
      <c r="U25" s="10"/>
      <c r="V25" s="10"/>
      <c r="W25" s="133"/>
    </row>
    <row r="26" spans="1:23" ht="15" customHeight="1" x14ac:dyDescent="0.25">
      <c r="A26" s="6"/>
      <c r="B26" s="7"/>
      <c r="C26" s="7"/>
      <c r="D26" s="6"/>
      <c r="E26" s="6"/>
      <c r="F26" s="48"/>
      <c r="G26" s="48"/>
      <c r="H26" s="48"/>
      <c r="I26" s="51"/>
      <c r="J26" s="43" t="s">
        <v>50</v>
      </c>
      <c r="K26" s="81" t="s">
        <v>102</v>
      </c>
      <c r="L26" s="12"/>
      <c r="M26" s="97">
        <v>800000</v>
      </c>
      <c r="N26" s="94">
        <f>Agustus!R26</f>
        <v>0</v>
      </c>
      <c r="O26" s="99">
        <f t="shared" si="0"/>
        <v>0</v>
      </c>
      <c r="P26" s="101"/>
      <c r="Q26" s="99">
        <f t="shared" si="1"/>
        <v>0</v>
      </c>
      <c r="R26" s="112">
        <f t="shared" si="3"/>
        <v>0</v>
      </c>
      <c r="S26" s="99">
        <f t="shared" si="2"/>
        <v>0</v>
      </c>
      <c r="T26" s="100">
        <f>0/2*100</f>
        <v>0</v>
      </c>
      <c r="U26" s="10"/>
      <c r="V26" s="10"/>
      <c r="W26" s="133"/>
    </row>
    <row r="27" spans="1:23" ht="15" customHeight="1" x14ac:dyDescent="0.25">
      <c r="A27" s="6"/>
      <c r="B27" s="7"/>
      <c r="C27" s="7"/>
      <c r="D27" s="6"/>
      <c r="E27" s="6"/>
      <c r="F27" s="121"/>
      <c r="G27" s="122"/>
      <c r="H27" s="122"/>
      <c r="I27" s="124"/>
      <c r="J27" s="52" t="s">
        <v>30</v>
      </c>
      <c r="K27" s="82" t="s">
        <v>103</v>
      </c>
      <c r="L27" s="12"/>
      <c r="M27" s="97">
        <v>2610000</v>
      </c>
      <c r="N27" s="94">
        <f>Agustus!R27</f>
        <v>1160000</v>
      </c>
      <c r="O27" s="99">
        <f t="shared" si="0"/>
        <v>44.444444444444443</v>
      </c>
      <c r="P27" s="132">
        <v>145000</v>
      </c>
      <c r="Q27" s="99">
        <f t="shared" si="1"/>
        <v>5.5555555555555554</v>
      </c>
      <c r="R27" s="112">
        <f t="shared" si="3"/>
        <v>1305000</v>
      </c>
      <c r="S27" s="113">
        <f t="shared" si="2"/>
        <v>50</v>
      </c>
      <c r="T27" s="100">
        <f>9/24*100</f>
        <v>37.5</v>
      </c>
      <c r="U27" s="10"/>
      <c r="V27" s="10"/>
      <c r="W27" s="133"/>
    </row>
    <row r="28" spans="1:23" ht="15" customHeight="1" x14ac:dyDescent="0.25">
      <c r="A28" s="6"/>
      <c r="B28" s="7"/>
      <c r="C28" s="7"/>
      <c r="D28" s="6"/>
      <c r="E28" s="6"/>
      <c r="F28" s="48"/>
      <c r="G28" s="48"/>
      <c r="H28" s="48"/>
      <c r="I28" s="53"/>
      <c r="J28" s="43" t="s">
        <v>37</v>
      </c>
      <c r="K28" s="74" t="s">
        <v>38</v>
      </c>
      <c r="L28" s="162"/>
      <c r="M28" s="97">
        <v>98117600</v>
      </c>
      <c r="N28" s="94">
        <f>Agustus!R28</f>
        <v>40000400</v>
      </c>
      <c r="O28" s="99">
        <f t="shared" si="0"/>
        <v>40.767813317896071</v>
      </c>
      <c r="P28" s="26"/>
      <c r="Q28" s="99">
        <f t="shared" si="1"/>
        <v>0</v>
      </c>
      <c r="R28" s="112">
        <f t="shared" si="3"/>
        <v>40000400</v>
      </c>
      <c r="S28" s="99">
        <f t="shared" si="2"/>
        <v>40.767813317896071</v>
      </c>
      <c r="T28" s="100">
        <f>1/2*100</f>
        <v>50</v>
      </c>
      <c r="U28" s="10"/>
      <c r="V28" s="10"/>
      <c r="W28" s="133"/>
    </row>
    <row r="29" spans="1:23" ht="15" customHeight="1" x14ac:dyDescent="0.25">
      <c r="A29" s="6"/>
      <c r="B29" s="7"/>
      <c r="C29" s="7"/>
      <c r="D29" s="6"/>
      <c r="E29" s="6"/>
      <c r="F29" s="48"/>
      <c r="G29" s="48"/>
      <c r="H29" s="48"/>
      <c r="I29" s="48"/>
      <c r="J29" s="43" t="s">
        <v>44</v>
      </c>
      <c r="K29" s="74" t="s">
        <v>104</v>
      </c>
      <c r="L29" s="161"/>
      <c r="M29" s="97">
        <v>450000</v>
      </c>
      <c r="N29" s="94">
        <f>Agustus!R29</f>
        <v>0</v>
      </c>
      <c r="O29" s="99">
        <f t="shared" si="0"/>
        <v>0</v>
      </c>
      <c r="P29" s="101"/>
      <c r="Q29" s="99">
        <f t="shared" si="1"/>
        <v>0</v>
      </c>
      <c r="R29" s="112">
        <f t="shared" si="3"/>
        <v>0</v>
      </c>
      <c r="S29" s="99">
        <f t="shared" si="2"/>
        <v>0</v>
      </c>
      <c r="T29" s="100">
        <f>0/3*100</f>
        <v>0</v>
      </c>
      <c r="U29" s="10"/>
      <c r="V29" s="10"/>
      <c r="W29" s="133"/>
    </row>
    <row r="30" spans="1:23" ht="9.9499999999999993" customHeight="1" x14ac:dyDescent="0.25">
      <c r="A30" s="6"/>
      <c r="B30" s="7"/>
      <c r="C30" s="7"/>
      <c r="D30" s="6"/>
      <c r="E30" s="6"/>
      <c r="F30" s="54"/>
      <c r="G30" s="54"/>
      <c r="H30" s="54"/>
      <c r="I30" s="55"/>
      <c r="J30" s="56"/>
      <c r="K30" s="83"/>
      <c r="L30" s="163"/>
      <c r="M30" s="115"/>
      <c r="N30" s="94">
        <f>Agustus!R30</f>
        <v>0</v>
      </c>
      <c r="O30" s="99"/>
      <c r="P30" s="101"/>
      <c r="Q30" s="99"/>
      <c r="R30" s="101"/>
      <c r="S30" s="99"/>
      <c r="T30" s="101"/>
      <c r="U30" s="10"/>
      <c r="V30" s="10"/>
      <c r="W30" s="133"/>
    </row>
    <row r="31" spans="1:23" ht="18" customHeight="1" x14ac:dyDescent="0.25">
      <c r="A31" s="8">
        <v>1</v>
      </c>
      <c r="B31" s="9" t="s">
        <v>17</v>
      </c>
      <c r="C31" s="9" t="s">
        <v>18</v>
      </c>
      <c r="D31" s="8">
        <v>38</v>
      </c>
      <c r="E31" s="8">
        <v>14</v>
      </c>
      <c r="F31" s="41">
        <v>5</v>
      </c>
      <c r="G31" s="41">
        <v>2</v>
      </c>
      <c r="H31" s="41">
        <v>2</v>
      </c>
      <c r="I31" s="42" t="s">
        <v>17</v>
      </c>
      <c r="J31" s="46"/>
      <c r="K31" s="80" t="s">
        <v>39</v>
      </c>
      <c r="L31" s="14"/>
      <c r="M31" s="105">
        <f>M32</f>
        <v>2400000</v>
      </c>
      <c r="N31" s="94">
        <f>Agustus!R31</f>
        <v>1600000</v>
      </c>
      <c r="O31" s="99">
        <f t="shared" si="0"/>
        <v>66.666666666666657</v>
      </c>
      <c r="P31" s="94">
        <f>P32</f>
        <v>200000</v>
      </c>
      <c r="Q31" s="95">
        <f t="shared" si="1"/>
        <v>8.3333333333333321</v>
      </c>
      <c r="R31" s="116">
        <f>R32</f>
        <v>1800000</v>
      </c>
      <c r="S31" s="95">
        <f t="shared" si="2"/>
        <v>75</v>
      </c>
      <c r="T31" s="95">
        <f>(T32)/1</f>
        <v>75</v>
      </c>
      <c r="U31" s="10"/>
      <c r="V31" s="10"/>
      <c r="W31" s="133"/>
    </row>
    <row r="32" spans="1:23" ht="15" customHeight="1" x14ac:dyDescent="0.25">
      <c r="A32" s="6"/>
      <c r="B32" s="7"/>
      <c r="C32" s="7"/>
      <c r="D32" s="6"/>
      <c r="E32" s="6"/>
      <c r="F32" s="48"/>
      <c r="G32" s="48"/>
      <c r="H32" s="48"/>
      <c r="I32" s="53"/>
      <c r="J32" s="43" t="s">
        <v>28</v>
      </c>
      <c r="K32" s="74" t="s">
        <v>40</v>
      </c>
      <c r="L32" s="12"/>
      <c r="M32" s="97">
        <v>2400000</v>
      </c>
      <c r="N32" s="94">
        <f>Agustus!R32</f>
        <v>1600000</v>
      </c>
      <c r="O32" s="99">
        <f t="shared" si="0"/>
        <v>66.666666666666657</v>
      </c>
      <c r="P32" s="26">
        <v>200000</v>
      </c>
      <c r="Q32" s="99">
        <f t="shared" si="1"/>
        <v>8.3333333333333321</v>
      </c>
      <c r="R32" s="101">
        <f t="shared" ref="R32" si="4">N32+P32</f>
        <v>1800000</v>
      </c>
      <c r="S32" s="99">
        <f t="shared" si="2"/>
        <v>75</v>
      </c>
      <c r="T32" s="100">
        <f>90/120*100</f>
        <v>75</v>
      </c>
      <c r="U32" s="10"/>
      <c r="V32" s="10"/>
      <c r="W32" s="133"/>
    </row>
    <row r="33" spans="1:23" ht="9.9499999999999993" customHeight="1" x14ac:dyDescent="0.25">
      <c r="A33" s="10"/>
      <c r="B33" s="10"/>
      <c r="C33" s="10"/>
      <c r="D33" s="10"/>
      <c r="E33" s="10"/>
      <c r="F33" s="54"/>
      <c r="G33" s="54"/>
      <c r="H33" s="54"/>
      <c r="I33" s="48"/>
      <c r="J33" s="43"/>
      <c r="K33" s="73"/>
      <c r="L33" s="13"/>
      <c r="M33" s="107"/>
      <c r="N33" s="94">
        <f>Agustus!R33</f>
        <v>0</v>
      </c>
      <c r="O33" s="99"/>
      <c r="P33" s="101"/>
      <c r="Q33" s="99"/>
      <c r="R33" s="101"/>
      <c r="S33" s="99"/>
      <c r="T33" s="101"/>
      <c r="U33" s="10"/>
      <c r="V33" s="10"/>
      <c r="W33" s="133"/>
    </row>
    <row r="34" spans="1:23" ht="18" customHeight="1" x14ac:dyDescent="0.25">
      <c r="A34" s="8">
        <v>1</v>
      </c>
      <c r="B34" s="9" t="s">
        <v>17</v>
      </c>
      <c r="C34" s="9" t="s">
        <v>18</v>
      </c>
      <c r="D34" s="8">
        <v>38</v>
      </c>
      <c r="E34" s="8">
        <v>14</v>
      </c>
      <c r="F34" s="41">
        <v>5</v>
      </c>
      <c r="G34" s="41">
        <v>2</v>
      </c>
      <c r="H34" s="41">
        <v>2</v>
      </c>
      <c r="I34" s="42" t="s">
        <v>34</v>
      </c>
      <c r="J34" s="46"/>
      <c r="K34" s="80" t="s">
        <v>52</v>
      </c>
      <c r="L34" s="14"/>
      <c r="M34" s="103">
        <f>M35+M37+M36</f>
        <v>19800000</v>
      </c>
      <c r="N34" s="94">
        <f>Agustus!R34</f>
        <v>6970100</v>
      </c>
      <c r="O34" s="99">
        <f t="shared" si="0"/>
        <v>35.202525252525248</v>
      </c>
      <c r="P34" s="116">
        <f>P35+P36+P37</f>
        <v>870600</v>
      </c>
      <c r="Q34" s="95">
        <f t="shared" si="1"/>
        <v>4.3969696969696974</v>
      </c>
      <c r="R34" s="116">
        <f>R35+R36</f>
        <v>7840700</v>
      </c>
      <c r="S34" s="95">
        <f>R34/M34*100</f>
        <v>39.599494949494954</v>
      </c>
      <c r="T34" s="95">
        <f>SUM(T35:T37)/3</f>
        <v>61.111111111111107</v>
      </c>
      <c r="U34" s="10"/>
      <c r="V34" s="10"/>
      <c r="W34" s="133"/>
    </row>
    <row r="35" spans="1:23" ht="15" customHeight="1" x14ac:dyDescent="0.25">
      <c r="A35" s="10"/>
      <c r="B35" s="10"/>
      <c r="C35" s="10"/>
      <c r="D35" s="10"/>
      <c r="E35" s="10"/>
      <c r="F35" s="54"/>
      <c r="G35" s="54"/>
      <c r="H35" s="54"/>
      <c r="I35" s="48"/>
      <c r="J35" s="43" t="s">
        <v>28</v>
      </c>
      <c r="K35" s="73" t="s">
        <v>41</v>
      </c>
      <c r="L35" s="164"/>
      <c r="M35" s="97">
        <v>12000000</v>
      </c>
      <c r="N35" s="94">
        <f>Agustus!R35</f>
        <v>6941600</v>
      </c>
      <c r="O35" s="99">
        <f t="shared" si="0"/>
        <v>57.846666666666671</v>
      </c>
      <c r="P35" s="26">
        <v>867700</v>
      </c>
      <c r="Q35" s="99">
        <f t="shared" si="1"/>
        <v>7.2308333333333339</v>
      </c>
      <c r="R35" s="101">
        <f>N35+P35</f>
        <v>7809300</v>
      </c>
      <c r="S35" s="99">
        <f>R35/M35*100</f>
        <v>65.077500000000001</v>
      </c>
      <c r="T35" s="99">
        <f>9/12*100</f>
        <v>75</v>
      </c>
      <c r="U35" s="10"/>
      <c r="V35" s="10"/>
      <c r="W35" s="133"/>
    </row>
    <row r="36" spans="1:23" ht="15" customHeight="1" x14ac:dyDescent="0.25">
      <c r="A36" s="6"/>
      <c r="B36" s="7"/>
      <c r="C36" s="7"/>
      <c r="D36" s="6"/>
      <c r="E36" s="6"/>
      <c r="F36" s="54"/>
      <c r="G36" s="54"/>
      <c r="H36" s="54"/>
      <c r="I36" s="48"/>
      <c r="J36" s="43" t="s">
        <v>29</v>
      </c>
      <c r="K36" s="74" t="s">
        <v>42</v>
      </c>
      <c r="L36" s="54"/>
      <c r="M36" s="107">
        <v>600000</v>
      </c>
      <c r="N36" s="94">
        <f>Agustus!R36</f>
        <v>28500</v>
      </c>
      <c r="O36" s="99">
        <f t="shared" si="0"/>
        <v>4.75</v>
      </c>
      <c r="P36" s="26">
        <v>2900</v>
      </c>
      <c r="Q36" s="99">
        <f t="shared" si="1"/>
        <v>0.48333333333333334</v>
      </c>
      <c r="R36" s="101">
        <f>N36+P36</f>
        <v>31400</v>
      </c>
      <c r="S36" s="99">
        <f>R36/M36*100</f>
        <v>5.2333333333333334</v>
      </c>
      <c r="T36" s="100">
        <f>9/12*100</f>
        <v>75</v>
      </c>
      <c r="U36" s="10"/>
      <c r="V36" s="10"/>
      <c r="W36" s="133"/>
    </row>
    <row r="37" spans="1:23" ht="15" customHeight="1" x14ac:dyDescent="0.25">
      <c r="A37" s="10"/>
      <c r="B37" s="10"/>
      <c r="C37" s="10"/>
      <c r="D37" s="10"/>
      <c r="E37" s="10"/>
      <c r="F37" s="57"/>
      <c r="G37" s="57"/>
      <c r="H37" s="57"/>
      <c r="I37" s="125"/>
      <c r="J37" s="58" t="s">
        <v>47</v>
      </c>
      <c r="K37" s="75" t="s">
        <v>64</v>
      </c>
      <c r="L37" s="164"/>
      <c r="M37" s="97">
        <v>7200000</v>
      </c>
      <c r="N37" s="94">
        <f>Agustus!R37</f>
        <v>1120000</v>
      </c>
      <c r="O37" s="99">
        <f t="shared" si="0"/>
        <v>15.555555555555555</v>
      </c>
      <c r="P37" s="101"/>
      <c r="Q37" s="99">
        <f t="shared" si="1"/>
        <v>0</v>
      </c>
      <c r="R37" s="101">
        <f>N37+P37</f>
        <v>1120000</v>
      </c>
      <c r="S37" s="99">
        <f t="shared" si="2"/>
        <v>15.555555555555555</v>
      </c>
      <c r="T37" s="100">
        <f>1/3*100</f>
        <v>33.333333333333329</v>
      </c>
      <c r="U37" s="10"/>
      <c r="V37" s="10"/>
      <c r="W37" s="133"/>
    </row>
    <row r="38" spans="1:23" ht="9.9499999999999993" customHeight="1" x14ac:dyDescent="0.25">
      <c r="A38" s="10"/>
      <c r="B38" s="10"/>
      <c r="C38" s="10"/>
      <c r="D38" s="10"/>
      <c r="E38" s="10"/>
      <c r="F38" s="57"/>
      <c r="G38" s="57"/>
      <c r="H38" s="57"/>
      <c r="I38" s="125"/>
      <c r="J38" s="126"/>
      <c r="K38" s="84"/>
      <c r="L38" s="165"/>
      <c r="M38" s="115"/>
      <c r="N38" s="94">
        <f>Agustus!R38</f>
        <v>0</v>
      </c>
      <c r="O38" s="99"/>
      <c r="P38" s="101"/>
      <c r="Q38" s="99"/>
      <c r="R38" s="101"/>
      <c r="S38" s="99"/>
      <c r="T38" s="101"/>
      <c r="U38" s="10"/>
      <c r="V38" s="10"/>
      <c r="W38" s="133"/>
    </row>
    <row r="39" spans="1:23" ht="18" customHeight="1" x14ac:dyDescent="0.25">
      <c r="A39" s="8">
        <v>1</v>
      </c>
      <c r="B39" s="9" t="s">
        <v>17</v>
      </c>
      <c r="C39" s="9" t="s">
        <v>18</v>
      </c>
      <c r="D39" s="8">
        <v>38</v>
      </c>
      <c r="E39" s="8">
        <v>14</v>
      </c>
      <c r="F39" s="41">
        <v>5</v>
      </c>
      <c r="G39" s="41">
        <v>2</v>
      </c>
      <c r="H39" s="41">
        <v>2</v>
      </c>
      <c r="I39" s="42" t="s">
        <v>27</v>
      </c>
      <c r="J39" s="155"/>
      <c r="K39" s="154" t="s">
        <v>105</v>
      </c>
      <c r="L39" s="14"/>
      <c r="M39" s="103">
        <f>M40</f>
        <v>900000</v>
      </c>
      <c r="N39" s="94">
        <f>Agustus!R39</f>
        <v>0</v>
      </c>
      <c r="O39" s="99">
        <f t="shared" si="0"/>
        <v>0</v>
      </c>
      <c r="P39" s="101">
        <f>P40</f>
        <v>0</v>
      </c>
      <c r="Q39" s="99">
        <f t="shared" si="1"/>
        <v>0</v>
      </c>
      <c r="R39" s="101">
        <f>R40</f>
        <v>0</v>
      </c>
      <c r="S39" s="99">
        <f t="shared" si="2"/>
        <v>0</v>
      </c>
      <c r="T39" s="96">
        <f>T40</f>
        <v>0</v>
      </c>
      <c r="U39" s="10"/>
      <c r="V39" s="10"/>
      <c r="W39" s="133"/>
    </row>
    <row r="40" spans="1:23" ht="15" customHeight="1" x14ac:dyDescent="0.25">
      <c r="A40" s="63"/>
      <c r="B40" s="63"/>
      <c r="C40" s="63"/>
      <c r="D40" s="63"/>
      <c r="E40" s="63"/>
      <c r="F40" s="57"/>
      <c r="G40" s="57"/>
      <c r="H40" s="57"/>
      <c r="I40" s="67"/>
      <c r="J40" s="43" t="s">
        <v>17</v>
      </c>
      <c r="K40" s="75" t="s">
        <v>106</v>
      </c>
      <c r="L40" s="13"/>
      <c r="M40" s="97">
        <v>900000</v>
      </c>
      <c r="N40" s="94">
        <f>Agustus!R40</f>
        <v>0</v>
      </c>
      <c r="O40" s="99">
        <f t="shared" si="0"/>
        <v>0</v>
      </c>
      <c r="P40" s="101"/>
      <c r="Q40" s="99">
        <f t="shared" si="1"/>
        <v>0</v>
      </c>
      <c r="R40" s="101">
        <f>N40+P40</f>
        <v>0</v>
      </c>
      <c r="S40" s="99">
        <f t="shared" si="2"/>
        <v>0</v>
      </c>
      <c r="T40" s="100">
        <f>0/1*100</f>
        <v>0</v>
      </c>
      <c r="U40" s="10"/>
      <c r="V40" s="10"/>
      <c r="W40" s="133"/>
    </row>
    <row r="41" spans="1:23" ht="9.9499999999999993" customHeight="1" x14ac:dyDescent="0.25">
      <c r="A41" s="63"/>
      <c r="B41" s="63"/>
      <c r="C41" s="63"/>
      <c r="D41" s="63"/>
      <c r="E41" s="63"/>
      <c r="F41" s="57"/>
      <c r="G41" s="57"/>
      <c r="H41" s="57"/>
      <c r="I41" s="67"/>
      <c r="J41" s="68"/>
      <c r="K41" s="84"/>
      <c r="L41" s="165"/>
      <c r="M41" s="115"/>
      <c r="N41" s="94">
        <f>Agustus!R41</f>
        <v>0</v>
      </c>
      <c r="O41" s="99"/>
      <c r="P41" s="101"/>
      <c r="Q41" s="99"/>
      <c r="R41" s="101"/>
      <c r="S41" s="99"/>
      <c r="T41" s="101"/>
      <c r="U41" s="10"/>
      <c r="V41" s="10"/>
      <c r="W41" s="133"/>
    </row>
    <row r="42" spans="1:23" ht="18" customHeight="1" x14ac:dyDescent="0.25">
      <c r="A42" s="8">
        <v>1</v>
      </c>
      <c r="B42" s="9" t="s">
        <v>17</v>
      </c>
      <c r="C42" s="9" t="s">
        <v>18</v>
      </c>
      <c r="D42" s="8">
        <v>38</v>
      </c>
      <c r="E42" s="8">
        <v>14</v>
      </c>
      <c r="F42" s="42" t="s">
        <v>21</v>
      </c>
      <c r="G42" s="42" t="s">
        <v>22</v>
      </c>
      <c r="H42" s="42" t="s">
        <v>22</v>
      </c>
      <c r="I42" s="60" t="s">
        <v>28</v>
      </c>
      <c r="J42" s="56"/>
      <c r="K42" s="85" t="s">
        <v>53</v>
      </c>
      <c r="L42" s="14"/>
      <c r="M42" s="103">
        <f>SUM(M43:M44)</f>
        <v>29487500</v>
      </c>
      <c r="N42" s="94">
        <f>Agustus!R42</f>
        <v>28230800</v>
      </c>
      <c r="O42" s="99">
        <f t="shared" si="0"/>
        <v>95.738194150063578</v>
      </c>
      <c r="P42" s="104">
        <f>P44+P43</f>
        <v>150000</v>
      </c>
      <c r="Q42" s="95">
        <f t="shared" si="1"/>
        <v>0.5086901229334464</v>
      </c>
      <c r="R42" s="104">
        <f>SUM(R43:R44)</f>
        <v>28380800</v>
      </c>
      <c r="S42" s="95">
        <f t="shared" si="2"/>
        <v>96.246884272997036</v>
      </c>
      <c r="T42" s="95">
        <f>SUM(T43:T44)/2</f>
        <v>95.373347624151478</v>
      </c>
      <c r="U42" s="10"/>
      <c r="V42" s="10"/>
      <c r="W42" s="133"/>
    </row>
    <row r="43" spans="1:23" ht="15" customHeight="1" x14ac:dyDescent="0.25">
      <c r="A43" s="8"/>
      <c r="B43" s="9"/>
      <c r="C43" s="9"/>
      <c r="D43" s="8"/>
      <c r="E43" s="8"/>
      <c r="F43" s="42"/>
      <c r="G43" s="42"/>
      <c r="H43" s="42"/>
      <c r="I43" s="59"/>
      <c r="J43" s="50" t="s">
        <v>18</v>
      </c>
      <c r="K43" s="81" t="s">
        <v>65</v>
      </c>
      <c r="L43" s="14"/>
      <c r="M43" s="97">
        <v>22490000</v>
      </c>
      <c r="N43" s="94">
        <f>Agustus!R43</f>
        <v>22030800</v>
      </c>
      <c r="O43" s="99">
        <f t="shared" si="0"/>
        <v>97.958203646064916</v>
      </c>
      <c r="P43" s="26"/>
      <c r="Q43" s="99">
        <f t="shared" si="1"/>
        <v>0</v>
      </c>
      <c r="R43" s="98">
        <f>N43+P43</f>
        <v>22030800</v>
      </c>
      <c r="S43" s="99">
        <f>R43/M43*100</f>
        <v>97.958203646064916</v>
      </c>
      <c r="T43" s="99">
        <f>10/10*100</f>
        <v>100</v>
      </c>
      <c r="U43" s="10"/>
      <c r="V43" s="10"/>
      <c r="W43" s="133"/>
    </row>
    <row r="44" spans="1:23" ht="15" customHeight="1" x14ac:dyDescent="0.25">
      <c r="A44" s="6"/>
      <c r="B44" s="7"/>
      <c r="C44" s="7"/>
      <c r="D44" s="6"/>
      <c r="E44" s="6"/>
      <c r="F44" s="48"/>
      <c r="G44" s="48"/>
      <c r="H44" s="48"/>
      <c r="I44" s="51"/>
      <c r="J44" s="50" t="s">
        <v>17</v>
      </c>
      <c r="K44" s="82" t="s">
        <v>54</v>
      </c>
      <c r="L44" s="162"/>
      <c r="M44" s="97">
        <v>6997500</v>
      </c>
      <c r="N44" s="94">
        <f>Agustus!R44</f>
        <v>6200000</v>
      </c>
      <c r="O44" s="99">
        <f t="shared" si="0"/>
        <v>88.603072525902107</v>
      </c>
      <c r="P44" s="26">
        <v>150000</v>
      </c>
      <c r="Q44" s="99">
        <f t="shared" si="1"/>
        <v>2.1436227224008575</v>
      </c>
      <c r="R44" s="98">
        <f>N44+P44</f>
        <v>6350000</v>
      </c>
      <c r="S44" s="99">
        <f>R44/M44*100</f>
        <v>90.74669524830297</v>
      </c>
      <c r="T44" s="100">
        <f>25400/27990*100</f>
        <v>90.74669524830297</v>
      </c>
      <c r="U44" s="10"/>
      <c r="V44" s="10"/>
      <c r="W44" s="133"/>
    </row>
    <row r="45" spans="1:23" ht="9.9499999999999993" customHeight="1" x14ac:dyDescent="0.25">
      <c r="A45" s="10"/>
      <c r="B45" s="10"/>
      <c r="C45" s="10"/>
      <c r="D45" s="10"/>
      <c r="E45" s="10"/>
      <c r="F45" s="48"/>
      <c r="G45" s="48"/>
      <c r="H45" s="48"/>
      <c r="I45" s="53"/>
      <c r="J45" s="56"/>
      <c r="K45" s="86"/>
      <c r="L45" s="165"/>
      <c r="M45" s="115"/>
      <c r="N45" s="94">
        <f>Agustus!R45</f>
        <v>0</v>
      </c>
      <c r="O45" s="99"/>
      <c r="P45" s="117"/>
      <c r="Q45" s="99"/>
      <c r="R45" s="117"/>
      <c r="S45" s="99"/>
      <c r="T45" s="101"/>
      <c r="U45" s="10"/>
      <c r="V45" s="10"/>
      <c r="W45" s="133"/>
    </row>
    <row r="46" spans="1:23" ht="18" customHeight="1" x14ac:dyDescent="0.25">
      <c r="A46" s="8">
        <v>1</v>
      </c>
      <c r="B46" s="9" t="s">
        <v>17</v>
      </c>
      <c r="C46" s="9" t="s">
        <v>18</v>
      </c>
      <c r="D46" s="8">
        <v>38</v>
      </c>
      <c r="E46" s="8">
        <v>14</v>
      </c>
      <c r="F46" s="41">
        <v>5</v>
      </c>
      <c r="G46" s="41">
        <v>2</v>
      </c>
      <c r="H46" s="41">
        <v>2</v>
      </c>
      <c r="I46" s="60" t="s">
        <v>37</v>
      </c>
      <c r="J46" s="46"/>
      <c r="K46" s="85" t="s">
        <v>55</v>
      </c>
      <c r="L46" s="13"/>
      <c r="M46" s="105">
        <f>M47</f>
        <v>30300000</v>
      </c>
      <c r="N46" s="94">
        <f>Agustus!R46</f>
        <v>8550000</v>
      </c>
      <c r="O46" s="99">
        <f t="shared" si="0"/>
        <v>28.217821782178216</v>
      </c>
      <c r="P46" s="106">
        <f>P47</f>
        <v>0</v>
      </c>
      <c r="Q46" s="95">
        <f t="shared" si="1"/>
        <v>0</v>
      </c>
      <c r="R46" s="106">
        <f>R47</f>
        <v>8550000</v>
      </c>
      <c r="S46" s="95">
        <f t="shared" si="2"/>
        <v>28.217821782178216</v>
      </c>
      <c r="T46" s="95">
        <f>T47</f>
        <v>18.613138686131386</v>
      </c>
      <c r="U46" s="10"/>
      <c r="V46" s="10"/>
      <c r="W46" s="133"/>
    </row>
    <row r="47" spans="1:23" ht="15" customHeight="1" x14ac:dyDescent="0.25">
      <c r="A47" s="127"/>
      <c r="B47" s="127"/>
      <c r="C47" s="127"/>
      <c r="D47" s="127"/>
      <c r="E47" s="127"/>
      <c r="F47" s="42"/>
      <c r="G47" s="42"/>
      <c r="H47" s="42"/>
      <c r="I47" s="42"/>
      <c r="J47" s="55" t="s">
        <v>17</v>
      </c>
      <c r="K47" s="78" t="s">
        <v>56</v>
      </c>
      <c r="L47" s="10"/>
      <c r="M47" s="107">
        <v>30300000</v>
      </c>
      <c r="N47" s="94">
        <f>Agustus!R47</f>
        <v>8550000</v>
      </c>
      <c r="O47" s="99">
        <f t="shared" si="0"/>
        <v>28.217821782178216</v>
      </c>
      <c r="P47" s="26"/>
      <c r="Q47" s="99">
        <f t="shared" si="1"/>
        <v>0</v>
      </c>
      <c r="R47" s="108">
        <f>N47+P47</f>
        <v>8550000</v>
      </c>
      <c r="S47" s="99">
        <f>R47/M47*100</f>
        <v>28.217821782178216</v>
      </c>
      <c r="T47" s="100">
        <f>306/1644*100</f>
        <v>18.613138686131386</v>
      </c>
      <c r="U47" s="10"/>
      <c r="V47" s="10"/>
      <c r="W47" s="133"/>
    </row>
    <row r="48" spans="1:23" ht="9.9499999999999993" customHeight="1" x14ac:dyDescent="0.25">
      <c r="A48" s="127"/>
      <c r="B48" s="127"/>
      <c r="C48" s="127"/>
      <c r="D48" s="127"/>
      <c r="E48" s="127"/>
      <c r="F48" s="42"/>
      <c r="G48" s="42"/>
      <c r="H48" s="42"/>
      <c r="I48" s="42"/>
      <c r="J48" s="59"/>
      <c r="K48" s="87"/>
      <c r="L48" s="166"/>
      <c r="M48" s="118"/>
      <c r="N48" s="94">
        <f>Agustus!R48</f>
        <v>0</v>
      </c>
      <c r="O48" s="99"/>
      <c r="P48" s="119"/>
      <c r="Q48" s="99"/>
      <c r="R48" s="119"/>
      <c r="S48" s="99"/>
      <c r="T48" s="63"/>
      <c r="U48" s="10"/>
      <c r="V48" s="10"/>
      <c r="W48" s="133"/>
    </row>
    <row r="49" spans="1:23" s="174" customFormat="1" ht="18" customHeight="1" x14ac:dyDescent="0.25">
      <c r="A49" s="8">
        <v>1</v>
      </c>
      <c r="B49" s="9" t="s">
        <v>17</v>
      </c>
      <c r="C49" s="9" t="s">
        <v>18</v>
      </c>
      <c r="D49" s="8">
        <v>38</v>
      </c>
      <c r="E49" s="8">
        <v>14</v>
      </c>
      <c r="F49" s="41">
        <v>5</v>
      </c>
      <c r="G49" s="41">
        <v>2</v>
      </c>
      <c r="H49" s="41">
        <v>2</v>
      </c>
      <c r="I49" s="60" t="s">
        <v>82</v>
      </c>
      <c r="J49" s="46"/>
      <c r="K49" s="79" t="s">
        <v>83</v>
      </c>
      <c r="L49" s="127"/>
      <c r="M49" s="105">
        <f>M50</f>
        <v>3300000</v>
      </c>
      <c r="N49" s="94">
        <f>Agustus!R49</f>
        <v>0</v>
      </c>
      <c r="O49" s="95">
        <f t="shared" si="0"/>
        <v>0</v>
      </c>
      <c r="P49" s="106">
        <f>P50</f>
        <v>0</v>
      </c>
      <c r="Q49" s="95">
        <f t="shared" si="1"/>
        <v>0</v>
      </c>
      <c r="R49" s="106">
        <f>R50</f>
        <v>0</v>
      </c>
      <c r="S49" s="95">
        <f t="shared" si="2"/>
        <v>0</v>
      </c>
      <c r="T49" s="95">
        <f>T50</f>
        <v>0</v>
      </c>
      <c r="U49" s="127"/>
      <c r="V49" s="127"/>
      <c r="W49" s="173"/>
    </row>
    <row r="50" spans="1:23" ht="15" customHeight="1" x14ac:dyDescent="0.25">
      <c r="A50" s="63"/>
      <c r="B50" s="63"/>
      <c r="C50" s="63"/>
      <c r="D50" s="63"/>
      <c r="E50" s="63"/>
      <c r="F50" s="48"/>
      <c r="G50" s="48"/>
      <c r="H50" s="48"/>
      <c r="I50" s="48"/>
      <c r="J50" s="55" t="s">
        <v>35</v>
      </c>
      <c r="K50" s="78" t="s">
        <v>84</v>
      </c>
      <c r="L50" s="10"/>
      <c r="M50" s="107">
        <v>3300000</v>
      </c>
      <c r="N50" s="94">
        <f>Agustus!R50</f>
        <v>0</v>
      </c>
      <c r="O50" s="99">
        <f t="shared" si="0"/>
        <v>0</v>
      </c>
      <c r="P50" s="108"/>
      <c r="Q50" s="99">
        <f t="shared" si="1"/>
        <v>0</v>
      </c>
      <c r="R50" s="108">
        <f>N50+P50</f>
        <v>0</v>
      </c>
      <c r="S50" s="99">
        <f t="shared" si="2"/>
        <v>0</v>
      </c>
      <c r="T50" s="100">
        <f>0/1*100</f>
        <v>0</v>
      </c>
      <c r="U50" s="10"/>
      <c r="V50" s="10"/>
      <c r="W50" s="133"/>
    </row>
    <row r="51" spans="1:23" ht="9.9499999999999993" customHeight="1" x14ac:dyDescent="0.25">
      <c r="A51" s="152"/>
      <c r="B51" s="152"/>
      <c r="C51" s="152"/>
      <c r="D51" s="152"/>
      <c r="E51" s="152"/>
      <c r="F51" s="42"/>
      <c r="G51" s="42"/>
      <c r="H51" s="42"/>
      <c r="I51" s="42"/>
      <c r="J51" s="59"/>
      <c r="K51" s="87"/>
      <c r="L51" s="166"/>
      <c r="M51" s="118"/>
      <c r="N51" s="94">
        <f>Agustus!R51</f>
        <v>0</v>
      </c>
      <c r="O51" s="99"/>
      <c r="P51" s="119"/>
      <c r="Q51" s="99"/>
      <c r="R51" s="119"/>
      <c r="S51" s="99"/>
      <c r="T51" s="63"/>
      <c r="U51" s="10"/>
      <c r="V51" s="10"/>
      <c r="W51" s="133"/>
    </row>
    <row r="52" spans="1:23" ht="18" customHeight="1" x14ac:dyDescent="0.25">
      <c r="A52" s="8">
        <v>1</v>
      </c>
      <c r="B52" s="9" t="s">
        <v>17</v>
      </c>
      <c r="C52" s="9" t="s">
        <v>18</v>
      </c>
      <c r="D52" s="8">
        <v>38</v>
      </c>
      <c r="E52" s="8">
        <v>14</v>
      </c>
      <c r="F52" s="61" t="s">
        <v>21</v>
      </c>
      <c r="G52" s="61" t="s">
        <v>22</v>
      </c>
      <c r="H52" s="61" t="s">
        <v>22</v>
      </c>
      <c r="I52" s="128">
        <v>15</v>
      </c>
      <c r="J52" s="61"/>
      <c r="K52" s="88" t="s">
        <v>43</v>
      </c>
      <c r="L52" s="10"/>
      <c r="M52" s="105">
        <f>M53</f>
        <v>15612000</v>
      </c>
      <c r="N52" s="94">
        <f>Agustus!R52</f>
        <v>5626800</v>
      </c>
      <c r="O52" s="99">
        <f t="shared" si="0"/>
        <v>36.041506533435822</v>
      </c>
      <c r="P52" s="106">
        <f>P53</f>
        <v>0</v>
      </c>
      <c r="Q52" s="95">
        <f t="shared" si="1"/>
        <v>0</v>
      </c>
      <c r="R52" s="106">
        <f>R53</f>
        <v>5626800</v>
      </c>
      <c r="S52" s="95">
        <f t="shared" si="2"/>
        <v>36.041506533435822</v>
      </c>
      <c r="T52" s="96">
        <f>T53</f>
        <v>50</v>
      </c>
      <c r="U52" s="10"/>
      <c r="V52" s="10"/>
      <c r="W52" s="133"/>
    </row>
    <row r="53" spans="1:23" ht="15" customHeight="1" x14ac:dyDescent="0.25">
      <c r="A53" s="10"/>
      <c r="B53" s="10"/>
      <c r="C53" s="10"/>
      <c r="D53" s="10"/>
      <c r="E53" s="10"/>
      <c r="F53" s="57"/>
      <c r="G53" s="57"/>
      <c r="H53" s="57"/>
      <c r="I53" s="129"/>
      <c r="J53" s="57" t="s">
        <v>17</v>
      </c>
      <c r="K53" s="89" t="s">
        <v>69</v>
      </c>
      <c r="L53" s="10"/>
      <c r="M53" s="107">
        <v>15612000</v>
      </c>
      <c r="N53" s="94">
        <f>Agustus!R53</f>
        <v>5626800</v>
      </c>
      <c r="O53" s="99">
        <f t="shared" si="0"/>
        <v>36.041506533435822</v>
      </c>
      <c r="P53" s="120"/>
      <c r="Q53" s="99">
        <f t="shared" si="1"/>
        <v>0</v>
      </c>
      <c r="R53" s="108">
        <f>N53+P53</f>
        <v>5626800</v>
      </c>
      <c r="S53" s="99">
        <f t="shared" si="2"/>
        <v>36.041506533435822</v>
      </c>
      <c r="T53" s="100">
        <f>1/2*100</f>
        <v>50</v>
      </c>
      <c r="U53" s="10"/>
      <c r="V53" s="10"/>
      <c r="W53" s="133"/>
    </row>
    <row r="54" spans="1:23" ht="9.9499999999999993" customHeight="1" x14ac:dyDescent="0.25">
      <c r="A54" s="10"/>
      <c r="B54" s="10"/>
      <c r="C54" s="10"/>
      <c r="D54" s="10"/>
      <c r="E54" s="10"/>
      <c r="F54" s="48"/>
      <c r="G54" s="48"/>
      <c r="H54" s="48"/>
      <c r="I54" s="53"/>
      <c r="J54" s="53"/>
      <c r="K54" s="78"/>
      <c r="L54" s="10"/>
      <c r="M54" s="107"/>
      <c r="N54" s="94">
        <f>Agustus!R54</f>
        <v>0</v>
      </c>
      <c r="O54" s="99"/>
      <c r="P54" s="108"/>
      <c r="Q54" s="99"/>
      <c r="R54" s="108"/>
      <c r="S54" s="99"/>
      <c r="T54" s="63"/>
      <c r="U54" s="10"/>
      <c r="V54" s="10"/>
      <c r="W54" s="133"/>
    </row>
    <row r="55" spans="1:23" ht="27.95" customHeight="1" x14ac:dyDescent="0.25">
      <c r="A55" s="8">
        <v>1</v>
      </c>
      <c r="B55" s="9" t="s">
        <v>17</v>
      </c>
      <c r="C55" s="9" t="s">
        <v>18</v>
      </c>
      <c r="D55" s="8">
        <v>38</v>
      </c>
      <c r="E55" s="8">
        <v>14</v>
      </c>
      <c r="F55" s="61" t="s">
        <v>21</v>
      </c>
      <c r="G55" s="61" t="s">
        <v>22</v>
      </c>
      <c r="H55" s="61" t="s">
        <v>22</v>
      </c>
      <c r="I55" s="128" t="s">
        <v>48</v>
      </c>
      <c r="J55" s="42"/>
      <c r="K55" s="79" t="s">
        <v>57</v>
      </c>
      <c r="L55" s="10"/>
      <c r="M55" s="105">
        <f>M56</f>
        <v>20000000</v>
      </c>
      <c r="N55" s="94">
        <f>Agustus!R55</f>
        <v>15000000</v>
      </c>
      <c r="O55" s="99">
        <f t="shared" si="0"/>
        <v>75</v>
      </c>
      <c r="P55" s="106">
        <f>P56</f>
        <v>0</v>
      </c>
      <c r="Q55" s="95">
        <f t="shared" si="1"/>
        <v>0</v>
      </c>
      <c r="R55" s="106">
        <f>R56</f>
        <v>15000000</v>
      </c>
      <c r="S55" s="95">
        <f t="shared" si="2"/>
        <v>75</v>
      </c>
      <c r="T55" s="96">
        <f>T56</f>
        <v>75</v>
      </c>
      <c r="U55" s="10"/>
      <c r="V55" s="10"/>
      <c r="W55" s="133"/>
    </row>
    <row r="56" spans="1:23" ht="15" customHeight="1" x14ac:dyDescent="0.25">
      <c r="A56" s="10"/>
      <c r="B56" s="10"/>
      <c r="C56" s="10"/>
      <c r="D56" s="10"/>
      <c r="E56" s="10"/>
      <c r="F56" s="48"/>
      <c r="G56" s="48"/>
      <c r="H56" s="48"/>
      <c r="I56" s="48"/>
      <c r="J56" s="48" t="s">
        <v>18</v>
      </c>
      <c r="K56" s="78" t="s">
        <v>58</v>
      </c>
      <c r="L56" s="10"/>
      <c r="M56" s="107">
        <v>20000000</v>
      </c>
      <c r="N56" s="94">
        <f>Agustus!R56</f>
        <v>15000000</v>
      </c>
      <c r="O56" s="99">
        <f t="shared" si="0"/>
        <v>75</v>
      </c>
      <c r="P56" s="26"/>
      <c r="Q56" s="99">
        <f t="shared" si="1"/>
        <v>0</v>
      </c>
      <c r="R56" s="108">
        <f>N56+P56</f>
        <v>15000000</v>
      </c>
      <c r="S56" s="99">
        <f t="shared" si="2"/>
        <v>75</v>
      </c>
      <c r="T56" s="100">
        <f>3/4*100</f>
        <v>75</v>
      </c>
      <c r="U56" s="10"/>
      <c r="V56" s="10"/>
      <c r="W56" s="133"/>
    </row>
    <row r="57" spans="1:23" ht="9.9499999999999993" customHeight="1" x14ac:dyDescent="0.25">
      <c r="A57" s="10"/>
      <c r="B57" s="10"/>
      <c r="C57" s="10"/>
      <c r="D57" s="10"/>
      <c r="E57" s="10"/>
      <c r="F57" s="48"/>
      <c r="G57" s="48"/>
      <c r="H57" s="48"/>
      <c r="I57" s="53"/>
      <c r="J57" s="53"/>
      <c r="K57" s="90"/>
      <c r="L57" s="10"/>
      <c r="M57" s="97"/>
      <c r="N57" s="94">
        <f>Agustus!R57</f>
        <v>0</v>
      </c>
      <c r="O57" s="99"/>
      <c r="P57" s="98"/>
      <c r="Q57" s="99"/>
      <c r="R57" s="98"/>
      <c r="S57" s="99"/>
      <c r="T57" s="63"/>
      <c r="U57" s="10"/>
      <c r="V57" s="10"/>
      <c r="W57" s="133"/>
    </row>
    <row r="58" spans="1:23" ht="18" customHeight="1" x14ac:dyDescent="0.25">
      <c r="A58" s="8">
        <v>1</v>
      </c>
      <c r="B58" s="9" t="s">
        <v>17</v>
      </c>
      <c r="C58" s="9" t="s">
        <v>18</v>
      </c>
      <c r="D58" s="8">
        <v>38</v>
      </c>
      <c r="E58" s="8">
        <v>14</v>
      </c>
      <c r="F58" s="61" t="s">
        <v>21</v>
      </c>
      <c r="G58" s="61" t="s">
        <v>22</v>
      </c>
      <c r="H58" s="61" t="s">
        <v>22</v>
      </c>
      <c r="I58" s="128" t="s">
        <v>51</v>
      </c>
      <c r="J58" s="130"/>
      <c r="K58" s="88" t="s">
        <v>59</v>
      </c>
      <c r="L58" s="10"/>
      <c r="M58" s="103">
        <f>SUM(M59:M62)</f>
        <v>24000000</v>
      </c>
      <c r="N58" s="94">
        <f>Agustus!R58</f>
        <v>13827000</v>
      </c>
      <c r="O58" s="99">
        <f t="shared" si="0"/>
        <v>57.612499999999997</v>
      </c>
      <c r="P58" s="104">
        <f>SUM(P59:P62)</f>
        <v>996000</v>
      </c>
      <c r="Q58" s="95">
        <f t="shared" si="1"/>
        <v>4.1500000000000004</v>
      </c>
      <c r="R58" s="104">
        <f>SUM(R59:R62)</f>
        <v>14823000</v>
      </c>
      <c r="S58" s="95">
        <f t="shared" si="2"/>
        <v>61.762499999999996</v>
      </c>
      <c r="T58" s="96">
        <f>SUM(T59:T62)/4</f>
        <v>62.5</v>
      </c>
      <c r="U58" s="10"/>
      <c r="V58" s="10"/>
      <c r="W58" s="133"/>
    </row>
    <row r="59" spans="1:23" ht="15" customHeight="1" x14ac:dyDescent="0.25">
      <c r="A59" s="10"/>
      <c r="B59" s="10"/>
      <c r="C59" s="10"/>
      <c r="D59" s="10"/>
      <c r="E59" s="10"/>
      <c r="F59" s="57"/>
      <c r="G59" s="57"/>
      <c r="H59" s="57"/>
      <c r="I59" s="129"/>
      <c r="J59" s="62" t="s">
        <v>34</v>
      </c>
      <c r="K59" s="89" t="s">
        <v>60</v>
      </c>
      <c r="L59" s="10"/>
      <c r="M59" s="97">
        <v>1000000</v>
      </c>
      <c r="N59" s="94">
        <f>Agustus!R59</f>
        <v>0</v>
      </c>
      <c r="O59" s="99">
        <f t="shared" si="0"/>
        <v>0</v>
      </c>
      <c r="P59" s="98"/>
      <c r="Q59" s="99">
        <f t="shared" si="1"/>
        <v>0</v>
      </c>
      <c r="R59" s="98">
        <f>N59+P59</f>
        <v>0</v>
      </c>
      <c r="S59" s="99">
        <f t="shared" si="2"/>
        <v>0</v>
      </c>
      <c r="T59" s="100">
        <f>0/1*100</f>
        <v>0</v>
      </c>
      <c r="U59" s="10"/>
      <c r="V59" s="10"/>
      <c r="W59" s="133"/>
    </row>
    <row r="60" spans="1:23" ht="15" customHeight="1" x14ac:dyDescent="0.25">
      <c r="A60" s="10"/>
      <c r="B60" s="10"/>
      <c r="C60" s="10"/>
      <c r="D60" s="10"/>
      <c r="E60" s="10"/>
      <c r="F60" s="54"/>
      <c r="G60" s="54"/>
      <c r="H60" s="54"/>
      <c r="I60" s="48"/>
      <c r="J60" s="55" t="s">
        <v>35</v>
      </c>
      <c r="K60" s="73" t="s">
        <v>61</v>
      </c>
      <c r="L60" s="10"/>
      <c r="M60" s="97">
        <v>13000000</v>
      </c>
      <c r="N60" s="94">
        <f>Agustus!R60</f>
        <v>9785000</v>
      </c>
      <c r="O60" s="99">
        <f t="shared" si="0"/>
        <v>75.269230769230759</v>
      </c>
      <c r="P60" s="98"/>
      <c r="Q60" s="99">
        <f t="shared" si="1"/>
        <v>0</v>
      </c>
      <c r="R60" s="98">
        <f t="shared" ref="R60:R62" si="5">N60+P60</f>
        <v>9785000</v>
      </c>
      <c r="S60" s="99">
        <f t="shared" si="2"/>
        <v>75.269230769230759</v>
      </c>
      <c r="T60" s="100">
        <f>1/1*100</f>
        <v>100</v>
      </c>
      <c r="U60" s="10"/>
      <c r="V60" s="10"/>
      <c r="W60" s="133"/>
    </row>
    <row r="61" spans="1:23" ht="15" customHeight="1" x14ac:dyDescent="0.25">
      <c r="A61" s="10"/>
      <c r="B61" s="10"/>
      <c r="C61" s="10"/>
      <c r="D61" s="10"/>
      <c r="E61" s="10"/>
      <c r="F61" s="57"/>
      <c r="G61" s="57"/>
      <c r="H61" s="57"/>
      <c r="I61" s="129"/>
      <c r="J61" s="62" t="s">
        <v>50</v>
      </c>
      <c r="K61" s="89" t="s">
        <v>62</v>
      </c>
      <c r="L61" s="10"/>
      <c r="M61" s="97">
        <v>5000000</v>
      </c>
      <c r="N61" s="94">
        <f>Agustus!R61</f>
        <v>0</v>
      </c>
      <c r="O61" s="99">
        <f t="shared" si="0"/>
        <v>0</v>
      </c>
      <c r="P61" s="98">
        <v>996000</v>
      </c>
      <c r="Q61" s="99">
        <f t="shared" si="1"/>
        <v>19.919999999999998</v>
      </c>
      <c r="R61" s="98">
        <f t="shared" si="5"/>
        <v>996000</v>
      </c>
      <c r="S61" s="99">
        <f t="shared" si="2"/>
        <v>19.919999999999998</v>
      </c>
      <c r="T61" s="100">
        <f>1/2*100</f>
        <v>50</v>
      </c>
      <c r="U61" s="10"/>
      <c r="V61" s="10"/>
      <c r="W61" s="133"/>
    </row>
    <row r="62" spans="1:23" ht="15" customHeight="1" x14ac:dyDescent="0.25">
      <c r="A62" s="10"/>
      <c r="B62" s="10"/>
      <c r="C62" s="10"/>
      <c r="D62" s="10"/>
      <c r="E62" s="10"/>
      <c r="F62" s="57"/>
      <c r="G62" s="57"/>
      <c r="H62" s="57"/>
      <c r="I62" s="129"/>
      <c r="J62" s="62" t="s">
        <v>36</v>
      </c>
      <c r="K62" s="89" t="s">
        <v>80</v>
      </c>
      <c r="L62" s="10"/>
      <c r="M62" s="97">
        <v>5000000</v>
      </c>
      <c r="N62" s="94">
        <f>Agustus!R62</f>
        <v>4042000</v>
      </c>
      <c r="O62" s="99">
        <v>0</v>
      </c>
      <c r="P62" s="98"/>
      <c r="Q62" s="99">
        <v>0</v>
      </c>
      <c r="R62" s="98">
        <f t="shared" si="5"/>
        <v>4042000</v>
      </c>
      <c r="S62" s="99">
        <f t="shared" si="2"/>
        <v>80.84</v>
      </c>
      <c r="T62" s="100">
        <f>1/1*100</f>
        <v>100</v>
      </c>
      <c r="U62" s="10"/>
      <c r="V62" s="10"/>
      <c r="W62" s="133"/>
    </row>
    <row r="63" spans="1:23" ht="9.9499999999999993" customHeight="1" x14ac:dyDescent="0.25">
      <c r="A63" s="10"/>
      <c r="B63" s="10"/>
      <c r="C63" s="10"/>
      <c r="D63" s="10"/>
      <c r="E63" s="10"/>
      <c r="F63" s="48"/>
      <c r="G63" s="48"/>
      <c r="H63" s="48"/>
      <c r="I63" s="53"/>
      <c r="J63" s="53"/>
      <c r="K63" s="78"/>
      <c r="L63" s="10"/>
      <c r="M63" s="97"/>
      <c r="N63" s="94">
        <f>Agustus!R63</f>
        <v>0</v>
      </c>
      <c r="O63" s="99"/>
      <c r="P63" s="98"/>
      <c r="Q63" s="99"/>
      <c r="R63" s="98"/>
      <c r="S63" s="99"/>
      <c r="T63" s="63"/>
      <c r="U63" s="10"/>
      <c r="V63" s="10"/>
      <c r="W63" s="133"/>
    </row>
    <row r="64" spans="1:23" ht="18" customHeight="1" x14ac:dyDescent="0.25">
      <c r="A64" s="127">
        <v>1</v>
      </c>
      <c r="B64" s="127" t="s">
        <v>17</v>
      </c>
      <c r="C64" s="127" t="s">
        <v>18</v>
      </c>
      <c r="D64" s="127">
        <v>38</v>
      </c>
      <c r="E64" s="127">
        <v>14</v>
      </c>
      <c r="F64" s="42" t="s">
        <v>21</v>
      </c>
      <c r="G64" s="42" t="s">
        <v>22</v>
      </c>
      <c r="H64" s="42" t="s">
        <v>22</v>
      </c>
      <c r="I64" s="42" t="s">
        <v>78</v>
      </c>
      <c r="J64" s="42"/>
      <c r="K64" s="79" t="s">
        <v>76</v>
      </c>
      <c r="L64" s="127"/>
      <c r="M64" s="103">
        <f>SUM(M65:M66)</f>
        <v>10000000</v>
      </c>
      <c r="N64" s="94">
        <f>Agustus!R64</f>
        <v>2000000</v>
      </c>
      <c r="O64" s="95">
        <f t="shared" ref="O64:O66" si="6">N64/M64*100</f>
        <v>20</v>
      </c>
      <c r="P64" s="104">
        <f>SUM(P65:P66)</f>
        <v>0</v>
      </c>
      <c r="Q64" s="95">
        <f t="shared" ref="Q64:Q66" si="7">P64/M64*100</f>
        <v>0</v>
      </c>
      <c r="R64" s="104">
        <f>SUM(R65:R66)</f>
        <v>2000000</v>
      </c>
      <c r="S64" s="95">
        <f t="shared" ref="S64:S66" si="8">R64/M64*100</f>
        <v>20</v>
      </c>
      <c r="T64" s="96">
        <f>SUM(T65:T66)/2</f>
        <v>50</v>
      </c>
      <c r="U64" s="10"/>
      <c r="V64" s="10"/>
      <c r="W64" s="133"/>
    </row>
    <row r="65" spans="1:23" ht="15" customHeight="1" x14ac:dyDescent="0.25">
      <c r="A65" s="6"/>
      <c r="B65" s="7"/>
      <c r="C65" s="7"/>
      <c r="D65" s="6"/>
      <c r="E65" s="6"/>
      <c r="F65" s="57"/>
      <c r="G65" s="57"/>
      <c r="H65" s="57"/>
      <c r="I65" s="70"/>
      <c r="J65" s="62" t="s">
        <v>34</v>
      </c>
      <c r="K65" s="89" t="s">
        <v>107</v>
      </c>
      <c r="L65" s="10"/>
      <c r="M65" s="97">
        <v>7000000</v>
      </c>
      <c r="N65" s="94">
        <f>Agustus!R65</f>
        <v>0</v>
      </c>
      <c r="O65" s="99">
        <f t="shared" si="6"/>
        <v>0</v>
      </c>
      <c r="P65" s="98"/>
      <c r="Q65" s="99">
        <f t="shared" si="7"/>
        <v>0</v>
      </c>
      <c r="R65" s="98">
        <f>N65+P65</f>
        <v>0</v>
      </c>
      <c r="S65" s="99">
        <f t="shared" si="8"/>
        <v>0</v>
      </c>
      <c r="T65" s="100">
        <f>0/1*100</f>
        <v>0</v>
      </c>
      <c r="U65" s="10"/>
      <c r="V65" s="10"/>
      <c r="W65" s="133"/>
    </row>
    <row r="66" spans="1:23" ht="15" customHeight="1" x14ac:dyDescent="0.25">
      <c r="A66" s="10"/>
      <c r="B66" s="10"/>
      <c r="C66" s="10"/>
      <c r="D66" s="10"/>
      <c r="E66" s="10"/>
      <c r="F66" s="48"/>
      <c r="G66" s="48"/>
      <c r="H66" s="48"/>
      <c r="I66" s="48"/>
      <c r="J66" s="48" t="s">
        <v>30</v>
      </c>
      <c r="K66" s="78" t="s">
        <v>77</v>
      </c>
      <c r="L66" s="10"/>
      <c r="M66" s="97">
        <v>3000000</v>
      </c>
      <c r="N66" s="94">
        <f>Agustus!R66</f>
        <v>2000000</v>
      </c>
      <c r="O66" s="99">
        <f t="shared" si="6"/>
        <v>66.666666666666657</v>
      </c>
      <c r="P66" s="98"/>
      <c r="Q66" s="99">
        <f t="shared" si="7"/>
        <v>0</v>
      </c>
      <c r="R66" s="98">
        <f>N66+P66</f>
        <v>2000000</v>
      </c>
      <c r="S66" s="99">
        <f t="shared" si="8"/>
        <v>66.666666666666657</v>
      </c>
      <c r="T66" s="100">
        <f>1/1*100</f>
        <v>100</v>
      </c>
      <c r="U66" s="10"/>
      <c r="V66" s="10"/>
      <c r="W66" s="133"/>
    </row>
    <row r="67" spans="1:23" ht="9.9499999999999993" customHeight="1" x14ac:dyDescent="0.25">
      <c r="A67" s="10"/>
      <c r="B67" s="10"/>
      <c r="C67" s="10"/>
      <c r="D67" s="10"/>
      <c r="E67" s="10"/>
      <c r="F67" s="48"/>
      <c r="G67" s="48"/>
      <c r="H67" s="48"/>
      <c r="I67" s="53"/>
      <c r="J67" s="53"/>
      <c r="K67" s="78"/>
      <c r="L67" s="10"/>
      <c r="M67" s="97"/>
      <c r="N67" s="94">
        <f>Agustus!R67</f>
        <v>0</v>
      </c>
      <c r="O67" s="99"/>
      <c r="P67" s="98"/>
      <c r="Q67" s="99"/>
      <c r="R67" s="98"/>
      <c r="S67" s="99"/>
      <c r="T67" s="63"/>
      <c r="U67" s="10"/>
      <c r="V67" s="10"/>
      <c r="W67" s="133"/>
    </row>
    <row r="68" spans="1:23" ht="27.95" customHeight="1" x14ac:dyDescent="0.25">
      <c r="A68" s="8">
        <v>1</v>
      </c>
      <c r="B68" s="9" t="s">
        <v>17</v>
      </c>
      <c r="C68" s="9" t="s">
        <v>18</v>
      </c>
      <c r="D68" s="8">
        <v>38</v>
      </c>
      <c r="E68" s="8">
        <v>14</v>
      </c>
      <c r="F68" s="61" t="s">
        <v>21</v>
      </c>
      <c r="G68" s="61" t="s">
        <v>22</v>
      </c>
      <c r="H68" s="61" t="s">
        <v>22</v>
      </c>
      <c r="I68" s="131" t="s">
        <v>49</v>
      </c>
      <c r="J68" s="61"/>
      <c r="K68" s="88" t="s">
        <v>63</v>
      </c>
      <c r="L68" s="10"/>
      <c r="M68" s="105">
        <f>SUM(M69:M70)</f>
        <v>19450000</v>
      </c>
      <c r="N68" s="94">
        <f>Agustus!R68</f>
        <v>9050000</v>
      </c>
      <c r="O68" s="99">
        <f t="shared" si="0"/>
        <v>46.529562982005139</v>
      </c>
      <c r="P68" s="106">
        <f>SUM(P69:P70)</f>
        <v>0</v>
      </c>
      <c r="Q68" s="95">
        <f t="shared" si="1"/>
        <v>0</v>
      </c>
      <c r="R68" s="106">
        <f>SUM(R69:R70)</f>
        <v>9050000</v>
      </c>
      <c r="S68" s="95">
        <f t="shared" si="2"/>
        <v>46.529562982005139</v>
      </c>
      <c r="T68" s="96">
        <f>SUM(T69:T70)/2</f>
        <v>54.166666666666671</v>
      </c>
      <c r="U68" s="10"/>
      <c r="V68" s="10"/>
      <c r="W68" s="133"/>
    </row>
    <row r="69" spans="1:23" ht="15" customHeight="1" x14ac:dyDescent="0.25">
      <c r="A69" s="10"/>
      <c r="B69" s="10"/>
      <c r="C69" s="10"/>
      <c r="D69" s="10"/>
      <c r="E69" s="10"/>
      <c r="F69" s="57"/>
      <c r="G69" s="57"/>
      <c r="H69" s="57"/>
      <c r="I69" s="129"/>
      <c r="J69" s="62" t="s">
        <v>17</v>
      </c>
      <c r="K69" s="89" t="s">
        <v>66</v>
      </c>
      <c r="L69" s="10"/>
      <c r="M69" s="107">
        <v>7200000</v>
      </c>
      <c r="N69" s="94">
        <f>Agustus!R69</f>
        <v>1800000</v>
      </c>
      <c r="O69" s="99">
        <f t="shared" si="0"/>
        <v>25</v>
      </c>
      <c r="P69" s="26"/>
      <c r="Q69" s="99">
        <f t="shared" si="1"/>
        <v>0</v>
      </c>
      <c r="R69" s="108">
        <f>N69+P69</f>
        <v>1800000</v>
      </c>
      <c r="S69" s="99">
        <f t="shared" si="2"/>
        <v>25</v>
      </c>
      <c r="T69" s="100">
        <f>6/24*100</f>
        <v>25</v>
      </c>
      <c r="U69" s="10"/>
      <c r="V69" s="10"/>
      <c r="W69" s="133"/>
    </row>
    <row r="70" spans="1:23" ht="15" customHeight="1" x14ac:dyDescent="0.25">
      <c r="A70" s="63"/>
      <c r="B70" s="63"/>
      <c r="C70" s="63"/>
      <c r="D70" s="63"/>
      <c r="E70" s="63"/>
      <c r="F70" s="57"/>
      <c r="G70" s="57"/>
      <c r="H70" s="57"/>
      <c r="I70" s="70"/>
      <c r="J70" s="62" t="s">
        <v>34</v>
      </c>
      <c r="K70" s="89" t="s">
        <v>81</v>
      </c>
      <c r="L70" s="10"/>
      <c r="M70" s="107">
        <v>12250000</v>
      </c>
      <c r="N70" s="94">
        <f>Agustus!R70</f>
        <v>7250000</v>
      </c>
      <c r="O70" s="99">
        <f t="shared" si="0"/>
        <v>59.183673469387756</v>
      </c>
      <c r="P70" s="26"/>
      <c r="Q70" s="99">
        <f t="shared" si="1"/>
        <v>0</v>
      </c>
      <c r="R70" s="108">
        <f>N70+P70</f>
        <v>7250000</v>
      </c>
      <c r="S70" s="99">
        <f t="shared" si="2"/>
        <v>59.183673469387756</v>
      </c>
      <c r="T70" s="100">
        <f>10/12*100</f>
        <v>83.333333333333343</v>
      </c>
      <c r="U70" s="10"/>
      <c r="V70" s="10"/>
      <c r="W70" s="133"/>
    </row>
    <row r="71" spans="1:23" ht="9.9499999999999993" customHeight="1" x14ac:dyDescent="0.25">
      <c r="A71" s="10"/>
      <c r="B71" s="10"/>
      <c r="C71" s="10"/>
      <c r="D71" s="10"/>
      <c r="E71" s="10"/>
      <c r="F71" s="48"/>
      <c r="G71" s="48"/>
      <c r="H71" s="48"/>
      <c r="I71" s="53"/>
      <c r="J71" s="53"/>
      <c r="K71" s="78"/>
      <c r="L71" s="10"/>
      <c r="M71" s="97"/>
      <c r="N71" s="94">
        <f>Agustus!R71</f>
        <v>0</v>
      </c>
      <c r="O71" s="99"/>
      <c r="P71" s="98"/>
      <c r="Q71" s="99"/>
      <c r="R71" s="98"/>
      <c r="S71" s="99"/>
      <c r="T71" s="63"/>
      <c r="U71" s="10"/>
      <c r="V71" s="10"/>
      <c r="W71" s="133"/>
    </row>
    <row r="72" spans="1:23" ht="27.95" customHeight="1" x14ac:dyDescent="0.25">
      <c r="A72" s="8">
        <v>1</v>
      </c>
      <c r="B72" s="9" t="s">
        <v>17</v>
      </c>
      <c r="C72" s="9" t="s">
        <v>18</v>
      </c>
      <c r="D72" s="8">
        <v>38</v>
      </c>
      <c r="E72" s="8">
        <v>14</v>
      </c>
      <c r="F72" s="42" t="s">
        <v>21</v>
      </c>
      <c r="G72" s="42" t="s">
        <v>22</v>
      </c>
      <c r="H72" s="42" t="s">
        <v>22</v>
      </c>
      <c r="I72" s="42" t="s">
        <v>108</v>
      </c>
      <c r="J72" s="44"/>
      <c r="K72" s="79" t="s">
        <v>109</v>
      </c>
      <c r="L72" s="10"/>
      <c r="M72" s="103">
        <f>M73</f>
        <v>500000</v>
      </c>
      <c r="N72" s="94">
        <f>Agustus!R72</f>
        <v>0</v>
      </c>
      <c r="O72" s="99">
        <f t="shared" si="0"/>
        <v>0</v>
      </c>
      <c r="P72" s="104">
        <f>P73</f>
        <v>0</v>
      </c>
      <c r="Q72" s="95">
        <f t="shared" si="1"/>
        <v>0</v>
      </c>
      <c r="R72" s="104">
        <f>R73</f>
        <v>0</v>
      </c>
      <c r="S72" s="95">
        <f t="shared" si="2"/>
        <v>0</v>
      </c>
      <c r="T72" s="96">
        <v>0</v>
      </c>
      <c r="U72" s="10"/>
      <c r="V72" s="10"/>
      <c r="W72" s="133"/>
    </row>
    <row r="73" spans="1:23" ht="15" customHeight="1" x14ac:dyDescent="0.25">
      <c r="A73" s="10"/>
      <c r="B73" s="10"/>
      <c r="C73" s="10"/>
      <c r="D73" s="10"/>
      <c r="E73" s="10"/>
      <c r="F73" s="48"/>
      <c r="G73" s="48"/>
      <c r="H73" s="48"/>
      <c r="I73" s="53"/>
      <c r="J73" s="55" t="s">
        <v>17</v>
      </c>
      <c r="K73" s="82" t="s">
        <v>110</v>
      </c>
      <c r="L73" s="10"/>
      <c r="M73" s="97">
        <v>500000</v>
      </c>
      <c r="N73" s="94">
        <f>Agustus!R73</f>
        <v>0</v>
      </c>
      <c r="O73" s="99">
        <f t="shared" si="0"/>
        <v>0</v>
      </c>
      <c r="P73" s="26"/>
      <c r="Q73" s="99">
        <f t="shared" si="1"/>
        <v>0</v>
      </c>
      <c r="R73" s="98">
        <f>N73+P73</f>
        <v>0</v>
      </c>
      <c r="S73" s="99">
        <f t="shared" si="2"/>
        <v>0</v>
      </c>
      <c r="T73" s="100">
        <f>0/1*100</f>
        <v>0</v>
      </c>
      <c r="U73" s="10"/>
      <c r="V73" s="160"/>
      <c r="W73" s="133"/>
    </row>
    <row r="74" spans="1:23" ht="9.9499999999999993" customHeight="1" x14ac:dyDescent="0.25">
      <c r="A74" s="10"/>
      <c r="B74" s="10"/>
      <c r="C74" s="10"/>
      <c r="D74" s="10"/>
      <c r="E74" s="10"/>
      <c r="F74" s="48"/>
      <c r="G74" s="48"/>
      <c r="H74" s="48"/>
      <c r="I74" s="53"/>
      <c r="J74" s="59"/>
      <c r="K74" s="91"/>
      <c r="L74" s="166"/>
      <c r="M74" s="115"/>
      <c r="N74" s="94">
        <f>Agustus!R74</f>
        <v>0</v>
      </c>
      <c r="O74" s="99"/>
      <c r="P74" s="117"/>
      <c r="Q74" s="99"/>
      <c r="R74" s="117"/>
      <c r="S74" s="99"/>
      <c r="T74" s="63"/>
      <c r="U74" s="10"/>
      <c r="V74" s="10"/>
      <c r="W74" s="133"/>
    </row>
    <row r="75" spans="1:23" ht="18" customHeight="1" x14ac:dyDescent="0.25">
      <c r="A75" s="8">
        <v>1</v>
      </c>
      <c r="B75" s="9" t="s">
        <v>17</v>
      </c>
      <c r="C75" s="9" t="s">
        <v>18</v>
      </c>
      <c r="D75" s="8">
        <v>38</v>
      </c>
      <c r="E75" s="8">
        <v>14</v>
      </c>
      <c r="F75" s="42" t="s">
        <v>21</v>
      </c>
      <c r="G75" s="42" t="s">
        <v>22</v>
      </c>
      <c r="H75" s="42" t="s">
        <v>24</v>
      </c>
      <c r="I75" s="42"/>
      <c r="J75" s="44"/>
      <c r="K75" s="79" t="s">
        <v>25</v>
      </c>
      <c r="L75" s="10"/>
      <c r="M75" s="105">
        <f>M79+M76+M83+M86+M89</f>
        <v>68700000</v>
      </c>
      <c r="N75" s="94">
        <f>Agustus!R75</f>
        <v>27420000</v>
      </c>
      <c r="O75" s="99">
        <f t="shared" si="0"/>
        <v>39.912663755458517</v>
      </c>
      <c r="P75" s="106">
        <f>P79+P76+P83+P86+P89</f>
        <v>8690000</v>
      </c>
      <c r="Q75" s="95">
        <f t="shared" si="1"/>
        <v>12.64919941775837</v>
      </c>
      <c r="R75" s="106">
        <f>R79+R76+R83+R86+R89</f>
        <v>36110000</v>
      </c>
      <c r="S75" s="95">
        <f t="shared" si="2"/>
        <v>52.561863173216885</v>
      </c>
      <c r="T75" s="96">
        <f>(T79+T76+T83+T86+T89)/5</f>
        <v>70</v>
      </c>
      <c r="U75" s="10"/>
      <c r="V75" s="10"/>
      <c r="W75" s="133"/>
    </row>
    <row r="76" spans="1:23" ht="18" customHeight="1" x14ac:dyDescent="0.25">
      <c r="A76" s="8">
        <v>1</v>
      </c>
      <c r="B76" s="9" t="s">
        <v>17</v>
      </c>
      <c r="C76" s="9" t="s">
        <v>18</v>
      </c>
      <c r="D76" s="8">
        <v>38</v>
      </c>
      <c r="E76" s="8">
        <v>14</v>
      </c>
      <c r="F76" s="42" t="s">
        <v>21</v>
      </c>
      <c r="G76" s="42" t="s">
        <v>22</v>
      </c>
      <c r="H76" s="42" t="s">
        <v>24</v>
      </c>
      <c r="I76" s="42" t="s">
        <v>44</v>
      </c>
      <c r="J76" s="44"/>
      <c r="K76" s="80" t="s">
        <v>111</v>
      </c>
      <c r="L76" s="10"/>
      <c r="M76" s="103">
        <f>M77</f>
        <v>7500000</v>
      </c>
      <c r="N76" s="94">
        <f>Agustus!R76</f>
        <v>7500000</v>
      </c>
      <c r="O76" s="99">
        <f t="shared" si="0"/>
        <v>100</v>
      </c>
      <c r="P76" s="104">
        <f>P77</f>
        <v>0</v>
      </c>
      <c r="Q76" s="95">
        <f t="shared" si="1"/>
        <v>0</v>
      </c>
      <c r="R76" s="104">
        <f>R77</f>
        <v>7500000</v>
      </c>
      <c r="S76" s="95">
        <f t="shared" si="2"/>
        <v>100</v>
      </c>
      <c r="T76" s="185">
        <f>T77</f>
        <v>100</v>
      </c>
      <c r="U76" s="10"/>
      <c r="V76" s="10"/>
      <c r="W76" s="133"/>
    </row>
    <row r="77" spans="1:23" ht="15" customHeight="1" x14ac:dyDescent="0.25">
      <c r="A77" s="8"/>
      <c r="B77" s="9"/>
      <c r="C77" s="9"/>
      <c r="D77" s="8"/>
      <c r="E77" s="8"/>
      <c r="F77" s="42"/>
      <c r="G77" s="42"/>
      <c r="H77" s="42"/>
      <c r="I77" s="48"/>
      <c r="J77" s="55" t="s">
        <v>35</v>
      </c>
      <c r="K77" s="73" t="s">
        <v>112</v>
      </c>
      <c r="L77" s="10"/>
      <c r="M77" s="97">
        <v>7500000</v>
      </c>
      <c r="N77" s="94">
        <f>Agustus!R77</f>
        <v>7500000</v>
      </c>
      <c r="O77" s="99">
        <f t="shared" ref="O77:O90" si="9">N77/M77*100</f>
        <v>100</v>
      </c>
      <c r="P77" s="98"/>
      <c r="Q77" s="99">
        <f t="shared" ref="Q77:Q90" si="10">P77/M77*100</f>
        <v>0</v>
      </c>
      <c r="R77" s="98">
        <f>N77+P77</f>
        <v>7500000</v>
      </c>
      <c r="S77" s="99">
        <f t="shared" ref="S77:S90" si="11">R77/M77*100</f>
        <v>100</v>
      </c>
      <c r="T77" s="109">
        <f>1/1*100</f>
        <v>100</v>
      </c>
      <c r="U77" s="10"/>
      <c r="V77" s="10"/>
      <c r="W77" s="133"/>
    </row>
    <row r="78" spans="1:23" ht="9.9499999999999993" customHeight="1" x14ac:dyDescent="0.25">
      <c r="A78" s="8"/>
      <c r="B78" s="9"/>
      <c r="C78" s="9"/>
      <c r="D78" s="8"/>
      <c r="E78" s="8"/>
      <c r="F78" s="42"/>
      <c r="G78" s="42"/>
      <c r="H78" s="42"/>
      <c r="I78" s="55"/>
      <c r="J78" s="55"/>
      <c r="K78" s="78"/>
      <c r="L78" s="10"/>
      <c r="M78" s="97"/>
      <c r="N78" s="94">
        <f>Agustus!R78</f>
        <v>0</v>
      </c>
      <c r="O78" s="99"/>
      <c r="P78" s="26"/>
      <c r="Q78" s="95"/>
      <c r="R78" s="98"/>
      <c r="S78" s="95"/>
      <c r="T78" s="100"/>
      <c r="U78" s="10"/>
      <c r="V78" s="10"/>
      <c r="W78" s="133"/>
    </row>
    <row r="79" spans="1:23" s="174" customFormat="1" ht="18" customHeight="1" x14ac:dyDescent="0.25">
      <c r="A79" s="8">
        <v>1</v>
      </c>
      <c r="B79" s="9" t="s">
        <v>17</v>
      </c>
      <c r="C79" s="9" t="s">
        <v>18</v>
      </c>
      <c r="D79" s="8">
        <v>38</v>
      </c>
      <c r="E79" s="8">
        <v>14</v>
      </c>
      <c r="F79" s="42" t="s">
        <v>21</v>
      </c>
      <c r="G79" s="42" t="s">
        <v>22</v>
      </c>
      <c r="H79" s="42" t="s">
        <v>24</v>
      </c>
      <c r="I79" s="60" t="s">
        <v>113</v>
      </c>
      <c r="J79" s="60"/>
      <c r="K79" s="79" t="s">
        <v>45</v>
      </c>
      <c r="L79" s="127"/>
      <c r="M79" s="103">
        <f>SUM(M80:M81)</f>
        <v>12200000</v>
      </c>
      <c r="N79" s="94">
        <f>Agustus!R79</f>
        <v>0</v>
      </c>
      <c r="O79" s="95">
        <f t="shared" si="9"/>
        <v>0</v>
      </c>
      <c r="P79" s="147">
        <f>SUM(P80:P81)</f>
        <v>8690000</v>
      </c>
      <c r="Q79" s="95">
        <f t="shared" si="10"/>
        <v>71.229508196721312</v>
      </c>
      <c r="R79" s="104">
        <f>SUM(R80:R81)</f>
        <v>8690000</v>
      </c>
      <c r="S79" s="95">
        <f t="shared" si="11"/>
        <v>71.229508196721312</v>
      </c>
      <c r="T79" s="96">
        <f>SUM(T80:T81)/2</f>
        <v>50</v>
      </c>
      <c r="U79" s="127"/>
      <c r="V79" s="127"/>
      <c r="W79" s="173"/>
    </row>
    <row r="80" spans="1:23" ht="15" customHeight="1" x14ac:dyDescent="0.25">
      <c r="A80" s="6"/>
      <c r="B80" s="7"/>
      <c r="C80" s="7"/>
      <c r="D80" s="6"/>
      <c r="E80" s="6"/>
      <c r="F80" s="48"/>
      <c r="G80" s="48"/>
      <c r="H80" s="48"/>
      <c r="I80" s="55"/>
      <c r="J80" s="55" t="s">
        <v>18</v>
      </c>
      <c r="K80" s="78" t="s">
        <v>114</v>
      </c>
      <c r="L80" s="10"/>
      <c r="M80" s="97">
        <v>11200000</v>
      </c>
      <c r="N80" s="94">
        <f>Agustus!R80</f>
        <v>0</v>
      </c>
      <c r="O80" s="99">
        <f t="shared" si="9"/>
        <v>0</v>
      </c>
      <c r="P80" s="26">
        <v>8690000</v>
      </c>
      <c r="Q80" s="99">
        <f t="shared" si="10"/>
        <v>77.589285714285722</v>
      </c>
      <c r="R80" s="98">
        <f>N80+P80</f>
        <v>8690000</v>
      </c>
      <c r="S80" s="99">
        <f t="shared" si="11"/>
        <v>77.589285714285722</v>
      </c>
      <c r="T80" s="100">
        <f>4/4*100</f>
        <v>100</v>
      </c>
      <c r="U80" s="10"/>
      <c r="V80" s="10"/>
      <c r="W80" s="133"/>
    </row>
    <row r="81" spans="1:23" ht="15" customHeight="1" x14ac:dyDescent="0.25">
      <c r="A81" s="6"/>
      <c r="B81" s="7"/>
      <c r="C81" s="7"/>
      <c r="D81" s="6"/>
      <c r="E81" s="6"/>
      <c r="F81" s="48"/>
      <c r="G81" s="48"/>
      <c r="H81" s="48"/>
      <c r="I81" s="55"/>
      <c r="J81" s="55" t="s">
        <v>17</v>
      </c>
      <c r="K81" s="78" t="s">
        <v>115</v>
      </c>
      <c r="L81" s="10"/>
      <c r="M81" s="97">
        <v>1000000</v>
      </c>
      <c r="N81" s="94">
        <f>Agustus!R81</f>
        <v>0</v>
      </c>
      <c r="O81" s="99">
        <f t="shared" si="9"/>
        <v>0</v>
      </c>
      <c r="P81" s="26"/>
      <c r="Q81" s="95">
        <f t="shared" si="10"/>
        <v>0</v>
      </c>
      <c r="R81" s="98">
        <f>N81+P81</f>
        <v>0</v>
      </c>
      <c r="S81" s="95">
        <f t="shared" si="11"/>
        <v>0</v>
      </c>
      <c r="T81" s="100">
        <f>0/1*100</f>
        <v>0</v>
      </c>
      <c r="U81" s="10"/>
      <c r="V81" s="10"/>
      <c r="W81" s="133"/>
    </row>
    <row r="82" spans="1:23" ht="9.9499999999999993" customHeight="1" x14ac:dyDescent="0.25">
      <c r="A82" s="8"/>
      <c r="B82" s="9"/>
      <c r="C82" s="9"/>
      <c r="D82" s="8"/>
      <c r="E82" s="8"/>
      <c r="F82" s="42"/>
      <c r="G82" s="42"/>
      <c r="H82" s="42"/>
      <c r="I82" s="55"/>
      <c r="J82" s="55"/>
      <c r="K82" s="78"/>
      <c r="L82" s="10"/>
      <c r="M82" s="97"/>
      <c r="N82" s="94">
        <f>Agustus!R82</f>
        <v>0</v>
      </c>
      <c r="O82" s="99"/>
      <c r="P82" s="26"/>
      <c r="Q82" s="95"/>
      <c r="R82" s="98"/>
      <c r="S82" s="95"/>
      <c r="T82" s="100"/>
      <c r="U82" s="10"/>
      <c r="V82" s="10"/>
      <c r="W82" s="133"/>
    </row>
    <row r="83" spans="1:23" s="174" customFormat="1" ht="27.95" customHeight="1" x14ac:dyDescent="0.25">
      <c r="A83" s="8">
        <v>1</v>
      </c>
      <c r="B83" s="9" t="s">
        <v>17</v>
      </c>
      <c r="C83" s="9" t="s">
        <v>18</v>
      </c>
      <c r="D83" s="8">
        <v>38</v>
      </c>
      <c r="E83" s="8">
        <v>14</v>
      </c>
      <c r="F83" s="42" t="s">
        <v>21</v>
      </c>
      <c r="G83" s="42" t="s">
        <v>22</v>
      </c>
      <c r="H83" s="42" t="s">
        <v>24</v>
      </c>
      <c r="I83" s="60" t="s">
        <v>78</v>
      </c>
      <c r="J83" s="60"/>
      <c r="K83" s="79" t="s">
        <v>116</v>
      </c>
      <c r="L83" s="127"/>
      <c r="M83" s="103">
        <f>M84</f>
        <v>26000000</v>
      </c>
      <c r="N83" s="94">
        <f>Agustus!R83</f>
        <v>0</v>
      </c>
      <c r="O83" s="95">
        <f t="shared" si="9"/>
        <v>0</v>
      </c>
      <c r="P83" s="147">
        <f>P84</f>
        <v>0</v>
      </c>
      <c r="Q83" s="95">
        <f t="shared" si="10"/>
        <v>0</v>
      </c>
      <c r="R83" s="104">
        <f>R84</f>
        <v>0</v>
      </c>
      <c r="S83" s="95">
        <f t="shared" si="11"/>
        <v>0</v>
      </c>
      <c r="T83" s="96">
        <f>T84</f>
        <v>0</v>
      </c>
      <c r="U83" s="127"/>
      <c r="V83" s="127"/>
      <c r="W83" s="173"/>
    </row>
    <row r="84" spans="1:23" ht="15" customHeight="1" x14ac:dyDescent="0.25">
      <c r="A84" s="6"/>
      <c r="B84" s="7"/>
      <c r="C84" s="7"/>
      <c r="D84" s="6"/>
      <c r="E84" s="6"/>
      <c r="F84" s="48"/>
      <c r="G84" s="48"/>
      <c r="H84" s="48"/>
      <c r="I84" s="55"/>
      <c r="J84" s="55" t="s">
        <v>117</v>
      </c>
      <c r="K84" s="78" t="s">
        <v>118</v>
      </c>
      <c r="L84" s="10"/>
      <c r="M84" s="97">
        <v>26000000</v>
      </c>
      <c r="N84" s="94">
        <f>Agustus!R84</f>
        <v>0</v>
      </c>
      <c r="O84" s="99">
        <f t="shared" si="9"/>
        <v>0</v>
      </c>
      <c r="P84" s="26"/>
      <c r="Q84" s="95">
        <f t="shared" si="10"/>
        <v>0</v>
      </c>
      <c r="R84" s="98">
        <f>N84+P84</f>
        <v>0</v>
      </c>
      <c r="S84" s="95">
        <f t="shared" si="11"/>
        <v>0</v>
      </c>
      <c r="T84" s="100">
        <f>0/2*100</f>
        <v>0</v>
      </c>
      <c r="U84" s="10"/>
      <c r="V84" s="10"/>
      <c r="W84" s="133"/>
    </row>
    <row r="85" spans="1:23" ht="9.9499999999999993" customHeight="1" x14ac:dyDescent="0.25">
      <c r="A85" s="8"/>
      <c r="B85" s="9"/>
      <c r="C85" s="9"/>
      <c r="D85" s="8"/>
      <c r="E85" s="8"/>
      <c r="F85" s="42"/>
      <c r="G85" s="42"/>
      <c r="H85" s="42"/>
      <c r="I85" s="55"/>
      <c r="J85" s="55"/>
      <c r="K85" s="78"/>
      <c r="L85" s="10"/>
      <c r="M85" s="97"/>
      <c r="N85" s="94">
        <f>Agustus!R85</f>
        <v>0</v>
      </c>
      <c r="O85" s="99"/>
      <c r="P85" s="26"/>
      <c r="Q85" s="95"/>
      <c r="R85" s="98"/>
      <c r="S85" s="95"/>
      <c r="T85" s="100"/>
      <c r="U85" s="10"/>
      <c r="V85" s="10"/>
      <c r="W85" s="133"/>
    </row>
    <row r="86" spans="1:23" s="174" customFormat="1" ht="27.95" customHeight="1" x14ac:dyDescent="0.25">
      <c r="A86" s="8">
        <v>1</v>
      </c>
      <c r="B86" s="9" t="s">
        <v>17</v>
      </c>
      <c r="C86" s="9" t="s">
        <v>18</v>
      </c>
      <c r="D86" s="8">
        <v>38</v>
      </c>
      <c r="E86" s="8">
        <v>14</v>
      </c>
      <c r="F86" s="42" t="s">
        <v>21</v>
      </c>
      <c r="G86" s="42" t="s">
        <v>22</v>
      </c>
      <c r="H86" s="42" t="s">
        <v>24</v>
      </c>
      <c r="I86" s="60" t="s">
        <v>119</v>
      </c>
      <c r="J86" s="60"/>
      <c r="K86" s="79" t="s">
        <v>120</v>
      </c>
      <c r="L86" s="127"/>
      <c r="M86" s="103">
        <f>M87</f>
        <v>14000000</v>
      </c>
      <c r="N86" s="94">
        <f>Agustus!R86</f>
        <v>12180000</v>
      </c>
      <c r="O86" s="95">
        <f t="shared" si="9"/>
        <v>87</v>
      </c>
      <c r="P86" s="147">
        <f>P87</f>
        <v>0</v>
      </c>
      <c r="Q86" s="95">
        <f t="shared" si="10"/>
        <v>0</v>
      </c>
      <c r="R86" s="104">
        <f>R87</f>
        <v>12180000</v>
      </c>
      <c r="S86" s="95">
        <f t="shared" si="11"/>
        <v>87</v>
      </c>
      <c r="T86" s="96">
        <f>T87</f>
        <v>100</v>
      </c>
      <c r="U86" s="127"/>
      <c r="V86" s="127"/>
      <c r="W86" s="173"/>
    </row>
    <row r="87" spans="1:23" ht="15" customHeight="1" x14ac:dyDescent="0.25">
      <c r="A87" s="6"/>
      <c r="B87" s="7"/>
      <c r="C87" s="7"/>
      <c r="D87" s="6"/>
      <c r="E87" s="6"/>
      <c r="F87" s="157"/>
      <c r="G87" s="157"/>
      <c r="H87" s="157"/>
      <c r="I87" s="48"/>
      <c r="J87" s="48" t="s">
        <v>17</v>
      </c>
      <c r="K87" s="78" t="s">
        <v>121</v>
      </c>
      <c r="L87" s="10"/>
      <c r="M87" s="107">
        <v>14000000</v>
      </c>
      <c r="N87" s="94">
        <f>Agustus!R87</f>
        <v>12180000</v>
      </c>
      <c r="O87" s="99">
        <f t="shared" si="9"/>
        <v>87</v>
      </c>
      <c r="P87" s="108"/>
      <c r="Q87" s="99">
        <f t="shared" si="10"/>
        <v>0</v>
      </c>
      <c r="R87" s="108">
        <f>N87+P87</f>
        <v>12180000</v>
      </c>
      <c r="S87" s="99">
        <f t="shared" si="11"/>
        <v>87</v>
      </c>
      <c r="T87" s="100">
        <f>2/2*100</f>
        <v>100</v>
      </c>
      <c r="U87" s="10"/>
      <c r="V87" s="10"/>
      <c r="W87" s="133"/>
    </row>
    <row r="88" spans="1:23" ht="9.9499999999999993" customHeight="1" x14ac:dyDescent="0.25">
      <c r="A88" s="63"/>
      <c r="B88" s="63"/>
      <c r="C88" s="63"/>
      <c r="D88" s="63"/>
      <c r="E88" s="63"/>
      <c r="F88" s="42"/>
      <c r="G88" s="42"/>
      <c r="H88" s="42"/>
      <c r="I88" s="42"/>
      <c r="J88" s="65"/>
      <c r="K88" s="92"/>
      <c r="L88" s="10"/>
      <c r="M88" s="107"/>
      <c r="N88" s="94">
        <f>Agustus!R88</f>
        <v>0</v>
      </c>
      <c r="O88" s="99"/>
      <c r="P88" s="26"/>
      <c r="Q88" s="95"/>
      <c r="R88" s="108"/>
      <c r="S88" s="95"/>
      <c r="T88" s="100"/>
      <c r="U88" s="10"/>
      <c r="V88" s="10"/>
      <c r="W88" s="133"/>
    </row>
    <row r="89" spans="1:23" s="174" customFormat="1" ht="27.95" customHeight="1" x14ac:dyDescent="0.25">
      <c r="A89" s="8">
        <v>1</v>
      </c>
      <c r="B89" s="9" t="s">
        <v>17</v>
      </c>
      <c r="C89" s="9" t="s">
        <v>18</v>
      </c>
      <c r="D89" s="8">
        <v>38</v>
      </c>
      <c r="E89" s="8">
        <v>14</v>
      </c>
      <c r="F89" s="42" t="s">
        <v>21</v>
      </c>
      <c r="G89" s="42" t="s">
        <v>22</v>
      </c>
      <c r="H89" s="42" t="s">
        <v>24</v>
      </c>
      <c r="I89" s="42" t="s">
        <v>122</v>
      </c>
      <c r="J89" s="71"/>
      <c r="K89" s="150" t="s">
        <v>123</v>
      </c>
      <c r="L89" s="127"/>
      <c r="M89" s="105">
        <f>M90</f>
        <v>9000000</v>
      </c>
      <c r="N89" s="94">
        <f>Agustus!R89</f>
        <v>7740000</v>
      </c>
      <c r="O89" s="95">
        <f t="shared" si="9"/>
        <v>86</v>
      </c>
      <c r="P89" s="147">
        <f>P90</f>
        <v>0</v>
      </c>
      <c r="Q89" s="95">
        <f t="shared" si="10"/>
        <v>0</v>
      </c>
      <c r="R89" s="106">
        <f>R90</f>
        <v>7740000</v>
      </c>
      <c r="S89" s="95">
        <f t="shared" si="11"/>
        <v>86</v>
      </c>
      <c r="T89" s="96">
        <f>T90</f>
        <v>100</v>
      </c>
      <c r="U89" s="127"/>
      <c r="V89" s="127"/>
      <c r="W89" s="173"/>
    </row>
    <row r="90" spans="1:23" ht="15" customHeight="1" x14ac:dyDescent="0.25">
      <c r="A90" s="63"/>
      <c r="B90" s="63"/>
      <c r="C90" s="63"/>
      <c r="D90" s="63"/>
      <c r="E90" s="63"/>
      <c r="F90" s="48"/>
      <c r="G90" s="48"/>
      <c r="H90" s="48"/>
      <c r="I90" s="48"/>
      <c r="J90" s="65" t="s">
        <v>34</v>
      </c>
      <c r="K90" s="92" t="s">
        <v>124</v>
      </c>
      <c r="L90" s="10"/>
      <c r="M90" s="107">
        <v>9000000</v>
      </c>
      <c r="N90" s="94">
        <f>Agustus!R90</f>
        <v>7740000</v>
      </c>
      <c r="O90" s="99">
        <f t="shared" si="9"/>
        <v>86</v>
      </c>
      <c r="P90" s="26"/>
      <c r="Q90" s="99">
        <f t="shared" si="10"/>
        <v>0</v>
      </c>
      <c r="R90" s="108">
        <f>N90+P90</f>
        <v>7740000</v>
      </c>
      <c r="S90" s="99">
        <f t="shared" si="11"/>
        <v>86</v>
      </c>
      <c r="T90" s="100">
        <f>3/3*100</f>
        <v>100</v>
      </c>
      <c r="U90" s="10"/>
      <c r="V90" s="10"/>
      <c r="W90" s="133"/>
    </row>
    <row r="91" spans="1:23" ht="9.9499999999999993" customHeight="1" x14ac:dyDescent="0.25">
      <c r="A91" s="63"/>
      <c r="B91" s="63"/>
      <c r="C91" s="63"/>
      <c r="D91" s="63"/>
      <c r="E91" s="63"/>
      <c r="F91" s="42"/>
      <c r="G91" s="42"/>
      <c r="H91" s="42"/>
      <c r="I91" s="42"/>
      <c r="J91" s="65"/>
      <c r="K91" s="92"/>
      <c r="L91" s="10"/>
      <c r="M91" s="107"/>
      <c r="N91" s="94"/>
      <c r="O91" s="99"/>
      <c r="P91" s="26"/>
      <c r="Q91" s="99"/>
      <c r="R91" s="108"/>
      <c r="S91" s="99"/>
      <c r="T91" s="100"/>
      <c r="U91" s="10"/>
      <c r="V91" s="10"/>
      <c r="W91" s="133"/>
    </row>
    <row r="92" spans="1:23" x14ac:dyDescent="0.25">
      <c r="A92" s="171"/>
      <c r="B92" s="171"/>
      <c r="C92" s="171"/>
      <c r="D92" s="171"/>
      <c r="E92" s="171"/>
      <c r="F92" s="171"/>
      <c r="G92" s="171"/>
      <c r="H92" s="171"/>
      <c r="I92" s="171"/>
      <c r="J92" s="171"/>
      <c r="K92" s="171"/>
      <c r="L92" s="171"/>
      <c r="M92" s="175"/>
      <c r="N92" s="171"/>
      <c r="O92" s="171"/>
      <c r="P92" s="171"/>
      <c r="Q92" s="171"/>
      <c r="R92" s="171"/>
      <c r="S92" s="171"/>
      <c r="T92" s="171"/>
      <c r="U92" s="171"/>
      <c r="V92" s="171"/>
      <c r="W92" s="171"/>
    </row>
    <row r="93" spans="1:23" x14ac:dyDescent="0.25">
      <c r="A93" s="171"/>
      <c r="B93" s="171"/>
      <c r="C93" s="171"/>
      <c r="D93" s="171"/>
      <c r="E93" s="171"/>
      <c r="F93" s="171"/>
      <c r="G93" s="171"/>
      <c r="H93" s="171"/>
      <c r="I93" s="171"/>
      <c r="J93" s="171"/>
      <c r="K93" s="171"/>
      <c r="L93" s="171"/>
      <c r="M93" s="175"/>
      <c r="N93" s="171"/>
      <c r="O93" s="171"/>
      <c r="P93" s="192" t="s">
        <v>134</v>
      </c>
      <c r="Q93" s="192"/>
      <c r="R93" s="192"/>
      <c r="S93" s="192"/>
      <c r="T93" s="192"/>
      <c r="U93" s="192"/>
      <c r="V93" s="192"/>
      <c r="W93" s="176"/>
    </row>
    <row r="94" spans="1:23" x14ac:dyDescent="0.25">
      <c r="A94" s="171"/>
      <c r="B94" s="171"/>
      <c r="C94" s="171"/>
      <c r="D94" s="171"/>
      <c r="E94" s="171"/>
      <c r="F94" s="171"/>
      <c r="G94" s="171"/>
      <c r="H94" s="171"/>
      <c r="I94" s="171"/>
      <c r="J94" s="171"/>
      <c r="K94" s="171"/>
      <c r="L94" s="171"/>
      <c r="M94" s="175"/>
      <c r="N94" s="171"/>
      <c r="O94" s="171"/>
      <c r="P94" s="192" t="s">
        <v>46</v>
      </c>
      <c r="Q94" s="192"/>
      <c r="R94" s="192"/>
      <c r="S94" s="192"/>
      <c r="T94" s="192"/>
      <c r="U94" s="192"/>
      <c r="V94" s="192"/>
      <c r="W94" s="176"/>
    </row>
    <row r="95" spans="1:23" x14ac:dyDescent="0.25">
      <c r="A95" s="171"/>
      <c r="B95" s="171"/>
      <c r="C95" s="171"/>
      <c r="D95" s="171"/>
      <c r="E95" s="171"/>
      <c r="F95" s="171"/>
      <c r="G95" s="171"/>
      <c r="H95" s="171"/>
      <c r="I95" s="171"/>
      <c r="J95" s="171"/>
      <c r="K95" s="171"/>
      <c r="L95" s="171"/>
      <c r="M95" s="175"/>
      <c r="N95" s="171"/>
      <c r="O95" s="171"/>
      <c r="P95" s="177"/>
      <c r="Q95" s="177"/>
      <c r="R95" s="177"/>
      <c r="S95" s="177"/>
      <c r="T95" s="177"/>
      <c r="U95" s="177"/>
      <c r="V95" s="177"/>
      <c r="W95" s="171"/>
    </row>
    <row r="96" spans="1:23" x14ac:dyDescent="0.25">
      <c r="A96" s="171"/>
      <c r="B96" s="171"/>
      <c r="C96" s="171"/>
      <c r="D96" s="171"/>
      <c r="E96" s="171"/>
      <c r="F96" s="171"/>
      <c r="G96" s="171"/>
      <c r="H96" s="171"/>
      <c r="I96" s="171"/>
      <c r="J96" s="171"/>
      <c r="K96" s="171"/>
      <c r="L96" s="171"/>
      <c r="M96" s="175"/>
      <c r="N96" s="171"/>
      <c r="O96" s="171"/>
      <c r="P96" s="177"/>
      <c r="Q96" s="177"/>
      <c r="R96" s="177"/>
      <c r="S96" s="177"/>
      <c r="T96" s="177"/>
      <c r="U96" s="177"/>
      <c r="V96" s="177"/>
      <c r="W96" s="171"/>
    </row>
    <row r="97" spans="1:23" x14ac:dyDescent="0.25">
      <c r="A97" s="171"/>
      <c r="B97" s="171"/>
      <c r="C97" s="171"/>
      <c r="D97" s="171"/>
      <c r="E97" s="171"/>
      <c r="F97" s="171"/>
      <c r="G97" s="171"/>
      <c r="H97" s="171"/>
      <c r="I97" s="171"/>
      <c r="J97" s="171"/>
      <c r="K97" s="171"/>
      <c r="L97" s="171"/>
      <c r="M97" s="175"/>
      <c r="N97" s="171"/>
      <c r="O97" s="171"/>
      <c r="P97" s="177"/>
      <c r="Q97" s="177"/>
      <c r="R97" s="177"/>
      <c r="S97" s="177"/>
      <c r="T97" s="177"/>
      <c r="U97" s="177"/>
      <c r="V97" s="177"/>
      <c r="W97" s="171"/>
    </row>
    <row r="98" spans="1:23" x14ac:dyDescent="0.25">
      <c r="A98" s="171"/>
      <c r="B98" s="171"/>
      <c r="C98" s="171"/>
      <c r="D98" s="171"/>
      <c r="E98" s="171"/>
      <c r="F98" s="171"/>
      <c r="G98" s="171"/>
      <c r="H98" s="171"/>
      <c r="I98" s="171"/>
      <c r="J98" s="171"/>
      <c r="K98" s="171"/>
      <c r="L98" s="171"/>
      <c r="M98" s="175"/>
      <c r="N98" s="171"/>
      <c r="O98" s="171"/>
      <c r="P98" s="177"/>
      <c r="Q98" s="177"/>
      <c r="R98" s="177"/>
      <c r="S98" s="177"/>
      <c r="T98" s="177"/>
      <c r="U98" s="177"/>
      <c r="V98" s="177"/>
      <c r="W98" s="171"/>
    </row>
    <row r="99" spans="1:23" x14ac:dyDescent="0.25">
      <c r="A99" s="171"/>
      <c r="B99" s="171"/>
      <c r="C99" s="171"/>
      <c r="D99" s="171"/>
      <c r="E99" s="171"/>
      <c r="F99" s="171"/>
      <c r="G99" s="171"/>
      <c r="H99" s="171"/>
      <c r="I99" s="171"/>
      <c r="J99" s="171"/>
      <c r="K99" s="171"/>
      <c r="L99" s="171"/>
      <c r="M99" s="175"/>
      <c r="N99" s="171"/>
      <c r="O99" s="171"/>
      <c r="P99" s="193" t="s">
        <v>70</v>
      </c>
      <c r="Q99" s="193"/>
      <c r="R99" s="193"/>
      <c r="S99" s="193"/>
      <c r="T99" s="193"/>
      <c r="U99" s="193"/>
      <c r="V99" s="193"/>
      <c r="W99" s="178"/>
    </row>
    <row r="100" spans="1:23" x14ac:dyDescent="0.25">
      <c r="A100" s="171"/>
      <c r="B100" s="171"/>
      <c r="C100" s="171"/>
      <c r="D100" s="171"/>
      <c r="E100" s="171"/>
      <c r="F100" s="171"/>
      <c r="G100" s="171"/>
      <c r="H100" s="171"/>
      <c r="I100" s="171"/>
      <c r="J100" s="171"/>
      <c r="K100" s="171"/>
      <c r="L100" s="171"/>
      <c r="M100" s="175"/>
      <c r="N100" s="171"/>
      <c r="O100" s="171"/>
      <c r="P100" s="189" t="s">
        <v>71</v>
      </c>
      <c r="Q100" s="189"/>
      <c r="R100" s="189"/>
      <c r="S100" s="189"/>
      <c r="T100" s="189"/>
      <c r="U100" s="189"/>
      <c r="V100" s="189"/>
      <c r="W100" s="179"/>
    </row>
  </sheetData>
  <mergeCells count="24"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T7"/>
    <mergeCell ref="N8:O8"/>
    <mergeCell ref="P8:Q8"/>
    <mergeCell ref="R8:S8"/>
    <mergeCell ref="P100:V100"/>
    <mergeCell ref="A10:J10"/>
    <mergeCell ref="L10:L11"/>
    <mergeCell ref="A11:J11"/>
    <mergeCell ref="P93:V93"/>
    <mergeCell ref="P94:V94"/>
    <mergeCell ref="P99:V99"/>
  </mergeCells>
  <pageMargins left="0.51181102362204722" right="0.39370078740157483" top="0.59055118110236227" bottom="0.19685039370078741" header="0.31496062992125984" footer="0.31496062992125984"/>
  <pageSetup paperSize="10000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23</vt:i4>
      </vt:variant>
    </vt:vector>
  </HeadingPairs>
  <TitlesOfParts>
    <vt:vector size="35" baseType="lpstr">
      <vt:lpstr>januari</vt:lpstr>
      <vt:lpstr>februari</vt:lpstr>
      <vt:lpstr>maret</vt:lpstr>
      <vt:lpstr>April</vt:lpstr>
      <vt:lpstr>Mei</vt:lpstr>
      <vt:lpstr>Juni</vt:lpstr>
      <vt:lpstr>Juli</vt:lpstr>
      <vt:lpstr>Agustus</vt:lpstr>
      <vt:lpstr>September</vt:lpstr>
      <vt:lpstr>Oktober</vt:lpstr>
      <vt:lpstr>Nopember</vt:lpstr>
      <vt:lpstr>Desember</vt:lpstr>
      <vt:lpstr>Agustus!Print_Area</vt:lpstr>
      <vt:lpstr>April!Print_Area</vt:lpstr>
      <vt:lpstr>Desember!Print_Area</vt:lpstr>
      <vt:lpstr>februari!Print_Area</vt:lpstr>
      <vt:lpstr>januari!Print_Area</vt:lpstr>
      <vt:lpstr>Juni!Print_Area</vt:lpstr>
      <vt:lpstr>maret!Print_Area</vt:lpstr>
      <vt:lpstr>Mei!Print_Area</vt:lpstr>
      <vt:lpstr>Nopember!Print_Area</vt:lpstr>
      <vt:lpstr>Oktober!Print_Area</vt:lpstr>
      <vt:lpstr>September!Print_Area</vt:lpstr>
      <vt:lpstr>Agustus!Print_Titles</vt:lpstr>
      <vt:lpstr>April!Print_Titles</vt:lpstr>
      <vt:lpstr>Desember!Print_Titles</vt:lpstr>
      <vt:lpstr>februari!Print_Titles</vt:lpstr>
      <vt:lpstr>januari!Print_Titles</vt:lpstr>
      <vt:lpstr>Juli!Print_Titles</vt:lpstr>
      <vt:lpstr>Juni!Print_Titles</vt:lpstr>
      <vt:lpstr>maret!Print_Titles</vt:lpstr>
      <vt:lpstr>Mei!Print_Titles</vt:lpstr>
      <vt:lpstr>Nopember!Print_Titles</vt:lpstr>
      <vt:lpstr>Oktober!Print_Titles</vt:lpstr>
      <vt:lpstr>September!Print_Titles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Hewlett-Packard Company</cp:lastModifiedBy>
  <cp:lastPrinted>2020-11-03T04:19:11Z</cp:lastPrinted>
  <dcterms:created xsi:type="dcterms:W3CDTF">2016-09-08T04:22:40Z</dcterms:created>
  <dcterms:modified xsi:type="dcterms:W3CDTF">2020-11-03T04:19:18Z</dcterms:modified>
</cp:coreProperties>
</file>