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135"/>
  </bookViews>
  <sheets>
    <sheet name="November 20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6" i="1" l="1"/>
  <c r="D165" i="1" s="1"/>
  <c r="D145" i="1" s="1"/>
  <c r="I164" i="1"/>
  <c r="J164" i="1" s="1"/>
  <c r="I163" i="1"/>
  <c r="J163" i="1" s="1"/>
  <c r="D163" i="1"/>
  <c r="D161" i="1"/>
  <c r="I160" i="1"/>
  <c r="I159" i="1"/>
  <c r="D159" i="1"/>
  <c r="J158" i="1"/>
  <c r="I158" i="1"/>
  <c r="I157" i="1"/>
  <c r="D157" i="1"/>
  <c r="J157" i="1" s="1"/>
  <c r="I156" i="1"/>
  <c r="J156" i="1" s="1"/>
  <c r="I155" i="1"/>
  <c r="J155" i="1" s="1"/>
  <c r="D155" i="1"/>
  <c r="I154" i="1"/>
  <c r="D154" i="1"/>
  <c r="J154" i="1" s="1"/>
  <c r="M152" i="1"/>
  <c r="L152" i="1"/>
  <c r="K152" i="1"/>
  <c r="J152" i="1"/>
  <c r="I152" i="1"/>
  <c r="H152" i="1"/>
  <c r="G152" i="1"/>
  <c r="F152" i="1"/>
  <c r="E152" i="1"/>
  <c r="D152" i="1"/>
  <c r="I150" i="1"/>
  <c r="J150" i="1" s="1"/>
  <c r="I149" i="1"/>
  <c r="J149" i="1" s="1"/>
  <c r="J148" i="1" s="1"/>
  <c r="E149" i="1"/>
  <c r="M148" i="1"/>
  <c r="L148" i="1"/>
  <c r="K148" i="1"/>
  <c r="I148" i="1"/>
  <c r="H148" i="1"/>
  <c r="G148" i="1"/>
  <c r="F148" i="1"/>
  <c r="E148" i="1"/>
  <c r="D148" i="1"/>
  <c r="D146" i="1"/>
  <c r="M145" i="1"/>
  <c r="L145" i="1"/>
  <c r="K145" i="1"/>
  <c r="I145" i="1"/>
  <c r="H145" i="1"/>
  <c r="G145" i="1"/>
  <c r="F145" i="1"/>
  <c r="E145" i="1"/>
  <c r="I144" i="1"/>
  <c r="J144" i="1" s="1"/>
  <c r="J143" i="1"/>
  <c r="I143" i="1"/>
  <c r="I142" i="1"/>
  <c r="J142" i="1" s="1"/>
  <c r="I141" i="1"/>
  <c r="J141" i="1" s="1"/>
  <c r="I140" i="1"/>
  <c r="J140" i="1" s="1"/>
  <c r="J139" i="1"/>
  <c r="I139" i="1"/>
  <c r="I138" i="1"/>
  <c r="I137" i="1" s="1"/>
  <c r="O138" i="1" s="1"/>
  <c r="H138" i="1"/>
  <c r="G138" i="1"/>
  <c r="F138" i="1"/>
  <c r="E138" i="1"/>
  <c r="E137" i="1" s="1"/>
  <c r="D138" i="1"/>
  <c r="H137" i="1"/>
  <c r="G137" i="1"/>
  <c r="F137" i="1"/>
  <c r="D137" i="1"/>
  <c r="I136" i="1"/>
  <c r="I135" i="1"/>
  <c r="J135" i="1" s="1"/>
  <c r="I134" i="1"/>
  <c r="J134" i="1" s="1"/>
  <c r="J133" i="1" s="1"/>
  <c r="E134" i="1"/>
  <c r="L133" i="1"/>
  <c r="I133" i="1"/>
  <c r="H133" i="1"/>
  <c r="G133" i="1"/>
  <c r="F133" i="1"/>
  <c r="E133" i="1"/>
  <c r="D133" i="1"/>
  <c r="I132" i="1"/>
  <c r="I131" i="1"/>
  <c r="I130" i="1" s="1"/>
  <c r="N130" i="1"/>
  <c r="M130" i="1"/>
  <c r="L130" i="1"/>
  <c r="K130" i="1"/>
  <c r="H130" i="1"/>
  <c r="G130" i="1"/>
  <c r="F130" i="1"/>
  <c r="E130" i="1"/>
  <c r="D130" i="1"/>
  <c r="J129" i="1"/>
  <c r="I129" i="1"/>
  <c r="I128" i="1"/>
  <c r="J128" i="1" s="1"/>
  <c r="J127" i="1"/>
  <c r="I127" i="1"/>
  <c r="I126" i="1"/>
  <c r="J126" i="1" s="1"/>
  <c r="J125" i="1" s="1"/>
  <c r="M125" i="1"/>
  <c r="L125" i="1"/>
  <c r="K125" i="1"/>
  <c r="I125" i="1"/>
  <c r="H125" i="1"/>
  <c r="G125" i="1"/>
  <c r="F125" i="1"/>
  <c r="E125" i="1"/>
  <c r="D125" i="1"/>
  <c r="P126" i="1" s="1"/>
  <c r="I124" i="1"/>
  <c r="I123" i="1"/>
  <c r="J123" i="1" s="1"/>
  <c r="J122" i="1" s="1"/>
  <c r="L122" i="1"/>
  <c r="I122" i="1"/>
  <c r="H122" i="1"/>
  <c r="G122" i="1"/>
  <c r="F122" i="1"/>
  <c r="E122" i="1"/>
  <c r="D122" i="1"/>
  <c r="I121" i="1"/>
  <c r="I119" i="1"/>
  <c r="M118" i="1"/>
  <c r="L118" i="1"/>
  <c r="H118" i="1"/>
  <c r="G118" i="1"/>
  <c r="F118" i="1"/>
  <c r="E118" i="1"/>
  <c r="I118" i="1" s="1"/>
  <c r="J118" i="1" s="1"/>
  <c r="D118" i="1"/>
  <c r="I117" i="1"/>
  <c r="J117" i="1" s="1"/>
  <c r="D117" i="1"/>
  <c r="I116" i="1"/>
  <c r="J116" i="1" s="1"/>
  <c r="D116" i="1"/>
  <c r="L115" i="1"/>
  <c r="H115" i="1"/>
  <c r="G115" i="1"/>
  <c r="F115" i="1"/>
  <c r="E115" i="1"/>
  <c r="I115" i="1" s="1"/>
  <c r="J115" i="1" s="1"/>
  <c r="D115" i="1"/>
  <c r="I114" i="1"/>
  <c r="J114" i="1" s="1"/>
  <c r="I113" i="1"/>
  <c r="J113" i="1" s="1"/>
  <c r="N112" i="1"/>
  <c r="M112" i="1"/>
  <c r="L112" i="1"/>
  <c r="I112" i="1"/>
  <c r="H112" i="1"/>
  <c r="G112" i="1"/>
  <c r="F112" i="1"/>
  <c r="E112" i="1"/>
  <c r="D112" i="1"/>
  <c r="E111" i="1"/>
  <c r="I111" i="1" s="1"/>
  <c r="M110" i="1"/>
  <c r="L110" i="1"/>
  <c r="K110" i="1"/>
  <c r="H110" i="1"/>
  <c r="G110" i="1"/>
  <c r="F110" i="1"/>
  <c r="E110" i="1"/>
  <c r="D110" i="1"/>
  <c r="I109" i="1"/>
  <c r="J109" i="1" s="1"/>
  <c r="I108" i="1"/>
  <c r="J108" i="1" s="1"/>
  <c r="D108" i="1"/>
  <c r="J107" i="1"/>
  <c r="I107" i="1"/>
  <c r="T106" i="1"/>
  <c r="I106" i="1"/>
  <c r="J106" i="1" s="1"/>
  <c r="D106" i="1"/>
  <c r="P105" i="1"/>
  <c r="I105" i="1"/>
  <c r="J105" i="1" s="1"/>
  <c r="P104" i="1"/>
  <c r="J104" i="1"/>
  <c r="I104" i="1"/>
  <c r="D104" i="1"/>
  <c r="P103" i="1"/>
  <c r="J103" i="1"/>
  <c r="I103" i="1"/>
  <c r="P102" i="1"/>
  <c r="M102" i="1"/>
  <c r="J102" i="1"/>
  <c r="I102" i="1"/>
  <c r="H102" i="1"/>
  <c r="G102" i="1"/>
  <c r="F102" i="1"/>
  <c r="E102" i="1"/>
  <c r="D102" i="1"/>
  <c r="P101" i="1"/>
  <c r="J101" i="1"/>
  <c r="J100" i="1" s="1"/>
  <c r="I101" i="1"/>
  <c r="P100" i="1"/>
  <c r="M100" i="1"/>
  <c r="L100" i="1"/>
  <c r="L99" i="1" s="1"/>
  <c r="L22" i="1" s="1"/>
  <c r="L15" i="1" s="1"/>
  <c r="K100" i="1"/>
  <c r="I100" i="1"/>
  <c r="H100" i="1"/>
  <c r="H99" i="1" s="1"/>
  <c r="H22" i="1" s="1"/>
  <c r="H15" i="1" s="1"/>
  <c r="H13" i="1" s="1"/>
  <c r="H11" i="1" s="1"/>
  <c r="H10" i="1" s="1"/>
  <c r="G100" i="1"/>
  <c r="F100" i="1"/>
  <c r="E100" i="1"/>
  <c r="D100" i="1"/>
  <c r="D99" i="1" s="1"/>
  <c r="N99" i="1"/>
  <c r="M99" i="1"/>
  <c r="K99" i="1"/>
  <c r="G99" i="1"/>
  <c r="F99" i="1"/>
  <c r="E99" i="1"/>
  <c r="I98" i="1"/>
  <c r="J98" i="1" s="1"/>
  <c r="E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I82" i="1"/>
  <c r="D82" i="1"/>
  <c r="J82" i="1" s="1"/>
  <c r="I81" i="1"/>
  <c r="J81" i="1" s="1"/>
  <c r="I80" i="1"/>
  <c r="J80" i="1" s="1"/>
  <c r="I79" i="1"/>
  <c r="D79" i="1"/>
  <c r="J79" i="1" s="1"/>
  <c r="J78" i="1" s="1"/>
  <c r="M78" i="1"/>
  <c r="L78" i="1"/>
  <c r="K78" i="1"/>
  <c r="I78" i="1"/>
  <c r="O79" i="1" s="1"/>
  <c r="H78" i="1"/>
  <c r="G78" i="1"/>
  <c r="F78" i="1"/>
  <c r="E78" i="1"/>
  <c r="D78" i="1"/>
  <c r="I77" i="1"/>
  <c r="J77" i="1" s="1"/>
  <c r="I76" i="1"/>
  <c r="J76" i="1" s="1"/>
  <c r="H75" i="1"/>
  <c r="G75" i="1"/>
  <c r="F75" i="1"/>
  <c r="E75" i="1"/>
  <c r="I75" i="1" s="1"/>
  <c r="J75" i="1" s="1"/>
  <c r="D75" i="1"/>
  <c r="J74" i="1"/>
  <c r="I74" i="1"/>
  <c r="J73" i="1"/>
  <c r="I73" i="1"/>
  <c r="H72" i="1"/>
  <c r="G72" i="1"/>
  <c r="F72" i="1"/>
  <c r="E72" i="1"/>
  <c r="I72" i="1" s="1"/>
  <c r="J72" i="1" s="1"/>
  <c r="D72" i="1"/>
  <c r="I71" i="1"/>
  <c r="J71" i="1" s="1"/>
  <c r="I70" i="1"/>
  <c r="J70" i="1" s="1"/>
  <c r="E70" i="1"/>
  <c r="H69" i="1"/>
  <c r="G69" i="1"/>
  <c r="F69" i="1"/>
  <c r="E69" i="1"/>
  <c r="I69" i="1" s="1"/>
  <c r="D69" i="1"/>
  <c r="M68" i="1"/>
  <c r="L68" i="1"/>
  <c r="K68" i="1"/>
  <c r="H68" i="1"/>
  <c r="G68" i="1"/>
  <c r="F68" i="1"/>
  <c r="E68" i="1"/>
  <c r="D68" i="1"/>
  <c r="I67" i="1"/>
  <c r="J66" i="1"/>
  <c r="I66" i="1"/>
  <c r="J65" i="1"/>
  <c r="I65" i="1"/>
  <c r="I64" i="1"/>
  <c r="D64" i="1"/>
  <c r="J64" i="1" s="1"/>
  <c r="I63" i="1"/>
  <c r="I62" i="1"/>
  <c r="I61" i="1"/>
  <c r="J61" i="1" s="1"/>
  <c r="E61" i="1"/>
  <c r="J60" i="1"/>
  <c r="I60" i="1"/>
  <c r="E59" i="1"/>
  <c r="I59" i="1" s="1"/>
  <c r="J59" i="1" s="1"/>
  <c r="I58" i="1"/>
  <c r="I57" i="1" s="1"/>
  <c r="M57" i="1"/>
  <c r="L57" i="1"/>
  <c r="K57" i="1"/>
  <c r="H57" i="1"/>
  <c r="G57" i="1"/>
  <c r="F57" i="1"/>
  <c r="D57" i="1"/>
  <c r="I56" i="1"/>
  <c r="J56" i="1" s="1"/>
  <c r="E56" i="1"/>
  <c r="E55" i="1"/>
  <c r="E54" i="1" s="1"/>
  <c r="L54" i="1"/>
  <c r="H54" i="1"/>
  <c r="F54" i="1"/>
  <c r="D54" i="1"/>
  <c r="I53" i="1"/>
  <c r="J53" i="1" s="1"/>
  <c r="E53" i="1"/>
  <c r="L52" i="1"/>
  <c r="H52" i="1"/>
  <c r="G52" i="1"/>
  <c r="F52" i="1"/>
  <c r="D52" i="1"/>
  <c r="J51" i="1"/>
  <c r="I51" i="1"/>
  <c r="P50" i="1"/>
  <c r="J50" i="1"/>
  <c r="I50" i="1"/>
  <c r="O50" i="1" s="1"/>
  <c r="E49" i="1"/>
  <c r="I49" i="1" s="1"/>
  <c r="D49" i="1"/>
  <c r="I48" i="1"/>
  <c r="I47" i="1"/>
  <c r="J47" i="1" s="1"/>
  <c r="I46" i="1"/>
  <c r="J46" i="1" s="1"/>
  <c r="D46" i="1"/>
  <c r="N45" i="1"/>
  <c r="M45" i="1"/>
  <c r="L45" i="1"/>
  <c r="K45" i="1"/>
  <c r="H45" i="1"/>
  <c r="G45" i="1"/>
  <c r="F45" i="1"/>
  <c r="E45" i="1"/>
  <c r="D45" i="1"/>
  <c r="I44" i="1"/>
  <c r="J44" i="1" s="1"/>
  <c r="E43" i="1"/>
  <c r="I43" i="1" s="1"/>
  <c r="M42" i="1"/>
  <c r="L42" i="1"/>
  <c r="K42" i="1"/>
  <c r="H42" i="1"/>
  <c r="G42" i="1"/>
  <c r="F42" i="1"/>
  <c r="E42" i="1"/>
  <c r="D42" i="1"/>
  <c r="J41" i="1"/>
  <c r="I40" i="1"/>
  <c r="J40" i="1" s="1"/>
  <c r="I39" i="1"/>
  <c r="J39" i="1" s="1"/>
  <c r="D39" i="1"/>
  <c r="I38" i="1"/>
  <c r="J38" i="1" s="1"/>
  <c r="D38" i="1"/>
  <c r="E37" i="1"/>
  <c r="I37" i="1" s="1"/>
  <c r="I36" i="1"/>
  <c r="J36" i="1" s="1"/>
  <c r="M35" i="1"/>
  <c r="L35" i="1"/>
  <c r="K35" i="1"/>
  <c r="H35" i="1"/>
  <c r="G35" i="1"/>
  <c r="F35" i="1"/>
  <c r="E35" i="1"/>
  <c r="D35" i="1"/>
  <c r="I34" i="1"/>
  <c r="J34" i="1" s="1"/>
  <c r="E33" i="1"/>
  <c r="I33" i="1" s="1"/>
  <c r="J33" i="1" s="1"/>
  <c r="I32" i="1"/>
  <c r="J32" i="1" s="1"/>
  <c r="E31" i="1"/>
  <c r="I31" i="1" s="1"/>
  <c r="L30" i="1"/>
  <c r="K30" i="1"/>
  <c r="H30" i="1"/>
  <c r="F30" i="1"/>
  <c r="E30" i="1"/>
  <c r="D30" i="1"/>
  <c r="U29" i="1"/>
  <c r="I29" i="1"/>
  <c r="J29" i="1" s="1"/>
  <c r="E28" i="1"/>
  <c r="I28" i="1" s="1"/>
  <c r="J28" i="1" s="1"/>
  <c r="I27" i="1"/>
  <c r="J27" i="1" s="1"/>
  <c r="E26" i="1"/>
  <c r="I26" i="1" s="1"/>
  <c r="J26" i="1" s="1"/>
  <c r="E25" i="1"/>
  <c r="I25" i="1" s="1"/>
  <c r="I24" i="1"/>
  <c r="J24" i="1" s="1"/>
  <c r="M23" i="1"/>
  <c r="L23" i="1"/>
  <c r="H23" i="1"/>
  <c r="G23" i="1"/>
  <c r="F23" i="1"/>
  <c r="E23" i="1"/>
  <c r="D23" i="1"/>
  <c r="P24" i="1" s="1"/>
  <c r="M22" i="1"/>
  <c r="G22" i="1"/>
  <c r="P22" i="1" s="1"/>
  <c r="F22" i="1"/>
  <c r="I21" i="1"/>
  <c r="Q20" i="1"/>
  <c r="I20" i="1"/>
  <c r="J20" i="1" s="1"/>
  <c r="E20" i="1"/>
  <c r="Q19" i="1"/>
  <c r="M19" i="1"/>
  <c r="H19" i="1"/>
  <c r="G19" i="1"/>
  <c r="F19" i="1"/>
  <c r="F18" i="1" s="1"/>
  <c r="F14" i="1" s="1"/>
  <c r="F13" i="1" s="1"/>
  <c r="F11" i="1" s="1"/>
  <c r="F10" i="1" s="1"/>
  <c r="E19" i="1"/>
  <c r="I19" i="1" s="1"/>
  <c r="J19" i="1" s="1"/>
  <c r="D19" i="1"/>
  <c r="Q18" i="1"/>
  <c r="M18" i="1"/>
  <c r="H18" i="1"/>
  <c r="G18" i="1"/>
  <c r="E18" i="1"/>
  <c r="I18" i="1" s="1"/>
  <c r="J18" i="1" s="1"/>
  <c r="D18" i="1"/>
  <c r="I17" i="1"/>
  <c r="M16" i="1"/>
  <c r="L16" i="1"/>
  <c r="H16" i="1"/>
  <c r="G16" i="1"/>
  <c r="F16" i="1"/>
  <c r="E16" i="1"/>
  <c r="I16" i="1" s="1"/>
  <c r="M15" i="1"/>
  <c r="G15" i="1"/>
  <c r="F15" i="1"/>
  <c r="M14" i="1"/>
  <c r="H14" i="1"/>
  <c r="G14" i="1"/>
  <c r="E14" i="1"/>
  <c r="I14" i="1" s="1"/>
  <c r="D14" i="1"/>
  <c r="M13" i="1"/>
  <c r="G13" i="1"/>
  <c r="S26" i="1" s="1"/>
  <c r="Q10" i="1"/>
  <c r="O16" i="1" l="1"/>
  <c r="J37" i="1"/>
  <c r="I35" i="1"/>
  <c r="I54" i="1"/>
  <c r="J54" i="1" s="1"/>
  <c r="O14" i="1"/>
  <c r="J14" i="1"/>
  <c r="J111" i="1"/>
  <c r="J110" i="1" s="1"/>
  <c r="J99" i="1" s="1"/>
  <c r="I110" i="1"/>
  <c r="I99" i="1" s="1"/>
  <c r="Q98" i="1" s="1"/>
  <c r="J138" i="1"/>
  <c r="J137" i="1" s="1"/>
  <c r="I68" i="1"/>
  <c r="J69" i="1"/>
  <c r="J68" i="1" s="1"/>
  <c r="J25" i="1"/>
  <c r="I30" i="1"/>
  <c r="J31" i="1"/>
  <c r="J30" i="1" s="1"/>
  <c r="J35" i="1"/>
  <c r="I42" i="1"/>
  <c r="I23" i="1" s="1"/>
  <c r="J43" i="1"/>
  <c r="J42" i="1" s="1"/>
  <c r="I45" i="1"/>
  <c r="J49" i="1"/>
  <c r="J45" i="1" s="1"/>
  <c r="J145" i="1"/>
  <c r="O145" i="1"/>
  <c r="D16" i="1"/>
  <c r="J16" i="1" s="1"/>
  <c r="G11" i="1"/>
  <c r="Q25" i="1"/>
  <c r="I55" i="1"/>
  <c r="J55" i="1" s="1"/>
  <c r="J58" i="1"/>
  <c r="J57" i="1" s="1"/>
  <c r="J131" i="1"/>
  <c r="J130" i="1" s="1"/>
  <c r="P30" i="1"/>
  <c r="E57" i="1"/>
  <c r="E52" i="1" s="1"/>
  <c r="D63" i="1"/>
  <c r="D22" i="1" s="1"/>
  <c r="J23" i="1" l="1"/>
  <c r="Q38" i="1"/>
  <c r="D15" i="1"/>
  <c r="Q35" i="1"/>
  <c r="E22" i="1"/>
  <c r="E15" i="1" s="1"/>
  <c r="I52" i="1"/>
  <c r="G10" i="1"/>
  <c r="S10" i="1"/>
  <c r="T21" i="1"/>
  <c r="J63" i="1"/>
  <c r="D13" i="1" l="1"/>
  <c r="S22" i="1"/>
  <c r="O53" i="1"/>
  <c r="J52" i="1"/>
  <c r="E13" i="1"/>
  <c r="I15" i="1"/>
  <c r="I22" i="1"/>
  <c r="J22" i="1" s="1"/>
  <c r="T18" i="1" l="1"/>
  <c r="J15" i="1"/>
  <c r="O15" i="1"/>
  <c r="O17" i="1" s="1"/>
  <c r="I13" i="1"/>
  <c r="E11" i="1"/>
  <c r="E10" i="1" s="1"/>
  <c r="Q11" i="1"/>
  <c r="D11" i="1"/>
  <c r="D10" i="1" s="1"/>
  <c r="I11" i="1" l="1"/>
  <c r="J13" i="1"/>
  <c r="J11" i="1" s="1"/>
  <c r="J10" i="1" s="1"/>
  <c r="I10" i="1" l="1"/>
  <c r="P11" i="1"/>
</calcChain>
</file>

<file path=xl/comments1.xml><?xml version="1.0" encoding="utf-8"?>
<comments xmlns="http://schemas.openxmlformats.org/spreadsheetml/2006/main">
  <authors>
    <author>TU</author>
  </authors>
  <commentList>
    <comment ref="B96" authorId="0" shapeId="0">
      <text>
        <r>
          <rPr>
            <b/>
            <sz val="9"/>
            <color indexed="81"/>
            <rFont val="Tahoma"/>
            <family val="2"/>
          </rPr>
          <t>TU: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<sst xmlns="http://schemas.openxmlformats.org/spreadsheetml/2006/main" count="264" uniqueCount="241">
  <si>
    <t>REALISASI FISIK DAN KEUANGAN</t>
  </si>
  <si>
    <t>PROGRAM UPAYA KESEHATAN MASYARAKAT</t>
  </si>
  <si>
    <t>KEGIATAN PELAYANAN KESEHATAN DASAR JAMINAN KESEHATAN NASIONAL DI PUSKESMAS CIPAGERAN (16.30)</t>
  </si>
  <si>
    <t>Bulan NOVEMBER Tahun 2020</t>
  </si>
  <si>
    <t>KODE REKENING</t>
  </si>
  <si>
    <t>KEGIATAN</t>
  </si>
  <si>
    <t>LOKASI</t>
  </si>
  <si>
    <t>PAGU ANGGARAN (Rp)</t>
  </si>
  <si>
    <t>REALISASI</t>
  </si>
  <si>
    <t>KENDALA/HAMBATAN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</si>
  <si>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</si>
  <si>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</si>
  <si>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</si>
  <si>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</si>
  <si>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</si>
  <si>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</si>
  <si>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</si>
  <si>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</si>
  <si>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Rp.</t>
  </si>
  <si>
    <t>1.02.01.16</t>
  </si>
  <si>
    <t>.</t>
  </si>
  <si>
    <t>1.02.01.16.30</t>
  </si>
  <si>
    <t>PELAYANAN KESEHATAN DASAR JAMINAN KESEHATAN NASIONAL DI PUSKESMAS CIPAGERAN</t>
  </si>
  <si>
    <t>CIPAGERAN</t>
  </si>
  <si>
    <t>1.02.01.16.30.5.2</t>
  </si>
  <si>
    <t>BELANJA LANGSUNG</t>
  </si>
  <si>
    <t>1.02.01.16.30.5.2.1</t>
  </si>
  <si>
    <t>BELANJA PEGAWAI</t>
  </si>
  <si>
    <t>1.02.01.16.30.5.2.2</t>
  </si>
  <si>
    <t>BELANJA BARANG DAN JASA</t>
  </si>
  <si>
    <t>1.02.01.16.30.5.2.3</t>
  </si>
  <si>
    <t>BELANJA MODAL</t>
  </si>
  <si>
    <t>1.02.01.16.30.5.2.1.08</t>
  </si>
  <si>
    <t>JASA PELAYANAN</t>
  </si>
  <si>
    <t>puskesmas Cipageran</t>
  </si>
  <si>
    <t>1.02.01.16.30.5.2.1.08.01</t>
  </si>
  <si>
    <t xml:space="preserve">jasa pelayanan kesehatan JKN untuk puskesmas </t>
  </si>
  <si>
    <t>1.02.01.16.30.5.2.2.01</t>
  </si>
  <si>
    <t>BELANJA BAHAN HABIS PAKAI</t>
  </si>
  <si>
    <t>1.02.01.16.30.5.2.2.01.01</t>
  </si>
  <si>
    <t>Belanja Alat Tulis Kantor</t>
  </si>
  <si>
    <t>puskesmas cipageran</t>
  </si>
  <si>
    <t>1.02.01.16.30.5.2.2.01.03</t>
  </si>
  <si>
    <t>Belanja Alat Listrik dan Elektronik</t>
  </si>
  <si>
    <t>1.02.01.16.30.5.2.2.01.04</t>
  </si>
  <si>
    <t>Belanja Meterai dan benda pos lainnya</t>
  </si>
  <si>
    <t>PT POS Indonesia</t>
  </si>
  <si>
    <t>1.02.01.16.30.5.2.2.01.05</t>
  </si>
  <si>
    <t>Belanja peralatan kebersiahan dan bahan pembersih</t>
  </si>
  <si>
    <t>1.02.01.16.30.5.2.2.01.07</t>
  </si>
  <si>
    <t>belanja pengisian tabung pemadam kebakaran</t>
  </si>
  <si>
    <t>1.02.01.16 30 5 2 2 01 08</t>
  </si>
  <si>
    <t>belanja pengisian tabung gas</t>
  </si>
  <si>
    <t>1.02.01.16 30 5 2 2 01 10</t>
  </si>
  <si>
    <t>belanja BBM dan Pelumas kendaraan</t>
  </si>
  <si>
    <t>BBM Mobil Ambulance</t>
  </si>
  <si>
    <t>BBM Motor Dinas</t>
  </si>
  <si>
    <t>Pelumas Mobil Ambulance</t>
  </si>
  <si>
    <t>Pelumas Motor Dinas</t>
  </si>
  <si>
    <t>1.02.01.16 30 5 2 2 01 11</t>
  </si>
  <si>
    <t>bahan kebutuhan medis habis pakai</t>
  </si>
  <si>
    <t>Bahan Medis Puskesmas</t>
  </si>
  <si>
    <t>Belanja Reagen</t>
  </si>
  <si>
    <t>1.02.01.16 30 5 2 2 01 12</t>
  </si>
  <si>
    <t>Bahan Pakai Habis Peralatan rumah Tangga</t>
  </si>
  <si>
    <t>Gelas Minum</t>
  </si>
  <si>
    <t>Kantok Plastik sampah</t>
  </si>
  <si>
    <t>1.02.01.16.30.5.2.2.01.15</t>
  </si>
  <si>
    <t>Belanja Cinderamata</t>
  </si>
  <si>
    <t>1.02.01.16.30.5.2.2.01.16</t>
  </si>
  <si>
    <t>belanja dokumentasi dan periklanan</t>
  </si>
  <si>
    <t>Cetak spanduk promkes/cetak brosur</t>
  </si>
  <si>
    <t>Cetak leaflet kesehatan</t>
  </si>
  <si>
    <t>1.02.01.16.01.5.2.2.02</t>
  </si>
  <si>
    <t>BELANJA BAHAN/ MATERIAL</t>
  </si>
  <si>
    <t>1.02.01.16.30.5.2.2.02.04</t>
  </si>
  <si>
    <t>belanja obat-obatan</t>
  </si>
  <si>
    <t>Belanja obat-obatan untuk pasien jkn</t>
  </si>
  <si>
    <t>1.02.01.16.30.5.2.2.02.06</t>
  </si>
  <si>
    <t>Belanja bahan pokok/natura</t>
  </si>
  <si>
    <t>Belanja bahan pokok/natura(air mineral galon)</t>
  </si>
  <si>
    <t>Belanja Air Mineral gelas</t>
  </si>
  <si>
    <t>1.02.01.16.30.5.2.2.03</t>
  </si>
  <si>
    <t>BELANJA JASA KANTOR</t>
  </si>
  <si>
    <t>1.02.01.16.30.5.2.2.03.06</t>
  </si>
  <si>
    <t>Belanja kawat/faks/internet</t>
  </si>
  <si>
    <t>1.02.01.16.30.5.2.2.03.09</t>
  </si>
  <si>
    <t xml:space="preserve">belanja transaksi jasa keuangan </t>
  </si>
  <si>
    <t>Bank Jabar Banten</t>
  </si>
  <si>
    <t>Buku cek</t>
  </si>
  <si>
    <t>RTGS</t>
  </si>
  <si>
    <t>1.02.01.16.30.5.2.2.03.12</t>
  </si>
  <si>
    <t xml:space="preserve">Belanja Pemeliharaan </t>
  </si>
  <si>
    <t>Belanja Pemeliharaan AC( 4 unit)</t>
  </si>
  <si>
    <t>Belanja Pemeliharaan Komputer</t>
  </si>
  <si>
    <t>Belanja Pemeliharaan Sound System</t>
  </si>
  <si>
    <t>Belanja Pemeliharaan Printer</t>
  </si>
  <si>
    <t>1.02.01.16.30.5.2.2.04</t>
  </si>
  <si>
    <t>Belanja Premi Asuransi</t>
  </si>
  <si>
    <t>1.02.01.16.30.5.2.2.04.02</t>
  </si>
  <si>
    <t>Belanja Premi Asuransi BMD</t>
  </si>
  <si>
    <t>Asuransi Mobil Ambulance</t>
  </si>
  <si>
    <t>Asuransi Motor Dinas</t>
  </si>
  <si>
    <t>1.02.01.16.30.5.2.2.05</t>
  </si>
  <si>
    <t>Belanja Perawatan Kendaraan Bermotor</t>
  </si>
  <si>
    <t>1.02.01.16.30.5.2.2.05.01</t>
  </si>
  <si>
    <t>Belanja Jasa Service</t>
  </si>
  <si>
    <t>Service Mobil Ambulance</t>
  </si>
  <si>
    <t>Service Motor dinas</t>
  </si>
  <si>
    <t>1.02.01.16.30.5.2.2.05.02</t>
  </si>
  <si>
    <t>Belanja Suku Cadang</t>
  </si>
  <si>
    <t>Mobil Ambulance</t>
  </si>
  <si>
    <t>Motor dinas</t>
  </si>
  <si>
    <t>1.02.01.16.30.5.2.2.05.04</t>
  </si>
  <si>
    <t>Belanja Surat Tanda Nomor Kendaraan</t>
  </si>
  <si>
    <t>STNK Mobil Ambulance</t>
  </si>
  <si>
    <t>STNK Motor Dinas</t>
  </si>
  <si>
    <t>1.02.01.16.30.5.2.2.06</t>
  </si>
  <si>
    <t>BELANJA CETAK DAN PENGGANDAAN</t>
  </si>
  <si>
    <t>1.02.01.16.30.5.2.2.06.01</t>
  </si>
  <si>
    <t xml:space="preserve">Belanja Cetak </t>
  </si>
  <si>
    <t>Cetak kartu rekam medis kepesertaan jkn</t>
  </si>
  <si>
    <t>Cetak plastik obat 15 x 10 cm</t>
  </si>
  <si>
    <t>Cetak plastik obat 10 x 7 cm</t>
  </si>
  <si>
    <t>Cetak plastik obat 8 x 5 cm</t>
  </si>
  <si>
    <t>Cetak buku keterangan sakit</t>
  </si>
  <si>
    <t>Cetak buku resep</t>
  </si>
  <si>
    <t>Cetak kartu berobat pasien kepesertaan JKN</t>
  </si>
  <si>
    <t>Cetak buku KIA</t>
  </si>
  <si>
    <t>Buku lansia</t>
  </si>
  <si>
    <t>Cetak buku Visum Pegawai</t>
  </si>
  <si>
    <t>Buku Inform Consen</t>
  </si>
  <si>
    <t>Map Rekam Medis</t>
  </si>
  <si>
    <t>Cetak Kartu Kontrol</t>
  </si>
  <si>
    <t>Kettas Obat Puyer</t>
  </si>
  <si>
    <t>Buku Tanda Bukti Penerimaan</t>
  </si>
  <si>
    <t>Buku Surat Tanda Setoran</t>
  </si>
  <si>
    <t>Buku Rekap Laporan Penrimaa Pengeluaran</t>
  </si>
  <si>
    <t>Buku Surat Keterangan Sehat</t>
  </si>
  <si>
    <t>1.02.01.16.30.5.2.2.06.02</t>
  </si>
  <si>
    <t xml:space="preserve">Belanja penggandaan </t>
  </si>
  <si>
    <t>1.02.01.16.30.5.2.2.11</t>
  </si>
  <si>
    <t xml:space="preserve">BELANJA MAKANAN DAN MINUMAN   </t>
  </si>
  <si>
    <t>1.02.01.16.30.5.2.2.11.02</t>
  </si>
  <si>
    <t>FGD hipertensi program JKN</t>
  </si>
  <si>
    <t>Snack 15 org x 4 kali</t>
  </si>
  <si>
    <t>FGD DM program JKN</t>
  </si>
  <si>
    <t>FGD TB program JKN</t>
  </si>
  <si>
    <t>snack 15 org x 4 kl</t>
  </si>
  <si>
    <t>FGD Jiwa  program JKN</t>
  </si>
  <si>
    <t>FGD gizi puskesmas Cipageran</t>
  </si>
  <si>
    <t>Kegiatan Pengelolaan Penyakit Kronis (Prolanis)  JKN</t>
  </si>
  <si>
    <t>Snack 60 org x 12 kali</t>
  </si>
  <si>
    <t>Sosialisasi JKN</t>
  </si>
  <si>
    <t>snack 55 org x 1 kali</t>
  </si>
  <si>
    <t>makan 5 org x 1 kali</t>
  </si>
  <si>
    <t xml:space="preserve">Kegiatan HKN </t>
  </si>
  <si>
    <t>snack 30 org x 1 kali</t>
  </si>
  <si>
    <t>makan 30 org x 1 kali</t>
  </si>
  <si>
    <t>1.02.01.16.30.5.2.2.15</t>
  </si>
  <si>
    <t>Belanja Perjalanan Dinas</t>
  </si>
  <si>
    <t>1.02.01.16.30.5.2.2.15.02</t>
  </si>
  <si>
    <t>Belanja Perjalanan Dinas luar  Daerah</t>
  </si>
  <si>
    <t>1.02.01.16.30.5.2.2.17</t>
  </si>
  <si>
    <t>Belanja Kursus pelatihan,Sosialisasi dan bimbingan teknis PNS</t>
  </si>
  <si>
    <t>Belanja kusus singkat/pelatihan</t>
  </si>
  <si>
    <t>1.02.01.16.30.5.2.2.20</t>
  </si>
  <si>
    <t>BELANJA PEMELIHARAAN</t>
  </si>
  <si>
    <t>1.02.01.16.30.5.2.2.20.03</t>
  </si>
  <si>
    <t>Belanja pemeliharaan alat kesehatan</t>
  </si>
  <si>
    <t>1.02.01.16.30.5.2.2.20.04</t>
  </si>
  <si>
    <t>Belanja pemeliharaan gedung</t>
  </si>
  <si>
    <t>1.02.01.16.30.5.2.2.20.07</t>
  </si>
  <si>
    <t>Belanja Pemeliharaan IPAL</t>
  </si>
  <si>
    <t>1.02.01.16.30.5.2.2.20.10</t>
  </si>
  <si>
    <t>Belanja pemeliharaan jaringan WAN/LAN</t>
  </si>
  <si>
    <t>1.02.01.16.30.5.2.2.25</t>
  </si>
  <si>
    <t>Belanja Penyedia Jasa/Barang</t>
  </si>
  <si>
    <t>1.02.01.16.30.5.2.2.25.08</t>
  </si>
  <si>
    <t>Belanja Penyedia Jasa Pemeriksaan sampel</t>
  </si>
  <si>
    <t>1.02.01.16.30.5.2.2.31</t>
  </si>
  <si>
    <t>BELANJA JASA TENAGA AHLI,INSTRUKTUR/NARASUMBER/WIDYAISWARA</t>
  </si>
  <si>
    <t>1.02.01.16.30.5.2.2.31.02</t>
  </si>
  <si>
    <t>Honor Instruktur senam kegiatan Prolanis JKN 1 org x 12 kl</t>
  </si>
  <si>
    <t>1.02.01.16.30.5.2.2.31.03</t>
  </si>
  <si>
    <t>Jasa Narasumber/widyaiswara</t>
  </si>
  <si>
    <t>1.02.01.16.30.5.2.2.33</t>
  </si>
  <si>
    <t>BELANJA  JASA PESERTA KEGIATAN</t>
  </si>
  <si>
    <t>1.02.01.16.30.5.2.2.33.01</t>
  </si>
  <si>
    <t>Jasa peserta kegiatan non PNS</t>
  </si>
  <si>
    <t>Uang saku Peserta FGD Hipertensi program JKN 15 org x 4 kl</t>
  </si>
  <si>
    <t>Uang saku Peserta FGD DM program JKN 15 org x 4kali</t>
  </si>
  <si>
    <t>Uang saku Peserta FGD TB Program JKN15 org x 4kali</t>
  </si>
  <si>
    <t>Uang saku Peserta FGD Jiwa  Program JKN 15 org x 4kali</t>
  </si>
  <si>
    <t>uang saku peserta FGD gizi program JKN 15 org x 4 kl</t>
  </si>
  <si>
    <t>Uang saku peserta sosialisasi JKN 50 org x 1 kl</t>
  </si>
  <si>
    <t>1.02.01.16.30.5.2.16</t>
  </si>
  <si>
    <t>Peralatan dan Mesin Alat Kantor</t>
  </si>
  <si>
    <t>Alat Penyimpanan Perlengkapan kantor</t>
  </si>
  <si>
    <t>1.02.01.16.30.5.2.3.17.</t>
  </si>
  <si>
    <t>BelanjaPeralatan dan mesin- Alat  Rumah Tangga</t>
  </si>
  <si>
    <t>1.02.01.16.30.5.2.3.17.01</t>
  </si>
  <si>
    <t>Meubel air</t>
  </si>
  <si>
    <t>1.02.01.16.30.5.2.3.17.04</t>
  </si>
  <si>
    <t>Alat Pendingin (kulkas)</t>
  </si>
  <si>
    <t>1.02.01.16.30.5.2.3.17.06</t>
  </si>
  <si>
    <t>Home Use</t>
  </si>
  <si>
    <t>1.02.01.16.30.5.2.3.18</t>
  </si>
  <si>
    <t>Peralatan dan Mesin-Meja dan Kursi Kerja/Rapat Pejabat</t>
  </si>
  <si>
    <t>1.02.01.16.30.5.2.3.18.03</t>
  </si>
  <si>
    <t>Kursi Kerja Pejabat</t>
  </si>
  <si>
    <t>1.02.01.16.30.5.2.3.23</t>
  </si>
  <si>
    <t>BELANJA MODAL PERALATAN DAN MESIN ALAT-ALAT KEDOKTERAN</t>
  </si>
  <si>
    <t>1.02.01.16.30.5.2.3.23.01</t>
  </si>
  <si>
    <t>Bekanja modal pengadaan alat kedokteran umum</t>
  </si>
  <si>
    <t xml:space="preserve">Kedokteran Umum </t>
  </si>
  <si>
    <t>1.02.01.16.30.5.2.3.23.02</t>
  </si>
  <si>
    <t>Bekanja modal pengadaan alat kedokteran gigi</t>
  </si>
  <si>
    <t xml:space="preserve">Kedokteran Gigi </t>
  </si>
  <si>
    <t>1.02.01.16.30.5.2.3.34.07</t>
  </si>
  <si>
    <t>Bekanja modal pengadaan alat farmasi</t>
  </si>
  <si>
    <t>Alat farmasi</t>
  </si>
  <si>
    <t>1.02.01.16.30.5.2.3.38</t>
  </si>
  <si>
    <t>BELANJA MODAL PERALATAN DAN MESIN - KOMPUTER Unit</t>
  </si>
  <si>
    <t>1.02.01.16.30.5.2.3.38.02</t>
  </si>
  <si>
    <t>Personal Komputer</t>
  </si>
  <si>
    <t>1.02.01.16.30.5.2.3.39</t>
  </si>
  <si>
    <t>BELANJA MODAL PERALATAN DAN MESIN - PERALATAN KOMPUTER</t>
  </si>
  <si>
    <t>1.02.01.16.30.5.2.3.36.20</t>
  </si>
  <si>
    <t>Peralatan Jaringan LAN/WAN/SWITCH GIGBT 40 port</t>
  </si>
  <si>
    <t>1.02.01.16.30.5.2.3.59</t>
  </si>
  <si>
    <t>Belanja Modal Gedung dan Bangunan-Bangunan Gedung Tempat Kerja</t>
  </si>
  <si>
    <t>1.02.01.16.30.5.2.3.59.37</t>
  </si>
  <si>
    <t>Bangunan Gedung tempat Kerja lainnya-</t>
  </si>
  <si>
    <t>Teralis Pintu Puskesmas</t>
  </si>
  <si>
    <t>Cat : Kode Rekening Belanja di sesuaikan dengan Kode Rekening Belanja Di DPA masing - masing</t>
  </si>
  <si>
    <t>Cimahi,    November 2020</t>
  </si>
  <si>
    <t>PEJABAT PELAKSANA TEKNIS KEGIATAN</t>
  </si>
  <si>
    <t>DEDI SUHENDAR, S.Sos. M.Si</t>
  </si>
  <si>
    <t xml:space="preserve"> </t>
  </si>
  <si>
    <t>NIP. 197008242008011002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</si>
</sst>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_);_(@_)"/>
    <numFmt numFmtId="167" formatCode="_(* #,##0.00_);_(* \(#,##0.00\);_(* &quot;-&quot;_);_(@_)"/>
    <numFmt numFmtId="168" formatCode="_(* #,##0.000_);_(* \(#,##0.00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8"/>
      <color theme="3" tint="0.79995117038483843"/>
      <name val="Arial"/>
      <family val="2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46">
    <xf numFmtId="0" fontId="0" fillId="0" borderId="0" xfId="0"/>
    <xf numFmtId="164" fontId="3" fillId="2" borderId="0" xfId="3" applyNumberFormat="1" applyFont="1" applyFill="1" applyAlignment="1">
      <alignment horizontal="center"/>
    </xf>
    <xf numFmtId="164" fontId="3" fillId="2" borderId="0" xfId="3" applyNumberFormat="1" applyFont="1" applyFill="1" applyAlignment="1"/>
    <xf numFmtId="164" fontId="4" fillId="2" borderId="0" xfId="0" applyNumberFormat="1" applyFont="1" applyFill="1"/>
    <xf numFmtId="164" fontId="4" fillId="0" borderId="0" xfId="0" applyNumberFormat="1" applyFont="1" applyFill="1"/>
    <xf numFmtId="165" fontId="4" fillId="2" borderId="0" xfId="0" applyNumberFormat="1" applyFont="1" applyFill="1"/>
    <xf numFmtId="164" fontId="4" fillId="2" borderId="1" xfId="0" applyNumberFormat="1" applyFont="1" applyFill="1" applyBorder="1" applyAlignment="1">
      <alignment horizontal="center" vertical="center"/>
    </xf>
    <xf numFmtId="164" fontId="3" fillId="2" borderId="2" xfId="3" applyNumberFormat="1" applyFont="1" applyFill="1" applyBorder="1" applyAlignment="1">
      <alignment horizontal="center" vertical="center" wrapText="1"/>
    </xf>
    <xf numFmtId="164" fontId="3" fillId="2" borderId="3" xfId="3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wrapText="1"/>
    </xf>
    <xf numFmtId="164" fontId="4" fillId="2" borderId="2" xfId="0" applyNumberFormat="1" applyFont="1" applyFill="1" applyBorder="1" applyAlignment="1">
      <alignment horizontal="center"/>
    </xf>
    <xf numFmtId="164" fontId="3" fillId="2" borderId="7" xfId="3" applyNumberFormat="1" applyFont="1" applyFill="1" applyBorder="1" applyAlignment="1">
      <alignment horizontal="center" vertical="center" wrapText="1"/>
    </xf>
    <xf numFmtId="164" fontId="3" fillId="2" borderId="8" xfId="3" applyNumberFormat="1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9" xfId="3" applyNumberFormat="1" applyFont="1" applyFill="1" applyBorder="1" applyAlignment="1">
      <alignment horizontal="center" vertical="center" wrapText="1"/>
    </xf>
    <xf numFmtId="164" fontId="3" fillId="2" borderId="10" xfId="3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1" xfId="4" applyNumberFormat="1" applyFont="1" applyFill="1" applyBorder="1" applyAlignment="1">
      <alignment vertical="center"/>
    </xf>
    <xf numFmtId="164" fontId="4" fillId="2" borderId="1" xfId="0" applyNumberFormat="1" applyFont="1" applyFill="1" applyBorder="1"/>
    <xf numFmtId="164" fontId="0" fillId="0" borderId="0" xfId="0" applyNumberFormat="1"/>
    <xf numFmtId="164" fontId="3" fillId="2" borderId="1" xfId="4" applyNumberFormat="1" applyFont="1" applyFill="1" applyBorder="1"/>
    <xf numFmtId="164" fontId="4" fillId="0" borderId="1" xfId="1" applyNumberFormat="1" applyFont="1" applyFill="1" applyBorder="1"/>
    <xf numFmtId="165" fontId="4" fillId="2" borderId="1" xfId="0" applyNumberFormat="1" applyFont="1" applyFill="1" applyBorder="1"/>
    <xf numFmtId="166" fontId="3" fillId="2" borderId="1" xfId="4" applyNumberFormat="1" applyFont="1" applyFill="1" applyBorder="1" applyAlignment="1">
      <alignment vertical="center"/>
    </xf>
    <xf numFmtId="167" fontId="3" fillId="2" borderId="1" xfId="4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 vertical="center" wrapText="1"/>
    </xf>
    <xf numFmtId="164" fontId="3" fillId="3" borderId="1" xfId="4" applyNumberFormat="1" applyFont="1" applyFill="1" applyBorder="1"/>
    <xf numFmtId="164" fontId="4" fillId="3" borderId="0" xfId="0" applyNumberFormat="1" applyFont="1" applyFill="1"/>
    <xf numFmtId="0" fontId="0" fillId="3" borderId="0" xfId="0" applyFill="1"/>
    <xf numFmtId="164" fontId="6" fillId="2" borderId="0" xfId="0" applyNumberFormat="1" applyFont="1" applyFill="1"/>
    <xf numFmtId="0" fontId="5" fillId="3" borderId="1" xfId="0" applyFont="1" applyFill="1" applyBorder="1" applyAlignment="1">
      <alignment horizontal="left"/>
    </xf>
    <xf numFmtId="0" fontId="4" fillId="3" borderId="0" xfId="0" applyFont="1" applyFill="1"/>
    <xf numFmtId="164" fontId="3" fillId="2" borderId="1" xfId="0" applyNumberFormat="1" applyFont="1" applyFill="1" applyBorder="1" applyAlignment="1">
      <alignment horizontal="left" wrapText="1"/>
    </xf>
    <xf numFmtId="164" fontId="3" fillId="2" borderId="1" xfId="1" applyNumberFormat="1" applyFont="1" applyFill="1" applyBorder="1"/>
    <xf numFmtId="165" fontId="7" fillId="2" borderId="1" xfId="0" applyNumberFormat="1" applyFont="1" applyFill="1" applyBorder="1"/>
    <xf numFmtId="164" fontId="7" fillId="2" borderId="1" xfId="0" applyNumberFormat="1" applyFont="1" applyFill="1" applyBorder="1"/>
    <xf numFmtId="164" fontId="3" fillId="4" borderId="1" xfId="0" applyNumberFormat="1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 wrapText="1"/>
    </xf>
    <xf numFmtId="164" fontId="3" fillId="4" borderId="1" xfId="0" applyNumberFormat="1" applyFont="1" applyFill="1" applyBorder="1" applyAlignment="1">
      <alignment horizontal="left" vertical="center" wrapText="1"/>
    </xf>
    <xf numFmtId="164" fontId="3" fillId="4" borderId="1" xfId="4" applyNumberFormat="1" applyFont="1" applyFill="1" applyBorder="1"/>
    <xf numFmtId="164" fontId="0" fillId="0" borderId="0" xfId="2" applyFont="1"/>
    <xf numFmtId="164" fontId="3" fillId="5" borderId="1" xfId="0" applyNumberFormat="1" applyFont="1" applyFill="1" applyBorder="1" applyAlignment="1">
      <alignment horizontal="left"/>
    </xf>
    <xf numFmtId="164" fontId="3" fillId="5" borderId="1" xfId="0" applyNumberFormat="1" applyFont="1" applyFill="1" applyBorder="1" applyAlignment="1">
      <alignment horizontal="left" vertical="center" wrapText="1"/>
    </xf>
    <xf numFmtId="164" fontId="3" fillId="5" borderId="1" xfId="4" applyNumberFormat="1" applyFont="1" applyFill="1" applyBorder="1"/>
    <xf numFmtId="0" fontId="0" fillId="5" borderId="0" xfId="0" applyFill="1"/>
    <xf numFmtId="164" fontId="0" fillId="5" borderId="0" xfId="2" applyFont="1" applyFill="1"/>
    <xf numFmtId="164" fontId="8" fillId="2" borderId="1" xfId="0" applyNumberFormat="1" applyFont="1" applyFill="1" applyBorder="1" applyAlignment="1">
      <alignment horizontal="left" vertical="center" wrapText="1"/>
    </xf>
    <xf numFmtId="164" fontId="8" fillId="2" borderId="1" xfId="4" applyNumberFormat="1" applyFont="1" applyFill="1" applyBorder="1"/>
    <xf numFmtId="164" fontId="7" fillId="2" borderId="1" xfId="0" applyNumberFormat="1" applyFont="1" applyFill="1" applyBorder="1" applyAlignment="1">
      <alignment wrapText="1"/>
    </xf>
    <xf numFmtId="164" fontId="4" fillId="2" borderId="1" xfId="0" applyNumberFormat="1" applyFont="1" applyFill="1" applyBorder="1" applyAlignment="1">
      <alignment wrapText="1"/>
    </xf>
    <xf numFmtId="164" fontId="7" fillId="2" borderId="9" xfId="0" applyNumberFormat="1" applyFont="1" applyFill="1" applyBorder="1" applyAlignment="1">
      <alignment wrapText="1"/>
    </xf>
    <xf numFmtId="164" fontId="3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 vertical="center" wrapText="1"/>
    </xf>
    <xf numFmtId="164" fontId="3" fillId="6" borderId="1" xfId="4" applyNumberFormat="1" applyFont="1" applyFill="1" applyBorder="1"/>
    <xf numFmtId="164" fontId="8" fillId="6" borderId="1" xfId="4" applyNumberFormat="1" applyFont="1" applyFill="1" applyBorder="1"/>
    <xf numFmtId="164" fontId="8" fillId="6" borderId="9" xfId="4" applyNumberFormat="1" applyFont="1" applyFill="1" applyBorder="1"/>
    <xf numFmtId="165" fontId="4" fillId="6" borderId="1" xfId="0" applyNumberFormat="1" applyFont="1" applyFill="1" applyBorder="1"/>
    <xf numFmtId="164" fontId="7" fillId="2" borderId="9" xfId="0" applyNumberFormat="1" applyFont="1" applyFill="1" applyBorder="1"/>
    <xf numFmtId="164" fontId="3" fillId="5" borderId="1" xfId="0" applyNumberFormat="1" applyFont="1" applyFill="1" applyBorder="1"/>
    <xf numFmtId="164" fontId="3" fillId="7" borderId="1" xfId="0" applyNumberFormat="1" applyFont="1" applyFill="1" applyBorder="1" applyAlignment="1">
      <alignment horizontal="left"/>
    </xf>
    <xf numFmtId="164" fontId="8" fillId="7" borderId="1" xfId="0" applyNumberFormat="1" applyFont="1" applyFill="1" applyBorder="1"/>
    <xf numFmtId="164" fontId="8" fillId="7" borderId="1" xfId="0" applyNumberFormat="1" applyFont="1" applyFill="1" applyBorder="1" applyAlignment="1">
      <alignment wrapText="1"/>
    </xf>
    <xf numFmtId="164" fontId="8" fillId="7" borderId="1" xfId="4" applyNumberFormat="1" applyFont="1" applyFill="1" applyBorder="1"/>
    <xf numFmtId="165" fontId="7" fillId="7" borderId="1" xfId="0" applyNumberFormat="1" applyFont="1" applyFill="1" applyBorder="1"/>
    <xf numFmtId="164" fontId="7" fillId="7" borderId="1" xfId="0" applyNumberFormat="1" applyFont="1" applyFill="1" applyBorder="1"/>
    <xf numFmtId="164" fontId="7" fillId="7" borderId="1" xfId="0" applyNumberFormat="1" applyFont="1" applyFill="1" applyBorder="1" applyAlignment="1">
      <alignment wrapText="1"/>
    </xf>
    <xf numFmtId="164" fontId="4" fillId="7" borderId="1" xfId="0" applyNumberFormat="1" applyFont="1" applyFill="1" applyBorder="1"/>
    <xf numFmtId="164" fontId="4" fillId="7" borderId="1" xfId="0" applyNumberFormat="1" applyFont="1" applyFill="1" applyBorder="1" applyAlignment="1">
      <alignment wrapText="1"/>
    </xf>
    <xf numFmtId="164" fontId="8" fillId="2" borderId="1" xfId="0" applyNumberFormat="1" applyFont="1" applyFill="1" applyBorder="1"/>
    <xf numFmtId="164" fontId="8" fillId="2" borderId="1" xfId="0" applyNumberFormat="1" applyFont="1" applyFill="1" applyBorder="1" applyAlignment="1">
      <alignment wrapText="1"/>
    </xf>
    <xf numFmtId="164" fontId="3" fillId="7" borderId="1" xfId="4" applyNumberFormat="1" applyFont="1" applyFill="1" applyBorder="1"/>
    <xf numFmtId="168" fontId="8" fillId="7" borderId="1" xfId="4" applyNumberFormat="1" applyFont="1" applyFill="1" applyBorder="1"/>
    <xf numFmtId="165" fontId="4" fillId="7" borderId="1" xfId="0" applyNumberFormat="1" applyFont="1" applyFill="1" applyBorder="1"/>
    <xf numFmtId="164" fontId="8" fillId="5" borderId="1" xfId="0" applyNumberFormat="1" applyFont="1" applyFill="1" applyBorder="1"/>
    <xf numFmtId="164" fontId="4" fillId="5" borderId="1" xfId="0" applyNumberFormat="1" applyFont="1" applyFill="1" applyBorder="1"/>
    <xf numFmtId="3" fontId="7" fillId="0" borderId="1" xfId="0" applyNumberFormat="1" applyFont="1" applyBorder="1"/>
    <xf numFmtId="0" fontId="0" fillId="7" borderId="0" xfId="0" applyFill="1"/>
    <xf numFmtId="164" fontId="8" fillId="6" borderId="1" xfId="0" applyNumberFormat="1" applyFont="1" applyFill="1" applyBorder="1"/>
    <xf numFmtId="164" fontId="3" fillId="2" borderId="1" xfId="0" applyNumberFormat="1" applyFont="1" applyFill="1" applyBorder="1"/>
    <xf numFmtId="164" fontId="3" fillId="6" borderId="1" xfId="0" applyNumberFormat="1" applyFont="1" applyFill="1" applyBorder="1" applyAlignment="1">
      <alignment horizontal="left" vertical="center"/>
    </xf>
    <xf numFmtId="164" fontId="8" fillId="6" borderId="1" xfId="0" applyNumberFormat="1" applyFont="1" applyFill="1" applyBorder="1" applyAlignment="1">
      <alignment horizontal="center" vertical="center" wrapText="1"/>
    </xf>
    <xf numFmtId="164" fontId="8" fillId="6" borderId="1" xfId="4" applyNumberFormat="1" applyFont="1" applyFill="1" applyBorder="1" applyAlignment="1">
      <alignment horizontal="center" vertical="center"/>
    </xf>
    <xf numFmtId="164" fontId="3" fillId="6" borderId="1" xfId="1" applyNumberFormat="1" applyFont="1" applyFill="1" applyBorder="1"/>
    <xf numFmtId="165" fontId="7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/>
    </xf>
    <xf numFmtId="164" fontId="8" fillId="2" borderId="7" xfId="0" applyNumberFormat="1" applyFont="1" applyFill="1" applyBorder="1" applyAlignment="1">
      <alignment horizontal="left" vertical="center" wrapText="1"/>
    </xf>
    <xf numFmtId="164" fontId="8" fillId="0" borderId="1" xfId="5" applyFont="1" applyFill="1" applyBorder="1" applyAlignment="1">
      <alignment vertical="center"/>
    </xf>
    <xf numFmtId="49" fontId="3" fillId="2" borderId="1" xfId="3" applyNumberFormat="1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center"/>
    </xf>
    <xf numFmtId="49" fontId="8" fillId="2" borderId="1" xfId="3" applyNumberFormat="1" applyFont="1" applyFill="1" applyBorder="1" applyAlignment="1">
      <alignment horizontal="left" vertical="top" wrapText="1"/>
    </xf>
    <xf numFmtId="164" fontId="8" fillId="2" borderId="1" xfId="4" applyNumberFormat="1" applyFont="1" applyFill="1" applyBorder="1" applyAlignment="1">
      <alignment vertical="center"/>
    </xf>
    <xf numFmtId="164" fontId="8" fillId="6" borderId="1" xfId="4" applyNumberFormat="1" applyFont="1" applyFill="1" applyBorder="1" applyAlignment="1">
      <alignment vertical="center"/>
    </xf>
    <xf numFmtId="49" fontId="9" fillId="2" borderId="1" xfId="3" applyNumberFormat="1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left" vertical="center" wrapText="1"/>
    </xf>
    <xf numFmtId="164" fontId="8" fillId="5" borderId="1" xfId="0" applyNumberFormat="1" applyFont="1" applyFill="1" applyBorder="1" applyAlignment="1">
      <alignment horizontal="left" vertical="center" wrapText="1"/>
    </xf>
    <xf numFmtId="49" fontId="8" fillId="6" borderId="1" xfId="3" applyNumberFormat="1" applyFont="1" applyFill="1" applyBorder="1" applyAlignment="1">
      <alignment horizontal="left" vertical="top" wrapText="1"/>
    </xf>
    <xf numFmtId="49" fontId="8" fillId="8" borderId="1" xfId="6" applyNumberFormat="1" applyFont="1" applyFill="1" applyBorder="1" applyAlignment="1">
      <alignment horizontal="left" vertical="center" wrapText="1"/>
    </xf>
    <xf numFmtId="49" fontId="8" fillId="5" borderId="1" xfId="6" applyNumberFormat="1" applyFont="1" applyFill="1" applyBorder="1" applyAlignment="1">
      <alignment horizontal="left" vertical="center" wrapText="1"/>
    </xf>
    <xf numFmtId="164" fontId="8" fillId="5" borderId="1" xfId="4" applyNumberFormat="1" applyFont="1" applyFill="1" applyBorder="1"/>
    <xf numFmtId="165" fontId="8" fillId="5" borderId="1" xfId="0" applyNumberFormat="1" applyFont="1" applyFill="1" applyBorder="1"/>
    <xf numFmtId="164" fontId="10" fillId="5" borderId="1" xfId="0" applyNumberFormat="1" applyFont="1" applyFill="1" applyBorder="1"/>
    <xf numFmtId="164" fontId="8" fillId="2" borderId="1" xfId="0" applyNumberFormat="1" applyFont="1" applyFill="1" applyBorder="1" applyAlignment="1">
      <alignment horizontal="left"/>
    </xf>
    <xf numFmtId="49" fontId="8" fillId="0" borderId="1" xfId="3" applyNumberFormat="1" applyFont="1" applyFill="1" applyBorder="1" applyAlignment="1">
      <alignment horizontal="left" vertical="top" wrapText="1"/>
    </xf>
    <xf numFmtId="3" fontId="7" fillId="0" borderId="1" xfId="0" applyNumberFormat="1" applyFont="1" applyBorder="1" applyAlignment="1">
      <alignment vertical="top"/>
    </xf>
    <xf numFmtId="10" fontId="4" fillId="5" borderId="1" xfId="0" applyNumberFormat="1" applyFont="1" applyFill="1" applyBorder="1"/>
    <xf numFmtId="164" fontId="8" fillId="2" borderId="7" xfId="4" applyNumberFormat="1" applyFont="1" applyFill="1" applyBorder="1"/>
    <xf numFmtId="165" fontId="4" fillId="5" borderId="1" xfId="0" applyNumberFormat="1" applyFont="1" applyFill="1" applyBorder="1"/>
    <xf numFmtId="164" fontId="8" fillId="4" borderId="1" xfId="0" applyNumberFormat="1" applyFont="1" applyFill="1" applyBorder="1" applyAlignment="1">
      <alignment horizontal="left" vertical="center" wrapText="1"/>
    </xf>
    <xf numFmtId="164" fontId="8" fillId="4" borderId="1" xfId="4" applyNumberFormat="1" applyFont="1" applyFill="1" applyBorder="1"/>
    <xf numFmtId="165" fontId="4" fillId="4" borderId="1" xfId="0" applyNumberFormat="1" applyFont="1" applyFill="1" applyBorder="1"/>
    <xf numFmtId="49" fontId="11" fillId="5" borderId="1" xfId="3" applyNumberFormat="1" applyFont="1" applyFill="1" applyBorder="1" applyAlignment="1">
      <alignment horizontal="left" vertical="top" wrapText="1"/>
    </xf>
    <xf numFmtId="49" fontId="12" fillId="6" borderId="1" xfId="3" applyNumberFormat="1" applyFont="1" applyFill="1" applyBorder="1" applyAlignment="1">
      <alignment horizontal="left" vertical="top" wrapText="1"/>
    </xf>
    <xf numFmtId="49" fontId="11" fillId="2" borderId="1" xfId="3" applyNumberFormat="1" applyFont="1" applyFill="1" applyBorder="1" applyAlignment="1">
      <alignment horizontal="left" vertical="top" wrapText="1"/>
    </xf>
    <xf numFmtId="164" fontId="13" fillId="0" borderId="1" xfId="0" applyNumberFormat="1" applyFont="1" applyBorder="1" applyAlignment="1"/>
    <xf numFmtId="164" fontId="14" fillId="0" borderId="0" xfId="0" applyNumberFormat="1" applyFont="1" applyFill="1" applyBorder="1" applyAlignment="1">
      <alignment horizontal="left"/>
    </xf>
    <xf numFmtId="164" fontId="4" fillId="2" borderId="0" xfId="0" applyNumberFormat="1" applyFont="1" applyFill="1" applyAlignment="1"/>
    <xf numFmtId="0" fontId="4" fillId="0" borderId="0" xfId="0" applyFont="1"/>
    <xf numFmtId="164" fontId="8" fillId="2" borderId="0" xfId="3" applyNumberFormat="1" applyFont="1" applyFill="1" applyAlignment="1">
      <alignment horizontal="left"/>
    </xf>
    <xf numFmtId="164" fontId="8" fillId="2" borderId="0" xfId="3" applyNumberFormat="1" applyFont="1" applyFill="1" applyAlignment="1">
      <alignment horizontal="center"/>
    </xf>
    <xf numFmtId="165" fontId="4" fillId="0" borderId="0" xfId="0" applyNumberFormat="1" applyFont="1" applyFill="1"/>
    <xf numFmtId="165" fontId="15" fillId="0" borderId="0" xfId="0" applyNumberFormat="1" applyFont="1" applyFill="1" applyAlignment="1">
      <alignment horizontal="center"/>
    </xf>
    <xf numFmtId="165" fontId="4" fillId="0" borderId="0" xfId="0" applyNumberFormat="1" applyFont="1"/>
    <xf numFmtId="165" fontId="4" fillId="0" borderId="0" xfId="0" applyNumberFormat="1" applyFont="1" applyFill="1" applyAlignment="1">
      <alignment horizontal="center"/>
    </xf>
    <xf numFmtId="0" fontId="0" fillId="2" borderId="0" xfId="0" applyFill="1"/>
  </cellXfs>
  <cellStyles count="7">
    <cellStyle name="Comma" xfId="1" builtinId="3"/>
    <cellStyle name="Comma [0]" xfId="2" builtinId="6"/>
    <cellStyle name="Comma [0] 3" xfId="5"/>
    <cellStyle name="Comma 2" xfId="4"/>
    <cellStyle name="Normal" xfId="0" builtinId="0"/>
    <cellStyle name="Normal 2" xfId="3"/>
    <cellStyle name="Normal 2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74"/>
  <sheetViews>
    <sheetView tabSelected="1" workbookViewId="0">
      <selection activeCell="G146" sqref="G146"/>
    </sheetView>
  </sheetViews>
  <sheetFormatPr defaultColWidth="8.85546875" defaultRowHeight="15" x14ac:dyDescent="0.25"/>
  <cols>
    <col min="1" max="1" width="20.5703125" customWidth="1"/>
    <col min="2" max="2" width="35.28515625" customWidth="1"/>
    <col min="3" max="3" width="11" customWidth="1"/>
    <col min="4" max="4" width="12.28515625" customWidth="1"/>
    <col min="5" max="5" width="12.5703125" customWidth="1"/>
    <col min="6" max="6" width="6.7109375" customWidth="1"/>
    <col min="7" max="7" width="11.42578125" customWidth="1"/>
    <col min="8" max="8" width="6.42578125" customWidth="1"/>
    <col min="9" max="9" width="12.140625" customWidth="1"/>
    <col min="10" max="10" width="7.140625" customWidth="1"/>
    <col min="11" max="11" width="7.7109375" customWidth="1"/>
    <col min="12" max="12" width="8.42578125" style="145" customWidth="1"/>
    <col min="13" max="13" width="6.140625" customWidth="1"/>
    <col min="15" max="15" width="12.5703125" bestFit="1" customWidth="1"/>
    <col min="16" max="16" width="12.28515625" bestFit="1" customWidth="1"/>
    <col min="17" max="17" width="12.42578125" customWidth="1"/>
    <col min="19" max="19" width="12.28515625" bestFit="1" customWidth="1"/>
    <col min="21" max="21" width="10" customWidth="1"/>
  </cols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3"/>
    </row>
    <row r="2" spans="1:1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3"/>
    </row>
    <row r="3" spans="1:19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3"/>
    </row>
    <row r="4" spans="1:1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3"/>
    </row>
    <row r="5" spans="1:19" x14ac:dyDescent="0.25">
      <c r="A5" s="3"/>
      <c r="B5" s="3"/>
      <c r="C5" s="3"/>
      <c r="D5" s="3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9" x14ac:dyDescent="0.25">
      <c r="A6" s="6" t="s">
        <v>4</v>
      </c>
      <c r="B6" s="6" t="s">
        <v>5</v>
      </c>
      <c r="C6" s="7" t="s">
        <v>6</v>
      </c>
      <c r="D6" s="8" t="s">
        <v>7</v>
      </c>
      <c r="E6" s="9" t="s">
        <v>8</v>
      </c>
      <c r="F6" s="10"/>
      <c r="G6" s="10"/>
      <c r="H6" s="10"/>
      <c r="I6" s="10"/>
      <c r="J6" s="10"/>
      <c r="K6" s="11"/>
      <c r="L6" s="12" t="s">
        <v>9</v>
      </c>
      <c r="M6" s="13" t="s">
        <v>10</v>
      </c>
      <c r="N6" s="3"/>
      <c r="O6" s="3"/>
      <c r="P6" s="3"/>
    </row>
    <row r="7" spans="1:19" x14ac:dyDescent="0.25">
      <c r="A7" s="6"/>
      <c r="B7" s="6"/>
      <c r="C7" s="14"/>
      <c r="D7" s="15"/>
      <c r="E7" s="16" t="s">
        <v>11</v>
      </c>
      <c r="F7" s="17"/>
      <c r="G7" s="16" t="s">
        <v>12</v>
      </c>
      <c r="H7" s="17"/>
      <c r="I7" s="9" t="s">
        <v>13</v>
      </c>
      <c r="J7" s="10"/>
      <c r="K7" s="11"/>
      <c r="L7" s="18"/>
      <c r="M7" s="19"/>
      <c r="N7" s="3"/>
      <c r="O7" s="3"/>
      <c r="P7" s="3"/>
    </row>
    <row r="8" spans="1:19" x14ac:dyDescent="0.25">
      <c r="A8" s="6"/>
      <c r="B8" s="6"/>
      <c r="C8" s="20"/>
      <c r="D8" s="21"/>
      <c r="E8" s="16" t="s">
        <v>14</v>
      </c>
      <c r="F8" s="17"/>
      <c r="G8" s="16" t="s">
        <v>14</v>
      </c>
      <c r="H8" s="17"/>
      <c r="I8" s="22" t="s">
        <v>14</v>
      </c>
      <c r="J8" s="23"/>
      <c r="K8" s="24" t="s">
        <v>15</v>
      </c>
      <c r="L8" s="25"/>
      <c r="M8" s="26"/>
      <c r="N8" s="3"/>
      <c r="O8" s="3"/>
      <c r="P8" s="3"/>
    </row>
    <row r="9" spans="1:19" x14ac:dyDescent="0.25">
      <c r="A9" s="27"/>
      <c r="B9" s="27"/>
      <c r="C9" s="28"/>
      <c r="D9" s="29"/>
      <c r="E9" s="24" t="s">
        <v>16</v>
      </c>
      <c r="F9" s="24" t="s">
        <v>17</v>
      </c>
      <c r="G9" s="24" t="s">
        <v>16</v>
      </c>
      <c r="H9" s="24" t="s">
        <v>17</v>
      </c>
      <c r="I9" s="24" t="s">
        <v>18</v>
      </c>
      <c r="J9" s="24" t="s">
        <v>17</v>
      </c>
      <c r="K9" s="24" t="s">
        <v>17</v>
      </c>
      <c r="L9" s="30"/>
      <c r="M9" s="31"/>
      <c r="N9" s="3"/>
      <c r="O9" s="3"/>
      <c r="P9" s="3"/>
    </row>
    <row r="10" spans="1:19" ht="37.15" customHeight="1" x14ac:dyDescent="0.25">
      <c r="A10" s="32" t="s">
        <v>19</v>
      </c>
      <c r="B10" s="33" t="s">
        <v>1</v>
      </c>
      <c r="C10" s="33" t="s">
        <v>20</v>
      </c>
      <c r="D10" s="34">
        <f t="shared" ref="D10:J10" si="0">D11</f>
        <v>1775182787</v>
      </c>
      <c r="E10" s="34">
        <f t="shared" si="0"/>
        <v>1036432011</v>
      </c>
      <c r="F10" s="34">
        <f t="shared" si="0"/>
        <v>0</v>
      </c>
      <c r="G10" s="34">
        <f t="shared" si="0"/>
        <v>156896264</v>
      </c>
      <c r="H10" s="34">
        <f t="shared" si="0"/>
        <v>0</v>
      </c>
      <c r="I10" s="34">
        <f t="shared" si="0"/>
        <v>1193328275</v>
      </c>
      <c r="J10" s="34">
        <f t="shared" si="0"/>
        <v>67.2228394585036</v>
      </c>
      <c r="K10" s="34"/>
      <c r="L10" s="35"/>
      <c r="M10" s="35"/>
      <c r="N10" s="3"/>
      <c r="O10" s="3"/>
      <c r="P10" s="3"/>
      <c r="Q10">
        <f>4/12</f>
        <v>0.33333333333333331</v>
      </c>
      <c r="S10" s="36">
        <f>75096340-G11</f>
        <v>-81799924</v>
      </c>
    </row>
    <row r="11" spans="1:19" ht="33" customHeight="1" x14ac:dyDescent="0.25">
      <c r="A11" s="32" t="s">
        <v>21</v>
      </c>
      <c r="B11" s="33" t="s">
        <v>22</v>
      </c>
      <c r="C11" s="33" t="s">
        <v>23</v>
      </c>
      <c r="D11" s="37">
        <f t="shared" ref="D11:J11" si="1">D13</f>
        <v>1775182787</v>
      </c>
      <c r="E11" s="37">
        <f t="shared" si="1"/>
        <v>1036432011</v>
      </c>
      <c r="F11" s="37">
        <f t="shared" si="1"/>
        <v>0</v>
      </c>
      <c r="G11" s="37">
        <f t="shared" si="1"/>
        <v>156896264</v>
      </c>
      <c r="H11" s="37">
        <f t="shared" si="1"/>
        <v>0</v>
      </c>
      <c r="I11" s="37">
        <f t="shared" si="1"/>
        <v>1193328275</v>
      </c>
      <c r="J11" s="37">
        <f t="shared" si="1"/>
        <v>67.2228394585036</v>
      </c>
      <c r="K11" s="37"/>
      <c r="L11" s="35"/>
      <c r="M11" s="35"/>
      <c r="N11" s="3"/>
      <c r="O11" s="3"/>
      <c r="P11" s="3">
        <f>188595530-I11</f>
        <v>-1004732745</v>
      </c>
      <c r="Q11" s="36">
        <f>1798913417-D13</f>
        <v>23730630</v>
      </c>
    </row>
    <row r="12" spans="1:19" x14ac:dyDescent="0.25">
      <c r="A12" s="32"/>
      <c r="B12" s="33"/>
      <c r="C12" s="33"/>
      <c r="D12" s="37"/>
      <c r="E12" s="38"/>
      <c r="F12" s="39"/>
      <c r="G12" s="35"/>
      <c r="H12" s="35"/>
      <c r="I12" s="35"/>
      <c r="J12" s="40"/>
      <c r="K12" s="41"/>
      <c r="L12" s="35"/>
      <c r="M12" s="35"/>
      <c r="N12" s="3"/>
      <c r="O12" s="3"/>
      <c r="P12" s="3"/>
    </row>
    <row r="13" spans="1:19" s="47" customFormat="1" x14ac:dyDescent="0.25">
      <c r="A13" s="42" t="s">
        <v>24</v>
      </c>
      <c r="B13" s="43" t="s">
        <v>25</v>
      </c>
      <c r="C13" s="44"/>
      <c r="D13" s="45">
        <f>D15+D14+D16</f>
        <v>1775182787</v>
      </c>
      <c r="E13" s="45">
        <f t="shared" ref="E13:H13" si="2">E15+E14+E16</f>
        <v>1036432011</v>
      </c>
      <c r="F13" s="45">
        <f t="shared" si="2"/>
        <v>0</v>
      </c>
      <c r="G13" s="45">
        <f t="shared" si="2"/>
        <v>156896264</v>
      </c>
      <c r="H13" s="45">
        <f t="shared" si="2"/>
        <v>0</v>
      </c>
      <c r="I13" s="45">
        <f>E13+G13</f>
        <v>1193328275</v>
      </c>
      <c r="J13" s="40">
        <f t="shared" ref="J13:J76" si="3">I13/D13*100</f>
        <v>67.2228394585036</v>
      </c>
      <c r="K13" s="41"/>
      <c r="L13" s="45"/>
      <c r="M13" s="45">
        <f t="shared" ref="M13" si="4">M15+M14+M16</f>
        <v>0</v>
      </c>
      <c r="N13" s="3"/>
      <c r="O13" s="46"/>
      <c r="P13" s="46"/>
    </row>
    <row r="14" spans="1:19" s="47" customFormat="1" x14ac:dyDescent="0.25">
      <c r="A14" s="42" t="s">
        <v>26</v>
      </c>
      <c r="B14" s="43" t="s">
        <v>27</v>
      </c>
      <c r="C14" s="44"/>
      <c r="D14" s="45">
        <f>D18</f>
        <v>911502880</v>
      </c>
      <c r="E14" s="45">
        <f t="shared" ref="E14:H14" si="5">E18</f>
        <v>639836100</v>
      </c>
      <c r="F14" s="45">
        <f t="shared" si="5"/>
        <v>0</v>
      </c>
      <c r="G14" s="45">
        <f t="shared" si="5"/>
        <v>146214720</v>
      </c>
      <c r="H14" s="45">
        <f t="shared" si="5"/>
        <v>0</v>
      </c>
      <c r="I14" s="45">
        <f t="shared" ref="I14:I77" si="6">E14+G14</f>
        <v>786050820</v>
      </c>
      <c r="J14" s="40">
        <f t="shared" si="3"/>
        <v>86.236789509650265</v>
      </c>
      <c r="K14" s="41"/>
      <c r="L14" s="45"/>
      <c r="M14" s="45">
        <f t="shared" ref="M14" si="7">M18</f>
        <v>0</v>
      </c>
      <c r="N14" s="48">
        <v>843429200</v>
      </c>
      <c r="O14" s="46">
        <f>833882580-I14</f>
        <v>47831760</v>
      </c>
      <c r="P14" s="46"/>
    </row>
    <row r="15" spans="1:19" s="47" customFormat="1" x14ac:dyDescent="0.25">
      <c r="A15" s="42" t="s">
        <v>28</v>
      </c>
      <c r="B15" s="49" t="s">
        <v>29</v>
      </c>
      <c r="D15" s="45">
        <f>D22</f>
        <v>641522000</v>
      </c>
      <c r="E15" s="45">
        <f>E22</f>
        <v>387898911</v>
      </c>
      <c r="F15" s="45">
        <f t="shared" ref="F15:M15" si="8">F22</f>
        <v>0</v>
      </c>
      <c r="G15" s="45">
        <f t="shared" si="8"/>
        <v>4136494</v>
      </c>
      <c r="H15" s="45">
        <f t="shared" si="8"/>
        <v>0</v>
      </c>
      <c r="I15" s="45">
        <f t="shared" si="6"/>
        <v>392035405</v>
      </c>
      <c r="J15" s="40">
        <f t="shared" si="3"/>
        <v>61.110204326585837</v>
      </c>
      <c r="K15" s="45">
        <v>40</v>
      </c>
      <c r="L15" s="45">
        <f t="shared" si="8"/>
        <v>0</v>
      </c>
      <c r="M15" s="45">
        <f t="shared" si="8"/>
        <v>0</v>
      </c>
      <c r="N15" s="48">
        <v>250951100</v>
      </c>
      <c r="O15" s="46">
        <f>409750200-I15</f>
        <v>17714795</v>
      </c>
      <c r="P15" s="50"/>
    </row>
    <row r="16" spans="1:19" s="47" customFormat="1" x14ac:dyDescent="0.25">
      <c r="A16" s="42" t="s">
        <v>30</v>
      </c>
      <c r="B16" s="43" t="s">
        <v>31</v>
      </c>
      <c r="C16" s="44"/>
      <c r="D16" s="45">
        <f>D145</f>
        <v>222157907</v>
      </c>
      <c r="E16" s="45">
        <f t="shared" ref="E16:M16" si="9">E145</f>
        <v>8697000</v>
      </c>
      <c r="F16" s="45">
        <f t="shared" si="9"/>
        <v>0</v>
      </c>
      <c r="G16" s="45">
        <f t="shared" si="9"/>
        <v>6545050</v>
      </c>
      <c r="H16" s="45">
        <f t="shared" si="9"/>
        <v>0</v>
      </c>
      <c r="I16" s="45">
        <f t="shared" si="6"/>
        <v>15242050</v>
      </c>
      <c r="J16" s="40">
        <f t="shared" si="3"/>
        <v>6.8609081737522848</v>
      </c>
      <c r="K16" s="45">
        <v>15</v>
      </c>
      <c r="L16" s="45">
        <f t="shared" si="9"/>
        <v>0</v>
      </c>
      <c r="M16" s="45">
        <f t="shared" si="9"/>
        <v>0</v>
      </c>
      <c r="N16" s="48"/>
      <c r="O16" s="46">
        <f>128281650-I16</f>
        <v>113039600</v>
      </c>
      <c r="P16" s="46"/>
    </row>
    <row r="17" spans="1:21" x14ac:dyDescent="0.25">
      <c r="A17" s="32"/>
      <c r="B17" s="51"/>
      <c r="C17" s="33"/>
      <c r="D17" s="37"/>
      <c r="E17" s="52"/>
      <c r="F17" s="53"/>
      <c r="G17" s="54"/>
      <c r="H17" s="53"/>
      <c r="I17" s="45">
        <f t="shared" si="6"/>
        <v>0</v>
      </c>
      <c r="J17" s="40"/>
      <c r="K17" s="35"/>
      <c r="L17" s="35"/>
      <c r="M17" s="35"/>
      <c r="N17" s="48"/>
      <c r="O17" s="36">
        <f>SUM(O14:O16)</f>
        <v>178586155</v>
      </c>
    </row>
    <row r="18" spans="1:21" x14ac:dyDescent="0.25">
      <c r="A18" s="55" t="s">
        <v>26</v>
      </c>
      <c r="B18" s="56" t="s">
        <v>27</v>
      </c>
      <c r="C18" s="57"/>
      <c r="D18" s="58">
        <f>D19</f>
        <v>911502880</v>
      </c>
      <c r="E18" s="58">
        <f t="shared" ref="E18:H19" si="10">E19</f>
        <v>639836100</v>
      </c>
      <c r="F18" s="58">
        <f t="shared" si="10"/>
        <v>0</v>
      </c>
      <c r="G18" s="58">
        <f t="shared" si="10"/>
        <v>146214720</v>
      </c>
      <c r="H18" s="58">
        <f t="shared" si="10"/>
        <v>0</v>
      </c>
      <c r="I18" s="45">
        <f t="shared" si="6"/>
        <v>786050820</v>
      </c>
      <c r="J18" s="40">
        <f t="shared" si="3"/>
        <v>86.236789509650265</v>
      </c>
      <c r="K18" s="58"/>
      <c r="L18" s="58"/>
      <c r="M18" s="58">
        <f t="shared" ref="M18:M19" si="11">M19</f>
        <v>0</v>
      </c>
      <c r="N18" s="48"/>
      <c r="Q18" s="59">
        <f>70516400+107579630</f>
        <v>178096030</v>
      </c>
      <c r="T18">
        <f>I15/D15*100</f>
        <v>61.110204326585837</v>
      </c>
    </row>
    <row r="19" spans="1:21" s="63" customFormat="1" ht="22.5" x14ac:dyDescent="0.25">
      <c r="A19" s="60" t="s">
        <v>32</v>
      </c>
      <c r="B19" s="61" t="s">
        <v>33</v>
      </c>
      <c r="C19" s="61" t="s">
        <v>34</v>
      </c>
      <c r="D19" s="62">
        <f>D20</f>
        <v>911502880</v>
      </c>
      <c r="E19" s="62">
        <f t="shared" si="10"/>
        <v>639836100</v>
      </c>
      <c r="F19" s="62">
        <f t="shared" si="10"/>
        <v>0</v>
      </c>
      <c r="G19" s="62">
        <f t="shared" si="10"/>
        <v>146214720</v>
      </c>
      <c r="H19" s="62">
        <f t="shared" si="10"/>
        <v>0</v>
      </c>
      <c r="I19" s="45">
        <f t="shared" si="6"/>
        <v>786050820</v>
      </c>
      <c r="J19" s="40">
        <f t="shared" si="3"/>
        <v>86.236789509650265</v>
      </c>
      <c r="K19" s="62"/>
      <c r="L19" s="62"/>
      <c r="M19" s="62">
        <f t="shared" si="11"/>
        <v>0</v>
      </c>
      <c r="N19" s="48"/>
      <c r="Q19" s="64">
        <f>68126400+67760460</f>
        <v>135886860</v>
      </c>
    </row>
    <row r="20" spans="1:21" ht="22.5" x14ac:dyDescent="0.25">
      <c r="A20" s="32" t="s">
        <v>35</v>
      </c>
      <c r="B20" s="33" t="s">
        <v>36</v>
      </c>
      <c r="C20" s="33"/>
      <c r="D20" s="37">
        <v>911502880</v>
      </c>
      <c r="E20" s="52">
        <f>70766640+140326020+70342560+138899880+73834380+73923300+71743320</f>
        <v>639836100</v>
      </c>
      <c r="F20" s="53"/>
      <c r="G20" s="54">
        <v>146214720</v>
      </c>
      <c r="H20" s="54"/>
      <c r="I20" s="45">
        <f t="shared" si="6"/>
        <v>786050820</v>
      </c>
      <c r="J20" s="40">
        <f t="shared" si="3"/>
        <v>86.236789509650265</v>
      </c>
      <c r="K20" s="35"/>
      <c r="L20" s="35"/>
      <c r="M20" s="35"/>
      <c r="N20" s="48"/>
      <c r="Q20" s="59">
        <f>2390000+39819170</f>
        <v>42209170</v>
      </c>
    </row>
    <row r="21" spans="1:21" x14ac:dyDescent="0.25">
      <c r="A21" s="32"/>
      <c r="B21" s="65"/>
      <c r="C21" s="65"/>
      <c r="D21" s="66"/>
      <c r="E21" s="52"/>
      <c r="F21" s="53"/>
      <c r="G21" s="54"/>
      <c r="H21" s="54"/>
      <c r="I21" s="45">
        <f t="shared" si="6"/>
        <v>0</v>
      </c>
      <c r="J21" s="40"/>
      <c r="K21" s="35"/>
      <c r="L21" s="35"/>
      <c r="M21" s="35"/>
      <c r="N21" s="48"/>
      <c r="T21">
        <f>I16/D16</f>
        <v>6.8609081737522851E-2</v>
      </c>
    </row>
    <row r="22" spans="1:21" x14ac:dyDescent="0.25">
      <c r="A22" s="55" t="s">
        <v>28</v>
      </c>
      <c r="B22" s="57" t="s">
        <v>29</v>
      </c>
      <c r="C22" s="57"/>
      <c r="D22" s="58">
        <f>D23+D45+D52+D78+D99+D118+D122+D125+D130+D133+D137+D68+D63</f>
        <v>641522000</v>
      </c>
      <c r="E22" s="58">
        <f t="shared" ref="E22:M22" si="12">E23+E45+E52+E78+E99+E118+E122+E125+E130+E133+E137+E68+E63</f>
        <v>387898911</v>
      </c>
      <c r="F22" s="58">
        <f t="shared" si="12"/>
        <v>0</v>
      </c>
      <c r="G22" s="58">
        <f t="shared" si="12"/>
        <v>4136494</v>
      </c>
      <c r="H22" s="58">
        <f t="shared" si="12"/>
        <v>0</v>
      </c>
      <c r="I22" s="58">
        <f t="shared" si="12"/>
        <v>391345405</v>
      </c>
      <c r="J22" s="40">
        <f t="shared" si="3"/>
        <v>61.002647609902702</v>
      </c>
      <c r="K22" s="58">
        <v>40</v>
      </c>
      <c r="L22" s="58">
        <f t="shared" si="12"/>
        <v>0</v>
      </c>
      <c r="M22" s="58">
        <f t="shared" si="12"/>
        <v>0</v>
      </c>
      <c r="N22" s="48"/>
      <c r="P22" s="36">
        <f>21924800-G22</f>
        <v>17788306</v>
      </c>
      <c r="S22" s="36">
        <f>D15-616422000</f>
        <v>25100000</v>
      </c>
    </row>
    <row r="23" spans="1:21" s="63" customFormat="1" ht="19.899999999999999" customHeight="1" x14ac:dyDescent="0.25">
      <c r="A23" s="60" t="s">
        <v>37</v>
      </c>
      <c r="B23" s="61" t="s">
        <v>38</v>
      </c>
      <c r="C23" s="61"/>
      <c r="D23" s="62">
        <f>D24+D25+D26+D27+D28+D29+D35+D41+D42+D38+D30</f>
        <v>259285500</v>
      </c>
      <c r="E23" s="62">
        <f t="shared" ref="E23:M23" si="13">E24+E25+E26+E27+E28+E29+E35+E41+E42+E38+E30</f>
        <v>225663232</v>
      </c>
      <c r="F23" s="62">
        <f t="shared" si="13"/>
        <v>0</v>
      </c>
      <c r="G23" s="62">
        <f t="shared" si="13"/>
        <v>960000</v>
      </c>
      <c r="H23" s="62">
        <f t="shared" si="13"/>
        <v>0</v>
      </c>
      <c r="I23" s="62">
        <f t="shared" si="13"/>
        <v>225933232</v>
      </c>
      <c r="J23" s="40">
        <f t="shared" si="3"/>
        <v>87.136855705390388</v>
      </c>
      <c r="K23" s="62">
        <v>20</v>
      </c>
      <c r="L23" s="62">
        <f t="shared" si="13"/>
        <v>0</v>
      </c>
      <c r="M23" s="62">
        <f t="shared" si="13"/>
        <v>0</v>
      </c>
      <c r="N23" s="48"/>
    </row>
    <row r="24" spans="1:21" ht="19.899999999999999" customHeight="1" x14ac:dyDescent="0.25">
      <c r="A24" s="32" t="s">
        <v>39</v>
      </c>
      <c r="B24" s="65" t="s">
        <v>40</v>
      </c>
      <c r="C24" s="65" t="s">
        <v>41</v>
      </c>
      <c r="D24" s="37">
        <v>22243800</v>
      </c>
      <c r="E24" s="52">
        <v>21542000</v>
      </c>
      <c r="F24" s="53"/>
      <c r="G24" s="54"/>
      <c r="H24" s="67"/>
      <c r="I24" s="45">
        <f t="shared" ref="I24:I40" si="14">E24+G24</f>
        <v>21542000</v>
      </c>
      <c r="J24" s="40">
        <f t="shared" si="3"/>
        <v>96.844963540402276</v>
      </c>
      <c r="K24" s="35"/>
      <c r="L24" s="68"/>
      <c r="M24" s="35"/>
      <c r="N24" s="48"/>
      <c r="P24" s="36">
        <f>259285500-D23</f>
        <v>0</v>
      </c>
    </row>
    <row r="25" spans="1:21" ht="19.899999999999999" customHeight="1" x14ac:dyDescent="0.25">
      <c r="A25" s="32" t="s">
        <v>42</v>
      </c>
      <c r="B25" s="65" t="s">
        <v>43</v>
      </c>
      <c r="C25" s="65"/>
      <c r="D25" s="37">
        <v>2935000</v>
      </c>
      <c r="E25" s="52">
        <f>1941239</f>
        <v>1941239</v>
      </c>
      <c r="F25" s="53"/>
      <c r="G25" s="54"/>
      <c r="H25" s="67"/>
      <c r="I25" s="45">
        <f t="shared" si="14"/>
        <v>1941239</v>
      </c>
      <c r="J25" s="40">
        <f t="shared" si="3"/>
        <v>66.141022146507666</v>
      </c>
      <c r="K25" s="35"/>
      <c r="L25" s="68"/>
      <c r="M25" s="35"/>
      <c r="N25" s="48"/>
      <c r="Q25" s="36">
        <f>103636000-G22</f>
        <v>99499506</v>
      </c>
    </row>
    <row r="26" spans="1:21" ht="19.899999999999999" customHeight="1" x14ac:dyDescent="0.25">
      <c r="A26" s="32" t="s">
        <v>44</v>
      </c>
      <c r="B26" s="65" t="s">
        <v>45</v>
      </c>
      <c r="C26" s="65" t="s">
        <v>46</v>
      </c>
      <c r="D26" s="37">
        <v>990000</v>
      </c>
      <c r="E26" s="52">
        <f>990000</f>
        <v>990000</v>
      </c>
      <c r="F26" s="53"/>
      <c r="G26" s="54"/>
      <c r="H26" s="67"/>
      <c r="I26" s="45">
        <f t="shared" si="14"/>
        <v>990000</v>
      </c>
      <c r="J26" s="40">
        <f t="shared" si="3"/>
        <v>100</v>
      </c>
      <c r="K26" s="35"/>
      <c r="L26" s="68"/>
      <c r="M26" s="35"/>
      <c r="N26" s="48"/>
      <c r="S26" s="36">
        <f>G13-117262500</f>
        <v>39633764</v>
      </c>
    </row>
    <row r="27" spans="1:21" ht="19.899999999999999" customHeight="1" x14ac:dyDescent="0.25">
      <c r="A27" s="32" t="s">
        <v>47</v>
      </c>
      <c r="B27" s="65" t="s">
        <v>48</v>
      </c>
      <c r="C27" s="65"/>
      <c r="D27" s="37">
        <v>7422700</v>
      </c>
      <c r="E27" s="52">
        <v>6780252</v>
      </c>
      <c r="F27" s="53"/>
      <c r="G27" s="54"/>
      <c r="H27" s="67"/>
      <c r="I27" s="45">
        <f t="shared" si="14"/>
        <v>6780252</v>
      </c>
      <c r="J27" s="40">
        <f t="shared" si="3"/>
        <v>91.344820617834472</v>
      </c>
      <c r="K27" s="35">
        <v>100</v>
      </c>
      <c r="L27" s="68"/>
      <c r="M27" s="35"/>
      <c r="N27" s="48"/>
      <c r="U27">
        <v>471051400</v>
      </c>
    </row>
    <row r="28" spans="1:21" ht="19.899999999999999" customHeight="1" x14ac:dyDescent="0.25">
      <c r="A28" s="32" t="s">
        <v>49</v>
      </c>
      <c r="B28" s="65" t="s">
        <v>50</v>
      </c>
      <c r="C28" s="3"/>
      <c r="D28" s="33">
        <v>600000</v>
      </c>
      <c r="E28" s="52">
        <f>600000</f>
        <v>600000</v>
      </c>
      <c r="F28" s="53"/>
      <c r="G28" s="54"/>
      <c r="H28" s="69"/>
      <c r="I28" s="45">
        <f t="shared" si="14"/>
        <v>600000</v>
      </c>
      <c r="J28" s="40">
        <f t="shared" si="3"/>
        <v>100</v>
      </c>
      <c r="K28" s="35"/>
      <c r="L28" s="68"/>
      <c r="M28" s="35"/>
      <c r="N28" s="48"/>
      <c r="U28">
        <v>485611400</v>
      </c>
    </row>
    <row r="29" spans="1:21" ht="19.899999999999999" customHeight="1" x14ac:dyDescent="0.25">
      <c r="A29" s="32" t="s">
        <v>51</v>
      </c>
      <c r="B29" s="65" t="s">
        <v>52</v>
      </c>
      <c r="C29" s="65"/>
      <c r="D29" s="37">
        <v>1350000</v>
      </c>
      <c r="E29" s="52">
        <v>60000</v>
      </c>
      <c r="F29" s="53"/>
      <c r="G29" s="54"/>
      <c r="H29" s="69"/>
      <c r="I29" s="45">
        <f t="shared" si="14"/>
        <v>60000</v>
      </c>
      <c r="J29" s="40">
        <f t="shared" si="3"/>
        <v>4.4444444444444446</v>
      </c>
      <c r="K29" s="35"/>
      <c r="L29" s="68"/>
      <c r="M29" s="35"/>
      <c r="N29" s="48"/>
      <c r="U29">
        <f>U28-U27</f>
        <v>14560000</v>
      </c>
    </row>
    <row r="30" spans="1:21" ht="19.899999999999999" customHeight="1" x14ac:dyDescent="0.25">
      <c r="A30" s="32" t="s">
        <v>53</v>
      </c>
      <c r="B30" s="65" t="s">
        <v>54</v>
      </c>
      <c r="C30" s="65"/>
      <c r="D30" s="37">
        <f>SUM(D31:D34)</f>
        <v>22020000</v>
      </c>
      <c r="E30" s="37">
        <f>SUM(E31:E34)+30000</f>
        <v>2320000</v>
      </c>
      <c r="F30" s="37">
        <f t="shared" ref="F30:L30" si="15">SUM(F31:F34)</f>
        <v>0</v>
      </c>
      <c r="G30" s="37">
        <v>660000</v>
      </c>
      <c r="H30" s="37">
        <f t="shared" si="15"/>
        <v>0</v>
      </c>
      <c r="I30" s="37">
        <f t="shared" si="15"/>
        <v>2290000</v>
      </c>
      <c r="J30" s="37">
        <f t="shared" si="15"/>
        <v>42.189393939393938</v>
      </c>
      <c r="K30" s="37">
        <f t="shared" si="15"/>
        <v>0</v>
      </c>
      <c r="L30" s="37">
        <f t="shared" si="15"/>
        <v>0</v>
      </c>
      <c r="M30" s="35"/>
      <c r="N30" s="48"/>
      <c r="P30" s="36">
        <f>39419352-G22</f>
        <v>35282858</v>
      </c>
    </row>
    <row r="31" spans="1:21" ht="19.899999999999999" customHeight="1" x14ac:dyDescent="0.25">
      <c r="A31" s="32"/>
      <c r="B31" s="65" t="s">
        <v>55</v>
      </c>
      <c r="C31" s="65"/>
      <c r="D31" s="66">
        <v>9000000</v>
      </c>
      <c r="E31" s="52">
        <f>300000+300000+400000+680000</f>
        <v>1680000</v>
      </c>
      <c r="F31" s="53"/>
      <c r="G31" s="54"/>
      <c r="H31" s="69"/>
      <c r="I31" s="45">
        <f t="shared" si="14"/>
        <v>1680000</v>
      </c>
      <c r="J31" s="40">
        <f t="shared" si="3"/>
        <v>18.666666666666668</v>
      </c>
      <c r="K31" s="35"/>
      <c r="L31" s="68"/>
      <c r="M31" s="35"/>
      <c r="N31" s="48"/>
    </row>
    <row r="32" spans="1:21" ht="19.899999999999999" customHeight="1" x14ac:dyDescent="0.25">
      <c r="A32" s="32"/>
      <c r="B32" s="65" t="s">
        <v>56</v>
      </c>
      <c r="C32" s="65"/>
      <c r="D32" s="66">
        <v>9900000</v>
      </c>
      <c r="E32" s="52">
        <v>60000</v>
      </c>
      <c r="F32" s="53"/>
      <c r="G32" s="54"/>
      <c r="H32" s="69"/>
      <c r="I32" s="45">
        <f t="shared" si="14"/>
        <v>60000</v>
      </c>
      <c r="J32" s="40">
        <f t="shared" si="3"/>
        <v>0.60606060606060608</v>
      </c>
      <c r="K32" s="35"/>
      <c r="L32" s="68"/>
      <c r="M32" s="35"/>
      <c r="N32" s="48"/>
    </row>
    <row r="33" spans="1:17" ht="19.899999999999999" customHeight="1" x14ac:dyDescent="0.25">
      <c r="A33" s="32"/>
      <c r="B33" s="65" t="s">
        <v>57</v>
      </c>
      <c r="C33" s="65"/>
      <c r="D33" s="66">
        <v>2400000</v>
      </c>
      <c r="E33" s="52">
        <f>300000+250000</f>
        <v>550000</v>
      </c>
      <c r="F33" s="53"/>
      <c r="G33" s="54"/>
      <c r="H33" s="69"/>
      <c r="I33" s="45">
        <f t="shared" si="14"/>
        <v>550000</v>
      </c>
      <c r="J33" s="40">
        <f t="shared" si="3"/>
        <v>22.916666666666664</v>
      </c>
      <c r="K33" s="35"/>
      <c r="L33" s="68"/>
      <c r="M33" s="35"/>
      <c r="N33" s="48"/>
    </row>
    <row r="34" spans="1:17" ht="19.899999999999999" customHeight="1" x14ac:dyDescent="0.25">
      <c r="A34" s="32"/>
      <c r="B34" s="65" t="s">
        <v>58</v>
      </c>
      <c r="C34" s="65"/>
      <c r="D34" s="66">
        <v>720000</v>
      </c>
      <c r="E34" s="52"/>
      <c r="F34" s="53"/>
      <c r="G34" s="54"/>
      <c r="H34" s="69"/>
      <c r="I34" s="45">
        <f t="shared" si="14"/>
        <v>0</v>
      </c>
      <c r="J34" s="40">
        <f t="shared" si="3"/>
        <v>0</v>
      </c>
      <c r="K34" s="35"/>
      <c r="L34" s="68"/>
      <c r="M34" s="35"/>
      <c r="N34" s="48"/>
    </row>
    <row r="35" spans="1:17" ht="19.899999999999999" customHeight="1" x14ac:dyDescent="0.25">
      <c r="A35" s="32" t="s">
        <v>59</v>
      </c>
      <c r="B35" s="65" t="s">
        <v>60</v>
      </c>
      <c r="C35" s="65"/>
      <c r="D35" s="37">
        <f>SUM(D36:D37)</f>
        <v>179892000</v>
      </c>
      <c r="E35" s="37">
        <f t="shared" ref="E35:M35" si="16">SUM(E36:E37)</f>
        <v>171828700</v>
      </c>
      <c r="F35" s="37">
        <f t="shared" si="16"/>
        <v>0</v>
      </c>
      <c r="G35" s="37">
        <f t="shared" si="16"/>
        <v>0</v>
      </c>
      <c r="H35" s="37">
        <f t="shared" si="16"/>
        <v>0</v>
      </c>
      <c r="I35" s="37">
        <f t="shared" si="16"/>
        <v>171828700</v>
      </c>
      <c r="J35" s="37">
        <f t="shared" si="16"/>
        <v>191.0353990171881</v>
      </c>
      <c r="K35" s="37">
        <f t="shared" si="16"/>
        <v>0</v>
      </c>
      <c r="L35" s="37">
        <f t="shared" si="16"/>
        <v>0</v>
      </c>
      <c r="M35" s="37">
        <f t="shared" si="16"/>
        <v>0</v>
      </c>
      <c r="N35" s="48"/>
      <c r="Q35" s="36">
        <f>579047400-D22</f>
        <v>-62474600</v>
      </c>
    </row>
    <row r="36" spans="1:17" ht="19.899999999999999" customHeight="1" x14ac:dyDescent="0.25">
      <c r="A36" s="32"/>
      <c r="B36" s="65" t="s">
        <v>61</v>
      </c>
      <c r="C36" s="65"/>
      <c r="D36" s="66">
        <v>89946000</v>
      </c>
      <c r="E36" s="52">
        <v>84007000</v>
      </c>
      <c r="F36" s="53"/>
      <c r="G36" s="54"/>
      <c r="H36" s="69"/>
      <c r="I36" s="45">
        <f t="shared" si="14"/>
        <v>84007000</v>
      </c>
      <c r="J36" s="40">
        <f t="shared" si="3"/>
        <v>93.397149400751573</v>
      </c>
      <c r="K36" s="35"/>
      <c r="L36" s="68"/>
      <c r="M36" s="35"/>
      <c r="N36" s="48"/>
      <c r="Q36" s="36"/>
    </row>
    <row r="37" spans="1:17" ht="19.899999999999999" customHeight="1" x14ac:dyDescent="0.25">
      <c r="A37" s="32"/>
      <c r="B37" s="65" t="s">
        <v>62</v>
      </c>
      <c r="C37" s="65"/>
      <c r="D37" s="66">
        <v>89946000</v>
      </c>
      <c r="E37" s="52">
        <f>87821700</f>
        <v>87821700</v>
      </c>
      <c r="F37" s="53"/>
      <c r="G37" s="54"/>
      <c r="H37" s="69"/>
      <c r="I37" s="45">
        <f t="shared" si="14"/>
        <v>87821700</v>
      </c>
      <c r="J37" s="40">
        <f t="shared" si="3"/>
        <v>97.638249616436525</v>
      </c>
      <c r="K37" s="35"/>
      <c r="L37" s="68"/>
      <c r="M37" s="35"/>
      <c r="N37" s="48"/>
      <c r="Q37" s="36"/>
    </row>
    <row r="38" spans="1:17" ht="19.899999999999999" customHeight="1" x14ac:dyDescent="0.25">
      <c r="A38" s="32" t="s">
        <v>63</v>
      </c>
      <c r="B38" s="65" t="s">
        <v>64</v>
      </c>
      <c r="C38" s="65"/>
      <c r="D38" s="37">
        <f>SUM(D39:D40)</f>
        <v>4932000</v>
      </c>
      <c r="E38" s="52">
        <v>3451041</v>
      </c>
      <c r="F38" s="53"/>
      <c r="G38" s="54"/>
      <c r="H38" s="69"/>
      <c r="I38" s="45">
        <f t="shared" si="14"/>
        <v>3451041</v>
      </c>
      <c r="J38" s="40">
        <f t="shared" si="3"/>
        <v>69.972445255474454</v>
      </c>
      <c r="K38" s="35"/>
      <c r="L38" s="68"/>
      <c r="M38" s="35"/>
      <c r="N38" s="48"/>
      <c r="Q38" s="36">
        <f>579047400-D22</f>
        <v>-62474600</v>
      </c>
    </row>
    <row r="39" spans="1:17" ht="19.899999999999999" customHeight="1" x14ac:dyDescent="0.25">
      <c r="A39" s="32"/>
      <c r="B39" s="65" t="s">
        <v>65</v>
      </c>
      <c r="C39" s="65"/>
      <c r="D39" s="66">
        <f>432000</f>
        <v>432000</v>
      </c>
      <c r="E39" s="52"/>
      <c r="F39" s="53"/>
      <c r="G39" s="54"/>
      <c r="H39" s="69"/>
      <c r="I39" s="45">
        <f t="shared" si="14"/>
        <v>0</v>
      </c>
      <c r="J39" s="40">
        <f t="shared" si="3"/>
        <v>0</v>
      </c>
      <c r="K39" s="35"/>
      <c r="L39" s="68"/>
      <c r="M39" s="35"/>
      <c r="N39" s="48"/>
      <c r="Q39" s="36"/>
    </row>
    <row r="40" spans="1:17" ht="19.899999999999999" customHeight="1" x14ac:dyDescent="0.25">
      <c r="A40" s="32"/>
      <c r="B40" s="65" t="s">
        <v>66</v>
      </c>
      <c r="C40" s="65"/>
      <c r="D40" s="66">
        <v>4500000</v>
      </c>
      <c r="E40" s="52"/>
      <c r="F40" s="53"/>
      <c r="G40" s="54"/>
      <c r="H40" s="69"/>
      <c r="I40" s="45">
        <f t="shared" si="14"/>
        <v>0</v>
      </c>
      <c r="J40" s="40">
        <f t="shared" si="3"/>
        <v>0</v>
      </c>
      <c r="K40" s="35"/>
      <c r="L40" s="68"/>
      <c r="M40" s="35"/>
      <c r="N40" s="48"/>
      <c r="Q40" s="36"/>
    </row>
    <row r="41" spans="1:17" ht="19.899999999999999" customHeight="1" x14ac:dyDescent="0.25">
      <c r="A41" s="32" t="s">
        <v>67</v>
      </c>
      <c r="B41" s="65" t="s">
        <v>68</v>
      </c>
      <c r="C41" s="65"/>
      <c r="D41" s="37">
        <v>10000000</v>
      </c>
      <c r="E41" s="37">
        <v>9900000</v>
      </c>
      <c r="F41" s="37"/>
      <c r="G41" s="37"/>
      <c r="H41" s="37"/>
      <c r="I41" s="37">
        <v>9900000</v>
      </c>
      <c r="J41" s="40">
        <f t="shared" si="3"/>
        <v>99</v>
      </c>
      <c r="K41" s="37">
        <v>100</v>
      </c>
      <c r="L41" s="37"/>
      <c r="M41" s="37"/>
      <c r="N41" s="48"/>
    </row>
    <row r="42" spans="1:17" ht="19.899999999999999" customHeight="1" x14ac:dyDescent="0.25">
      <c r="A42" s="70" t="s">
        <v>69</v>
      </c>
      <c r="B42" s="71" t="s">
        <v>70</v>
      </c>
      <c r="C42" s="71" t="s">
        <v>41</v>
      </c>
      <c r="D42" s="72">
        <f>SUM(D43:D44)</f>
        <v>6900000</v>
      </c>
      <c r="E42" s="72">
        <f t="shared" ref="E42:M42" si="17">SUM(E43:E44)</f>
        <v>6250000</v>
      </c>
      <c r="F42" s="72">
        <f t="shared" si="17"/>
        <v>0</v>
      </c>
      <c r="G42" s="72">
        <f t="shared" si="17"/>
        <v>300000</v>
      </c>
      <c r="H42" s="72">
        <f t="shared" si="17"/>
        <v>0</v>
      </c>
      <c r="I42" s="72">
        <f t="shared" si="17"/>
        <v>6550000</v>
      </c>
      <c r="J42" s="72">
        <f t="shared" si="17"/>
        <v>180</v>
      </c>
      <c r="K42" s="72">
        <f t="shared" si="17"/>
        <v>0</v>
      </c>
      <c r="L42" s="72">
        <f t="shared" si="17"/>
        <v>0</v>
      </c>
      <c r="M42" s="72">
        <f t="shared" si="17"/>
        <v>0</v>
      </c>
      <c r="N42" s="48"/>
    </row>
    <row r="43" spans="1:17" ht="19.899999999999999" customHeight="1" x14ac:dyDescent="0.25">
      <c r="A43" s="70"/>
      <c r="B43" s="65" t="s">
        <v>71</v>
      </c>
      <c r="C43" s="71"/>
      <c r="D43" s="73">
        <v>900000</v>
      </c>
      <c r="E43" s="73">
        <f>150000+150000+150000</f>
        <v>450000</v>
      </c>
      <c r="F43" s="73"/>
      <c r="G43" s="73">
        <v>300000</v>
      </c>
      <c r="H43" s="74"/>
      <c r="I43" s="45">
        <f>E43+G43</f>
        <v>750000</v>
      </c>
      <c r="J43" s="40">
        <f>I43/D43*100</f>
        <v>83.333333333333343</v>
      </c>
      <c r="K43" s="35"/>
      <c r="L43" s="75"/>
      <c r="M43" s="75"/>
      <c r="N43" s="48"/>
    </row>
    <row r="44" spans="1:17" ht="19.899999999999999" customHeight="1" x14ac:dyDescent="0.25">
      <c r="A44" s="32"/>
      <c r="B44" s="65" t="s">
        <v>72</v>
      </c>
      <c r="C44" s="65"/>
      <c r="D44" s="66">
        <v>6000000</v>
      </c>
      <c r="E44" s="52">
        <v>5800000</v>
      </c>
      <c r="F44" s="53"/>
      <c r="G44" s="54"/>
      <c r="H44" s="76"/>
      <c r="I44" s="45">
        <f>E44+G44</f>
        <v>5800000</v>
      </c>
      <c r="J44" s="40">
        <f>I44/D44*100</f>
        <v>96.666666666666671</v>
      </c>
      <c r="K44" s="35"/>
      <c r="L44" s="35"/>
      <c r="M44" s="35"/>
      <c r="N44" s="48"/>
    </row>
    <row r="45" spans="1:17" s="63" customFormat="1" ht="19.899999999999999" customHeight="1" x14ac:dyDescent="0.25">
      <c r="A45" s="60" t="s">
        <v>73</v>
      </c>
      <c r="B45" s="77" t="s">
        <v>74</v>
      </c>
      <c r="C45" s="77"/>
      <c r="D45" s="62">
        <f>D46+D49</f>
        <v>26480000</v>
      </c>
      <c r="E45" s="62">
        <f t="shared" ref="E45:N45" si="18">E46+E49</f>
        <v>5670000</v>
      </c>
      <c r="F45" s="62">
        <f t="shared" si="18"/>
        <v>0</v>
      </c>
      <c r="G45" s="62">
        <f t="shared" si="18"/>
        <v>540000</v>
      </c>
      <c r="H45" s="62">
        <f t="shared" si="18"/>
        <v>0</v>
      </c>
      <c r="I45" s="62">
        <f t="shared" si="18"/>
        <v>6210000</v>
      </c>
      <c r="J45" s="62">
        <f t="shared" si="18"/>
        <v>95.833333333333343</v>
      </c>
      <c r="K45" s="62">
        <f t="shared" si="18"/>
        <v>0</v>
      </c>
      <c r="L45" s="62">
        <f t="shared" si="18"/>
        <v>0</v>
      </c>
      <c r="M45" s="62">
        <f t="shared" si="18"/>
        <v>0</v>
      </c>
      <c r="N45" s="62">
        <f t="shared" si="18"/>
        <v>0</v>
      </c>
    </row>
    <row r="46" spans="1:17" ht="19.899999999999999" customHeight="1" x14ac:dyDescent="0.25">
      <c r="A46" s="78" t="s">
        <v>75</v>
      </c>
      <c r="B46" s="79" t="s">
        <v>76</v>
      </c>
      <c r="C46" s="80" t="s">
        <v>34</v>
      </c>
      <c r="D46" s="81">
        <f>D47+D48</f>
        <v>20000000</v>
      </c>
      <c r="E46" s="81"/>
      <c r="F46" s="82"/>
      <c r="G46" s="83"/>
      <c r="H46" s="84"/>
      <c r="I46" s="45">
        <f>E46+G46</f>
        <v>0</v>
      </c>
      <c r="J46" s="40">
        <f>I46/D46*100</f>
        <v>0</v>
      </c>
      <c r="K46" s="85"/>
      <c r="L46" s="86"/>
      <c r="M46" s="85"/>
      <c r="N46" s="48"/>
    </row>
    <row r="47" spans="1:17" ht="19.899999999999999" customHeight="1" x14ac:dyDescent="0.25">
      <c r="A47" s="32"/>
      <c r="B47" s="87" t="s">
        <v>77</v>
      </c>
      <c r="C47" s="88"/>
      <c r="D47" s="66">
        <v>20000000</v>
      </c>
      <c r="E47" s="52"/>
      <c r="F47" s="53"/>
      <c r="G47" s="54"/>
      <c r="H47" s="67"/>
      <c r="I47" s="45">
        <f>E47+G47</f>
        <v>0</v>
      </c>
      <c r="J47" s="40">
        <f>I47/D47*100</f>
        <v>0</v>
      </c>
      <c r="K47" s="35"/>
      <c r="L47" s="68"/>
      <c r="M47" s="35"/>
      <c r="N47" s="48"/>
    </row>
    <row r="48" spans="1:17" ht="19.899999999999999" customHeight="1" x14ac:dyDescent="0.25">
      <c r="A48" s="32"/>
      <c r="B48" s="87"/>
      <c r="C48" s="88"/>
      <c r="D48" s="66"/>
      <c r="E48" s="52"/>
      <c r="F48" s="53"/>
      <c r="G48" s="54"/>
      <c r="H48" s="67"/>
      <c r="I48" s="45">
        <f t="shared" si="6"/>
        <v>0</v>
      </c>
      <c r="J48" s="40"/>
      <c r="K48" s="35"/>
      <c r="L48" s="68"/>
      <c r="M48" s="35"/>
      <c r="N48" s="48"/>
    </row>
    <row r="49" spans="1:16" ht="19.899999999999999" customHeight="1" x14ac:dyDescent="0.25">
      <c r="A49" s="78" t="s">
        <v>78</v>
      </c>
      <c r="B49" s="79" t="s">
        <v>79</v>
      </c>
      <c r="C49" s="80"/>
      <c r="D49" s="89">
        <f>D50+D51</f>
        <v>6480000</v>
      </c>
      <c r="E49" s="81">
        <f>540000+540000+540000+540000+540000+270000+540000+540000+540000+540000+540000</f>
        <v>5670000</v>
      </c>
      <c r="F49" s="90"/>
      <c r="G49" s="81">
        <v>540000</v>
      </c>
      <c r="H49" s="81"/>
      <c r="I49" s="45">
        <f t="shared" si="6"/>
        <v>6210000</v>
      </c>
      <c r="J49" s="40">
        <f t="shared" si="3"/>
        <v>95.833333333333343</v>
      </c>
      <c r="K49" s="91"/>
      <c r="L49" s="91"/>
      <c r="M49" s="91"/>
      <c r="N49" s="48"/>
    </row>
    <row r="50" spans="1:16" ht="19.899999999999999" customHeight="1" x14ac:dyDescent="0.25">
      <c r="A50" s="32"/>
      <c r="B50" s="88" t="s">
        <v>80</v>
      </c>
      <c r="C50" s="88"/>
      <c r="D50" s="66">
        <v>2880000</v>
      </c>
      <c r="E50" s="52"/>
      <c r="F50" s="53"/>
      <c r="G50" s="54"/>
      <c r="H50" s="67"/>
      <c r="I50" s="45">
        <f t="shared" si="6"/>
        <v>0</v>
      </c>
      <c r="J50" s="40">
        <f t="shared" si="3"/>
        <v>0</v>
      </c>
      <c r="K50" s="35"/>
      <c r="L50" s="68"/>
      <c r="M50" s="35"/>
      <c r="N50" s="48"/>
      <c r="O50" s="36">
        <f>2640000-I50</f>
        <v>2640000</v>
      </c>
      <c r="P50" s="36">
        <f>D50/240000</f>
        <v>12</v>
      </c>
    </row>
    <row r="51" spans="1:16" ht="19.899999999999999" customHeight="1" x14ac:dyDescent="0.25">
      <c r="A51" s="32"/>
      <c r="B51" s="88" t="s">
        <v>81</v>
      </c>
      <c r="C51" s="88"/>
      <c r="D51" s="66">
        <v>3600000</v>
      </c>
      <c r="E51" s="52"/>
      <c r="F51" s="53"/>
      <c r="G51" s="54"/>
      <c r="H51" s="67"/>
      <c r="I51" s="45">
        <f t="shared" si="6"/>
        <v>0</v>
      </c>
      <c r="J51" s="40">
        <f t="shared" si="3"/>
        <v>0</v>
      </c>
      <c r="K51" s="35"/>
      <c r="L51" s="68"/>
      <c r="M51" s="35"/>
      <c r="N51" s="48"/>
      <c r="P51" s="36"/>
    </row>
    <row r="52" spans="1:16" s="63" customFormat="1" ht="19.899999999999999" customHeight="1" x14ac:dyDescent="0.25">
      <c r="A52" s="60" t="s">
        <v>82</v>
      </c>
      <c r="B52" s="77" t="s">
        <v>83</v>
      </c>
      <c r="C52" s="92"/>
      <c r="D52" s="62">
        <f>D53+D54+D57</f>
        <v>27160000</v>
      </c>
      <c r="E52" s="62">
        <f t="shared" ref="E52:H52" si="19">E53+E54+E57</f>
        <v>13779201</v>
      </c>
      <c r="F52" s="62">
        <f t="shared" si="19"/>
        <v>0</v>
      </c>
      <c r="G52" s="62">
        <f t="shared" si="19"/>
        <v>636494</v>
      </c>
      <c r="H52" s="62">
        <f t="shared" si="19"/>
        <v>0</v>
      </c>
      <c r="I52" s="45">
        <f t="shared" si="6"/>
        <v>14415695</v>
      </c>
      <c r="J52" s="40">
        <f t="shared" si="3"/>
        <v>53.076932989690718</v>
      </c>
      <c r="K52" s="62"/>
      <c r="L52" s="62">
        <f t="shared" ref="L52" si="20">L53+L54+L57</f>
        <v>0</v>
      </c>
      <c r="M52" s="93"/>
      <c r="N52" s="48"/>
    </row>
    <row r="53" spans="1:16" ht="19.899999999999999" customHeight="1" x14ac:dyDescent="0.25">
      <c r="A53" s="32" t="s">
        <v>84</v>
      </c>
      <c r="B53" s="87" t="s">
        <v>85</v>
      </c>
      <c r="C53" s="88"/>
      <c r="D53" s="37">
        <v>12000000</v>
      </c>
      <c r="E53" s="52">
        <f>746200+541200+645323+693399+649723+656837+541200+622851+618968</f>
        <v>5715701</v>
      </c>
      <c r="F53" s="53"/>
      <c r="G53" s="94">
        <v>627794</v>
      </c>
      <c r="H53" s="53"/>
      <c r="I53" s="45">
        <f t="shared" si="6"/>
        <v>6343495</v>
      </c>
      <c r="J53" s="40">
        <f t="shared" si="3"/>
        <v>52.862458333333329</v>
      </c>
      <c r="K53" s="35"/>
      <c r="L53" s="35"/>
      <c r="M53" s="35"/>
      <c r="N53" s="48"/>
      <c r="O53" s="36">
        <f>20979300-I52</f>
        <v>6563605</v>
      </c>
    </row>
    <row r="54" spans="1:16" s="95" customFormat="1" ht="19.899999999999999" customHeight="1" x14ac:dyDescent="0.25">
      <c r="A54" s="78" t="s">
        <v>86</v>
      </c>
      <c r="B54" s="79" t="s">
        <v>87</v>
      </c>
      <c r="C54" s="80" t="s">
        <v>88</v>
      </c>
      <c r="D54" s="89">
        <f>D55+D56</f>
        <v>560000</v>
      </c>
      <c r="E54" s="89">
        <f t="shared" ref="E54:L54" si="21">E55+E56</f>
        <v>134800</v>
      </c>
      <c r="F54" s="89">
        <f t="shared" si="21"/>
        <v>0</v>
      </c>
      <c r="G54" s="89">
        <v>8700</v>
      </c>
      <c r="H54" s="89">
        <f t="shared" si="21"/>
        <v>0</v>
      </c>
      <c r="I54" s="45">
        <f t="shared" si="6"/>
        <v>143500</v>
      </c>
      <c r="J54" s="40">
        <f t="shared" si="3"/>
        <v>25.624999999999996</v>
      </c>
      <c r="K54" s="89"/>
      <c r="L54" s="89">
        <f t="shared" si="21"/>
        <v>0</v>
      </c>
      <c r="M54" s="85"/>
      <c r="N54" s="48"/>
    </row>
    <row r="55" spans="1:16" ht="19.899999999999999" customHeight="1" x14ac:dyDescent="0.25">
      <c r="A55" s="32"/>
      <c r="B55" s="87" t="s">
        <v>89</v>
      </c>
      <c r="C55" s="88"/>
      <c r="D55" s="66">
        <v>200000</v>
      </c>
      <c r="E55" s="52">
        <f>90000+7000+7000</f>
        <v>104000</v>
      </c>
      <c r="F55" s="53"/>
      <c r="G55" s="54"/>
      <c r="H55" s="53"/>
      <c r="I55" s="45">
        <f t="shared" si="6"/>
        <v>104000</v>
      </c>
      <c r="J55" s="40">
        <f t="shared" si="3"/>
        <v>52</v>
      </c>
      <c r="K55" s="35"/>
      <c r="L55" s="35"/>
      <c r="M55" s="35"/>
      <c r="N55" s="48"/>
    </row>
    <row r="56" spans="1:16" ht="19.899999999999999" customHeight="1" x14ac:dyDescent="0.25">
      <c r="A56" s="32"/>
      <c r="B56" s="87" t="s">
        <v>90</v>
      </c>
      <c r="C56" s="88"/>
      <c r="D56" s="66">
        <v>360000</v>
      </c>
      <c r="E56" s="52">
        <f>3500+3500+3500+2900+2900+2900+2900+2900+2900+2900</f>
        <v>30800</v>
      </c>
      <c r="F56" s="53"/>
      <c r="G56" s="54"/>
      <c r="H56" s="53"/>
      <c r="I56" s="45">
        <f t="shared" si="6"/>
        <v>30800</v>
      </c>
      <c r="J56" s="40">
        <f t="shared" si="3"/>
        <v>8.5555555555555554</v>
      </c>
      <c r="K56" s="35"/>
      <c r="L56" s="35"/>
      <c r="M56" s="35"/>
      <c r="N56" s="48"/>
    </row>
    <row r="57" spans="1:16" ht="19.899999999999999" customHeight="1" x14ac:dyDescent="0.25">
      <c r="A57" s="70" t="s">
        <v>91</v>
      </c>
      <c r="B57" s="96" t="s">
        <v>92</v>
      </c>
      <c r="C57" s="96"/>
      <c r="D57" s="72">
        <f>SUM(D58:D61)</f>
        <v>14600000</v>
      </c>
      <c r="E57" s="72">
        <f t="shared" ref="E57:M57" si="22">SUM(E58:E61)</f>
        <v>7928700</v>
      </c>
      <c r="F57" s="72">
        <f t="shared" si="22"/>
        <v>0</v>
      </c>
      <c r="G57" s="72">
        <f t="shared" si="22"/>
        <v>0</v>
      </c>
      <c r="H57" s="72">
        <f t="shared" si="22"/>
        <v>0</v>
      </c>
      <c r="I57" s="72">
        <f t="shared" si="22"/>
        <v>7928700</v>
      </c>
      <c r="J57" s="72">
        <f t="shared" si="22"/>
        <v>205.07499999999999</v>
      </c>
      <c r="K57" s="72">
        <f t="shared" si="22"/>
        <v>0</v>
      </c>
      <c r="L57" s="72">
        <f t="shared" si="22"/>
        <v>0</v>
      </c>
      <c r="M57" s="72">
        <f t="shared" si="22"/>
        <v>0</v>
      </c>
      <c r="N57" s="48"/>
    </row>
    <row r="58" spans="1:16" ht="19.899999999999999" customHeight="1" x14ac:dyDescent="0.25">
      <c r="A58" s="32"/>
      <c r="B58" s="87" t="s">
        <v>93</v>
      </c>
      <c r="C58" s="87"/>
      <c r="D58" s="66">
        <v>3000000</v>
      </c>
      <c r="E58" s="52">
        <v>1370000</v>
      </c>
      <c r="F58" s="53"/>
      <c r="G58" s="54"/>
      <c r="H58" s="53"/>
      <c r="I58" s="45">
        <f t="shared" si="6"/>
        <v>1370000</v>
      </c>
      <c r="J58" s="40">
        <f t="shared" si="3"/>
        <v>45.666666666666664</v>
      </c>
      <c r="K58" s="35"/>
      <c r="L58" s="35"/>
      <c r="M58" s="35"/>
      <c r="N58" s="48"/>
    </row>
    <row r="59" spans="1:16" ht="19.899999999999999" customHeight="1" x14ac:dyDescent="0.25">
      <c r="A59" s="32"/>
      <c r="B59" s="87" t="s">
        <v>94</v>
      </c>
      <c r="C59" s="87"/>
      <c r="D59" s="66">
        <v>6000000</v>
      </c>
      <c r="E59" s="52">
        <f>950000+2930000</f>
        <v>3880000</v>
      </c>
      <c r="F59" s="53"/>
      <c r="G59" s="54"/>
      <c r="H59" s="53"/>
      <c r="I59" s="45">
        <f t="shared" si="6"/>
        <v>3880000</v>
      </c>
      <c r="J59" s="40">
        <f t="shared" si="3"/>
        <v>64.666666666666657</v>
      </c>
      <c r="K59" s="35"/>
      <c r="L59" s="35"/>
      <c r="M59" s="35"/>
      <c r="N59" s="48"/>
    </row>
    <row r="60" spans="1:16" ht="19.899999999999999" customHeight="1" x14ac:dyDescent="0.25">
      <c r="A60" s="32"/>
      <c r="B60" s="87" t="s">
        <v>95</v>
      </c>
      <c r="C60" s="87"/>
      <c r="D60" s="66">
        <v>2000000</v>
      </c>
      <c r="E60" s="52">
        <v>915000</v>
      </c>
      <c r="F60" s="53"/>
      <c r="G60" s="54"/>
      <c r="H60" s="53"/>
      <c r="I60" s="45">
        <f t="shared" si="6"/>
        <v>915000</v>
      </c>
      <c r="J60" s="40">
        <f t="shared" si="3"/>
        <v>45.75</v>
      </c>
      <c r="K60" s="35"/>
      <c r="L60" s="35"/>
      <c r="M60" s="35"/>
      <c r="N60" s="48"/>
    </row>
    <row r="61" spans="1:16" ht="19.899999999999999" customHeight="1" x14ac:dyDescent="0.25">
      <c r="A61" s="32"/>
      <c r="B61" s="87" t="s">
        <v>96</v>
      </c>
      <c r="C61" s="87"/>
      <c r="D61" s="66">
        <v>3600000</v>
      </c>
      <c r="E61" s="52">
        <f>810000+953700</f>
        <v>1763700</v>
      </c>
      <c r="F61" s="53"/>
      <c r="G61" s="54"/>
      <c r="H61" s="53"/>
      <c r="I61" s="45">
        <f t="shared" si="6"/>
        <v>1763700</v>
      </c>
      <c r="J61" s="40">
        <f t="shared" si="3"/>
        <v>48.991666666666667</v>
      </c>
      <c r="K61" s="35"/>
      <c r="L61" s="35"/>
      <c r="M61" s="35"/>
      <c r="N61" s="48"/>
    </row>
    <row r="62" spans="1:16" ht="19.899999999999999" customHeight="1" x14ac:dyDescent="0.25">
      <c r="A62" s="32"/>
      <c r="B62" s="87"/>
      <c r="C62" s="87"/>
      <c r="D62" s="66"/>
      <c r="E62" s="52"/>
      <c r="F62" s="53"/>
      <c r="G62" s="54"/>
      <c r="H62" s="53"/>
      <c r="I62" s="45">
        <f t="shared" si="6"/>
        <v>0</v>
      </c>
      <c r="J62" s="40"/>
      <c r="K62" s="35"/>
      <c r="L62" s="35"/>
      <c r="M62" s="35"/>
      <c r="N62" s="48"/>
    </row>
    <row r="63" spans="1:16" ht="19.899999999999999" customHeight="1" x14ac:dyDescent="0.25">
      <c r="A63" s="70" t="s">
        <v>97</v>
      </c>
      <c r="B63" s="97" t="s">
        <v>98</v>
      </c>
      <c r="C63" s="87"/>
      <c r="D63" s="37">
        <f>D64</f>
        <v>5500000</v>
      </c>
      <c r="E63" s="52"/>
      <c r="F63" s="53"/>
      <c r="G63" s="54"/>
      <c r="H63" s="53"/>
      <c r="I63" s="45">
        <f t="shared" si="6"/>
        <v>0</v>
      </c>
      <c r="J63" s="40">
        <f t="shared" si="3"/>
        <v>0</v>
      </c>
      <c r="K63" s="35"/>
      <c r="L63" s="35"/>
      <c r="M63" s="35"/>
      <c r="N63" s="48"/>
    </row>
    <row r="64" spans="1:16" ht="19.899999999999999" customHeight="1" x14ac:dyDescent="0.25">
      <c r="A64" s="70" t="s">
        <v>99</v>
      </c>
      <c r="B64" s="87" t="s">
        <v>100</v>
      </c>
      <c r="C64" s="87"/>
      <c r="D64" s="66">
        <f>SUM(D65:D66)</f>
        <v>5500000</v>
      </c>
      <c r="E64" s="52"/>
      <c r="F64" s="53"/>
      <c r="G64" s="54"/>
      <c r="H64" s="53"/>
      <c r="I64" s="45">
        <f t="shared" si="6"/>
        <v>0</v>
      </c>
      <c r="J64" s="40">
        <f t="shared" si="3"/>
        <v>0</v>
      </c>
      <c r="K64" s="35"/>
      <c r="L64" s="35"/>
      <c r="M64" s="35"/>
      <c r="N64" s="48"/>
    </row>
    <row r="65" spans="1:15" ht="19.899999999999999" customHeight="1" x14ac:dyDescent="0.25">
      <c r="A65" s="32"/>
      <c r="B65" s="87" t="s">
        <v>101</v>
      </c>
      <c r="C65" s="87"/>
      <c r="D65" s="66">
        <v>4500000</v>
      </c>
      <c r="E65" s="52"/>
      <c r="F65" s="53"/>
      <c r="G65" s="54"/>
      <c r="H65" s="53"/>
      <c r="I65" s="45">
        <f t="shared" si="6"/>
        <v>0</v>
      </c>
      <c r="J65" s="40">
        <f t="shared" si="3"/>
        <v>0</v>
      </c>
      <c r="K65" s="35"/>
      <c r="L65" s="35"/>
      <c r="M65" s="35"/>
      <c r="N65" s="48"/>
    </row>
    <row r="66" spans="1:15" ht="19.899999999999999" customHeight="1" x14ac:dyDescent="0.25">
      <c r="A66" s="32"/>
      <c r="B66" s="87" t="s">
        <v>102</v>
      </c>
      <c r="C66" s="87"/>
      <c r="D66" s="66">
        <v>1000000</v>
      </c>
      <c r="E66" s="52"/>
      <c r="F66" s="53"/>
      <c r="G66" s="54"/>
      <c r="H66" s="53"/>
      <c r="I66" s="45">
        <f t="shared" si="6"/>
        <v>0</v>
      </c>
      <c r="J66" s="40">
        <f t="shared" si="3"/>
        <v>0</v>
      </c>
      <c r="K66" s="35"/>
      <c r="L66" s="35"/>
      <c r="M66" s="35"/>
      <c r="N66" s="48"/>
    </row>
    <row r="67" spans="1:15" ht="19.899999999999999" customHeight="1" x14ac:dyDescent="0.25">
      <c r="A67" s="32"/>
      <c r="B67" s="87"/>
      <c r="C67" s="87"/>
      <c r="D67" s="66"/>
      <c r="E67" s="52"/>
      <c r="F67" s="53"/>
      <c r="G67" s="54"/>
      <c r="H67" s="53"/>
      <c r="I67" s="45">
        <f t="shared" si="6"/>
        <v>0</v>
      </c>
      <c r="J67" s="40"/>
      <c r="K67" s="35"/>
      <c r="L67" s="35"/>
      <c r="M67" s="35"/>
      <c r="N67" s="48"/>
    </row>
    <row r="68" spans="1:15" ht="19.899999999999999" customHeight="1" x14ac:dyDescent="0.25">
      <c r="A68" s="70" t="s">
        <v>103</v>
      </c>
      <c r="B68" s="97" t="s">
        <v>104</v>
      </c>
      <c r="C68" s="87"/>
      <c r="D68" s="37">
        <f>SUM(D69+D72+D75)</f>
        <v>20600000</v>
      </c>
      <c r="E68" s="37">
        <f t="shared" ref="E68:M68" si="23">SUM(E69+E72+E75)</f>
        <v>2647600</v>
      </c>
      <c r="F68" s="37">
        <f t="shared" si="23"/>
        <v>0</v>
      </c>
      <c r="G68" s="37">
        <f t="shared" si="23"/>
        <v>0</v>
      </c>
      <c r="H68" s="37">
        <f t="shared" si="23"/>
        <v>0</v>
      </c>
      <c r="I68" s="37">
        <f t="shared" si="23"/>
        <v>2647600</v>
      </c>
      <c r="J68" s="37">
        <f t="shared" si="23"/>
        <v>52.010461538461541</v>
      </c>
      <c r="K68" s="37">
        <f t="shared" si="23"/>
        <v>0</v>
      </c>
      <c r="L68" s="37">
        <f t="shared" si="23"/>
        <v>0</v>
      </c>
      <c r="M68" s="37">
        <f t="shared" si="23"/>
        <v>0</v>
      </c>
      <c r="N68" s="48"/>
    </row>
    <row r="69" spans="1:15" ht="19.899999999999999" customHeight="1" x14ac:dyDescent="0.25">
      <c r="A69" s="70" t="s">
        <v>105</v>
      </c>
      <c r="B69" s="97" t="s">
        <v>106</v>
      </c>
      <c r="C69" s="87"/>
      <c r="D69" s="37">
        <f>D70+D71</f>
        <v>5200000</v>
      </c>
      <c r="E69" s="37">
        <f t="shared" ref="E69:H69" si="24">E70+E71</f>
        <v>1224000</v>
      </c>
      <c r="F69" s="37">
        <f t="shared" si="24"/>
        <v>0</v>
      </c>
      <c r="G69" s="37">
        <f t="shared" si="24"/>
        <v>0</v>
      </c>
      <c r="H69" s="37">
        <f t="shared" si="24"/>
        <v>0</v>
      </c>
      <c r="I69" s="45">
        <f t="shared" si="6"/>
        <v>1224000</v>
      </c>
      <c r="J69" s="40">
        <f t="shared" si="3"/>
        <v>23.53846153846154</v>
      </c>
      <c r="K69" s="35"/>
      <c r="L69" s="35"/>
      <c r="M69" s="35"/>
      <c r="N69" s="48"/>
    </row>
    <row r="70" spans="1:15" ht="19.899999999999999" customHeight="1" x14ac:dyDescent="0.25">
      <c r="A70" s="70"/>
      <c r="B70" s="87" t="s">
        <v>107</v>
      </c>
      <c r="C70" s="87"/>
      <c r="D70" s="37">
        <v>1200000</v>
      </c>
      <c r="E70" s="52">
        <f>561000+663000</f>
        <v>1224000</v>
      </c>
      <c r="F70" s="53"/>
      <c r="G70" s="54"/>
      <c r="H70" s="53"/>
      <c r="I70" s="45">
        <f t="shared" si="6"/>
        <v>1224000</v>
      </c>
      <c r="J70" s="40">
        <f t="shared" si="3"/>
        <v>102</v>
      </c>
      <c r="K70" s="35"/>
      <c r="L70" s="35"/>
      <c r="M70" s="35"/>
      <c r="N70" s="48"/>
    </row>
    <row r="71" spans="1:15" ht="19.899999999999999" customHeight="1" x14ac:dyDescent="0.25">
      <c r="A71" s="70"/>
      <c r="B71" s="87" t="s">
        <v>108</v>
      </c>
      <c r="C71" s="87"/>
      <c r="D71" s="37">
        <v>4000000</v>
      </c>
      <c r="E71" s="52"/>
      <c r="F71" s="53"/>
      <c r="G71" s="54"/>
      <c r="H71" s="53"/>
      <c r="I71" s="45">
        <f t="shared" si="6"/>
        <v>0</v>
      </c>
      <c r="J71" s="40">
        <f t="shared" si="3"/>
        <v>0</v>
      </c>
      <c r="K71" s="35"/>
      <c r="L71" s="35"/>
      <c r="M71" s="35"/>
      <c r="N71" s="48"/>
    </row>
    <row r="72" spans="1:15" ht="19.899999999999999" customHeight="1" x14ac:dyDescent="0.25">
      <c r="A72" s="70" t="s">
        <v>109</v>
      </c>
      <c r="B72" s="97" t="s">
        <v>110</v>
      </c>
      <c r="C72" s="87"/>
      <c r="D72" s="37">
        <f>D73+D74</f>
        <v>10400000</v>
      </c>
      <c r="E72" s="37">
        <f t="shared" ref="E72:H72" si="25">E73+E74</f>
        <v>0</v>
      </c>
      <c r="F72" s="37">
        <f t="shared" si="25"/>
        <v>0</v>
      </c>
      <c r="G72" s="37">
        <f t="shared" si="25"/>
        <v>0</v>
      </c>
      <c r="H72" s="37">
        <f t="shared" si="25"/>
        <v>0</v>
      </c>
      <c r="I72" s="45">
        <f t="shared" si="6"/>
        <v>0</v>
      </c>
      <c r="J72" s="40">
        <f t="shared" si="3"/>
        <v>0</v>
      </c>
      <c r="K72" s="35"/>
      <c r="L72" s="35"/>
      <c r="M72" s="35"/>
      <c r="N72" s="48"/>
    </row>
    <row r="73" spans="1:15" ht="19.899999999999999" customHeight="1" x14ac:dyDescent="0.25">
      <c r="A73" s="70"/>
      <c r="B73" s="87" t="s">
        <v>111</v>
      </c>
      <c r="C73" s="87"/>
      <c r="D73" s="37">
        <v>8600000</v>
      </c>
      <c r="E73" s="52"/>
      <c r="F73" s="53"/>
      <c r="G73" s="54"/>
      <c r="H73" s="53"/>
      <c r="I73" s="45">
        <f t="shared" si="6"/>
        <v>0</v>
      </c>
      <c r="J73" s="40">
        <f t="shared" si="3"/>
        <v>0</v>
      </c>
      <c r="K73" s="35"/>
      <c r="L73" s="35"/>
      <c r="M73" s="35"/>
      <c r="N73" s="48"/>
    </row>
    <row r="74" spans="1:15" ht="19.899999999999999" customHeight="1" x14ac:dyDescent="0.25">
      <c r="A74" s="70"/>
      <c r="B74" s="87" t="s">
        <v>112</v>
      </c>
      <c r="C74" s="87"/>
      <c r="D74" s="37">
        <v>1800000</v>
      </c>
      <c r="E74" s="52"/>
      <c r="F74" s="53"/>
      <c r="G74" s="54"/>
      <c r="H74" s="53"/>
      <c r="I74" s="45">
        <f t="shared" si="6"/>
        <v>0</v>
      </c>
      <c r="J74" s="40">
        <f t="shared" si="3"/>
        <v>0</v>
      </c>
      <c r="K74" s="35"/>
      <c r="L74" s="35"/>
      <c r="M74" s="35"/>
      <c r="N74" s="48"/>
    </row>
    <row r="75" spans="1:15" ht="19.899999999999999" customHeight="1" x14ac:dyDescent="0.25">
      <c r="A75" s="70" t="s">
        <v>113</v>
      </c>
      <c r="B75" s="87" t="s">
        <v>114</v>
      </c>
      <c r="C75" s="87"/>
      <c r="D75" s="66">
        <f>D76+D77</f>
        <v>5000000</v>
      </c>
      <c r="E75" s="66">
        <f t="shared" ref="E75:H75" si="26">E76+E77</f>
        <v>1423600</v>
      </c>
      <c r="F75" s="66">
        <f t="shared" si="26"/>
        <v>0</v>
      </c>
      <c r="G75" s="66">
        <f t="shared" si="26"/>
        <v>0</v>
      </c>
      <c r="H75" s="66">
        <f t="shared" si="26"/>
        <v>0</v>
      </c>
      <c r="I75" s="45">
        <f t="shared" si="6"/>
        <v>1423600</v>
      </c>
      <c r="J75" s="40">
        <f t="shared" si="3"/>
        <v>28.471999999999998</v>
      </c>
      <c r="K75" s="35"/>
      <c r="L75" s="35"/>
      <c r="M75" s="35"/>
      <c r="N75" s="48"/>
    </row>
    <row r="76" spans="1:15" ht="19.899999999999999" customHeight="1" x14ac:dyDescent="0.25">
      <c r="A76" s="32"/>
      <c r="B76" s="87" t="s">
        <v>115</v>
      </c>
      <c r="C76" s="87"/>
      <c r="D76" s="66">
        <v>3000000</v>
      </c>
      <c r="E76" s="52">
        <v>1423600</v>
      </c>
      <c r="F76" s="53"/>
      <c r="G76" s="54"/>
      <c r="H76" s="53"/>
      <c r="I76" s="45">
        <f t="shared" si="6"/>
        <v>1423600</v>
      </c>
      <c r="J76" s="40">
        <f t="shared" si="3"/>
        <v>47.453333333333333</v>
      </c>
      <c r="K76" s="35">
        <v>100</v>
      </c>
      <c r="L76" s="35"/>
      <c r="M76" s="35"/>
      <c r="N76" s="48"/>
    </row>
    <row r="77" spans="1:15" ht="19.899999999999999" customHeight="1" x14ac:dyDescent="0.25">
      <c r="A77" s="32"/>
      <c r="B77" s="87" t="s">
        <v>116</v>
      </c>
      <c r="C77" s="87"/>
      <c r="D77" s="66">
        <v>2000000</v>
      </c>
      <c r="E77" s="52"/>
      <c r="F77" s="53"/>
      <c r="G77" s="54"/>
      <c r="H77" s="53"/>
      <c r="I77" s="45">
        <f t="shared" si="6"/>
        <v>0</v>
      </c>
      <c r="J77" s="40">
        <f t="shared" ref="J77:J143" si="27">I77/D77*100</f>
        <v>0</v>
      </c>
      <c r="K77" s="35"/>
      <c r="L77" s="35"/>
      <c r="M77" s="35"/>
      <c r="N77" s="48"/>
    </row>
    <row r="78" spans="1:15" s="63" customFormat="1" ht="19.899999999999999" customHeight="1" x14ac:dyDescent="0.25">
      <c r="A78" s="60" t="s">
        <v>117</v>
      </c>
      <c r="B78" s="61" t="s">
        <v>118</v>
      </c>
      <c r="C78" s="61"/>
      <c r="D78" s="62">
        <f>D79+D98</f>
        <v>110946500</v>
      </c>
      <c r="E78" s="62">
        <f t="shared" ref="E78:M78" si="28">E79+E98</f>
        <v>84861250</v>
      </c>
      <c r="F78" s="62">
        <f t="shared" si="28"/>
        <v>0</v>
      </c>
      <c r="G78" s="62">
        <f t="shared" si="28"/>
        <v>500000</v>
      </c>
      <c r="H78" s="62">
        <f t="shared" si="28"/>
        <v>0</v>
      </c>
      <c r="I78" s="62">
        <f t="shared" si="28"/>
        <v>85361250</v>
      </c>
      <c r="J78" s="62">
        <f t="shared" si="28"/>
        <v>165.5834835090578</v>
      </c>
      <c r="K78" s="62">
        <f t="shared" si="28"/>
        <v>0</v>
      </c>
      <c r="L78" s="62">
        <f t="shared" si="28"/>
        <v>0</v>
      </c>
      <c r="M78" s="62">
        <f t="shared" si="28"/>
        <v>0</v>
      </c>
      <c r="N78" s="48"/>
    </row>
    <row r="79" spans="1:15" ht="19.899999999999999" customHeight="1" x14ac:dyDescent="0.25">
      <c r="A79" s="98" t="s">
        <v>119</v>
      </c>
      <c r="B79" s="71" t="s">
        <v>120</v>
      </c>
      <c r="C79" s="99" t="s">
        <v>34</v>
      </c>
      <c r="D79" s="100">
        <f>SUM(D80:D97)</f>
        <v>104946500</v>
      </c>
      <c r="E79" s="101">
        <v>80000000</v>
      </c>
      <c r="F79" s="102"/>
      <c r="G79" s="103"/>
      <c r="H79" s="104"/>
      <c r="I79" s="45">
        <f t="shared" ref="I79:I144" si="29">E79+G79</f>
        <v>80000000</v>
      </c>
      <c r="J79" s="40">
        <f t="shared" si="27"/>
        <v>76.229316842391128</v>
      </c>
      <c r="K79" s="27"/>
      <c r="L79" s="105"/>
      <c r="M79" s="27"/>
      <c r="N79" s="106"/>
      <c r="O79" s="36">
        <f>I78-116073000</f>
        <v>-30711750</v>
      </c>
    </row>
    <row r="80" spans="1:15" ht="19.899999999999999" customHeight="1" x14ac:dyDescent="0.25">
      <c r="A80" s="32"/>
      <c r="B80" s="65" t="s">
        <v>121</v>
      </c>
      <c r="C80" s="65" t="s">
        <v>34</v>
      </c>
      <c r="D80" s="66">
        <v>30000000</v>
      </c>
      <c r="E80" s="52"/>
      <c r="F80" s="53"/>
      <c r="G80" s="54"/>
      <c r="H80" s="54"/>
      <c r="I80" s="45">
        <f t="shared" si="29"/>
        <v>0</v>
      </c>
      <c r="J80" s="40">
        <f t="shared" si="27"/>
        <v>0</v>
      </c>
      <c r="K80" s="35"/>
      <c r="L80" s="35"/>
      <c r="M80" s="35"/>
      <c r="N80" s="48"/>
    </row>
    <row r="81" spans="1:14" ht="19.899999999999999" customHeight="1" x14ac:dyDescent="0.25">
      <c r="A81" s="32"/>
      <c r="B81" s="65" t="s">
        <v>122</v>
      </c>
      <c r="C81" s="65"/>
      <c r="D81" s="66">
        <v>16560000</v>
      </c>
      <c r="E81" s="52"/>
      <c r="F81" s="53"/>
      <c r="G81" s="54"/>
      <c r="H81" s="54"/>
      <c r="I81" s="45">
        <f t="shared" si="29"/>
        <v>0</v>
      </c>
      <c r="J81" s="40">
        <f t="shared" si="27"/>
        <v>0</v>
      </c>
      <c r="K81" s="35"/>
      <c r="L81" s="35"/>
      <c r="M81" s="35"/>
      <c r="N81" s="48"/>
    </row>
    <row r="82" spans="1:14" ht="19.899999999999999" customHeight="1" x14ac:dyDescent="0.25">
      <c r="A82" s="32"/>
      <c r="B82" s="65" t="s">
        <v>123</v>
      </c>
      <c r="C82" s="65"/>
      <c r="D82" s="66">
        <f>580*24000</f>
        <v>13920000</v>
      </c>
      <c r="E82" s="52"/>
      <c r="F82" s="53"/>
      <c r="G82" s="54"/>
      <c r="H82" s="54"/>
      <c r="I82" s="45">
        <f t="shared" si="29"/>
        <v>0</v>
      </c>
      <c r="J82" s="40">
        <f t="shared" si="27"/>
        <v>0</v>
      </c>
      <c r="K82" s="35"/>
      <c r="L82" s="35"/>
      <c r="M82" s="35"/>
      <c r="N82" s="48"/>
    </row>
    <row r="83" spans="1:14" ht="19.899999999999999" customHeight="1" x14ac:dyDescent="0.25">
      <c r="A83" s="32"/>
      <c r="B83" s="65" t="s">
        <v>124</v>
      </c>
      <c r="C83" s="65"/>
      <c r="D83" s="66">
        <v>5200000</v>
      </c>
      <c r="E83" s="52"/>
      <c r="F83" s="53"/>
      <c r="G83" s="54"/>
      <c r="H83" s="54"/>
      <c r="I83" s="45">
        <f t="shared" si="29"/>
        <v>0</v>
      </c>
      <c r="J83" s="40">
        <f t="shared" si="27"/>
        <v>0</v>
      </c>
      <c r="K83" s="35"/>
      <c r="L83" s="35"/>
      <c r="M83" s="35"/>
      <c r="N83" s="48"/>
    </row>
    <row r="84" spans="1:14" ht="19.899999999999999" customHeight="1" x14ac:dyDescent="0.25">
      <c r="A84" s="32"/>
      <c r="B84" s="65" t="s">
        <v>125</v>
      </c>
      <c r="C84" s="65"/>
      <c r="D84" s="66">
        <v>1590000</v>
      </c>
      <c r="E84" s="52"/>
      <c r="F84" s="53"/>
      <c r="G84" s="54"/>
      <c r="H84" s="54"/>
      <c r="I84" s="45">
        <f t="shared" si="29"/>
        <v>0</v>
      </c>
      <c r="J84" s="40">
        <f t="shared" si="27"/>
        <v>0</v>
      </c>
      <c r="K84" s="35"/>
      <c r="L84" s="35"/>
      <c r="M84" s="35"/>
      <c r="N84" s="48"/>
    </row>
    <row r="85" spans="1:14" ht="19.899999999999999" customHeight="1" x14ac:dyDescent="0.25">
      <c r="A85" s="32"/>
      <c r="B85" s="65" t="s">
        <v>126</v>
      </c>
      <c r="C85" s="65"/>
      <c r="D85" s="66">
        <v>7950000</v>
      </c>
      <c r="E85" s="52"/>
      <c r="F85" s="53"/>
      <c r="G85" s="54"/>
      <c r="H85" s="54"/>
      <c r="I85" s="45">
        <f t="shared" si="29"/>
        <v>0</v>
      </c>
      <c r="J85" s="40">
        <f t="shared" si="27"/>
        <v>0</v>
      </c>
      <c r="K85" s="35"/>
      <c r="L85" s="35"/>
      <c r="M85" s="35"/>
      <c r="N85" s="48"/>
    </row>
    <row r="86" spans="1:14" ht="19.899999999999999" customHeight="1" x14ac:dyDescent="0.25">
      <c r="A86" s="32"/>
      <c r="B86" s="65" t="s">
        <v>127</v>
      </c>
      <c r="C86" s="65"/>
      <c r="D86" s="66">
        <v>560000</v>
      </c>
      <c r="E86" s="52"/>
      <c r="F86" s="53"/>
      <c r="G86" s="54"/>
      <c r="H86" s="54"/>
      <c r="I86" s="45">
        <f t="shared" si="29"/>
        <v>0</v>
      </c>
      <c r="J86" s="40">
        <f t="shared" si="27"/>
        <v>0</v>
      </c>
      <c r="K86" s="35"/>
      <c r="L86" s="35"/>
      <c r="M86" s="35"/>
      <c r="N86" s="48"/>
    </row>
    <row r="87" spans="1:14" ht="19.899999999999999" customHeight="1" x14ac:dyDescent="0.25">
      <c r="A87" s="32"/>
      <c r="B87" s="65" t="s">
        <v>128</v>
      </c>
      <c r="C87" s="65"/>
      <c r="D87" s="66">
        <v>5499000</v>
      </c>
      <c r="E87" s="52"/>
      <c r="F87" s="53"/>
      <c r="G87" s="54"/>
      <c r="H87" s="54"/>
      <c r="I87" s="45">
        <f t="shared" si="29"/>
        <v>0</v>
      </c>
      <c r="J87" s="40">
        <f t="shared" si="27"/>
        <v>0</v>
      </c>
      <c r="K87" s="35"/>
      <c r="L87" s="35"/>
      <c r="M87" s="35"/>
      <c r="N87" s="48"/>
    </row>
    <row r="88" spans="1:14" ht="19.899999999999999" customHeight="1" x14ac:dyDescent="0.25">
      <c r="A88" s="32"/>
      <c r="B88" s="65" t="s">
        <v>129</v>
      </c>
      <c r="C88" s="65"/>
      <c r="D88" s="66">
        <v>5499000</v>
      </c>
      <c r="E88" s="52"/>
      <c r="F88" s="53"/>
      <c r="G88" s="54"/>
      <c r="H88" s="54"/>
      <c r="I88" s="45">
        <f t="shared" si="29"/>
        <v>0</v>
      </c>
      <c r="J88" s="40">
        <f t="shared" si="27"/>
        <v>0</v>
      </c>
      <c r="K88" s="35"/>
      <c r="L88" s="35"/>
      <c r="M88" s="35"/>
      <c r="N88" s="48"/>
    </row>
    <row r="89" spans="1:14" ht="19.899999999999999" customHeight="1" x14ac:dyDescent="0.25">
      <c r="A89" s="32"/>
      <c r="B89" s="65" t="s">
        <v>130</v>
      </c>
      <c r="C89" s="65"/>
      <c r="D89" s="66">
        <v>2507700</v>
      </c>
      <c r="E89" s="52"/>
      <c r="F89" s="53"/>
      <c r="G89" s="54"/>
      <c r="H89" s="54"/>
      <c r="I89" s="45">
        <f t="shared" si="29"/>
        <v>0</v>
      </c>
      <c r="J89" s="40">
        <f t="shared" si="27"/>
        <v>0</v>
      </c>
      <c r="K89" s="35"/>
      <c r="L89" s="35"/>
      <c r="M89" s="35"/>
      <c r="N89" s="48"/>
    </row>
    <row r="90" spans="1:14" ht="19.899999999999999" customHeight="1" x14ac:dyDescent="0.25">
      <c r="A90" s="32"/>
      <c r="B90" s="65" t="s">
        <v>131</v>
      </c>
      <c r="C90" s="65"/>
      <c r="D90" s="66">
        <v>730800</v>
      </c>
      <c r="E90" s="52"/>
      <c r="F90" s="53"/>
      <c r="G90" s="54"/>
      <c r="H90" s="54"/>
      <c r="I90" s="45">
        <f t="shared" si="29"/>
        <v>0</v>
      </c>
      <c r="J90" s="40">
        <f t="shared" si="27"/>
        <v>0</v>
      </c>
      <c r="K90" s="35"/>
      <c r="L90" s="35"/>
      <c r="M90" s="35"/>
      <c r="N90" s="48"/>
    </row>
    <row r="91" spans="1:14" ht="19.899999999999999" customHeight="1" x14ac:dyDescent="0.25">
      <c r="A91" s="32"/>
      <c r="B91" s="107" t="s">
        <v>132</v>
      </c>
      <c r="C91" s="65"/>
      <c r="D91" s="66">
        <v>7000000</v>
      </c>
      <c r="E91" s="52"/>
      <c r="F91" s="53"/>
      <c r="G91" s="54"/>
      <c r="H91" s="54"/>
      <c r="I91" s="45">
        <f t="shared" si="29"/>
        <v>0</v>
      </c>
      <c r="J91" s="40">
        <f t="shared" si="27"/>
        <v>0</v>
      </c>
      <c r="K91" s="35"/>
      <c r="L91" s="35"/>
      <c r="M91" s="35"/>
      <c r="N91" s="48"/>
    </row>
    <row r="92" spans="1:14" ht="19.899999999999999" customHeight="1" x14ac:dyDescent="0.25">
      <c r="A92" s="32"/>
      <c r="B92" s="107" t="s">
        <v>133</v>
      </c>
      <c r="C92" s="65"/>
      <c r="D92" s="66">
        <v>140000</v>
      </c>
      <c r="E92" s="52"/>
      <c r="F92" s="53"/>
      <c r="G92" s="54"/>
      <c r="H92" s="54"/>
      <c r="I92" s="45">
        <f t="shared" si="29"/>
        <v>0</v>
      </c>
      <c r="J92" s="40">
        <f t="shared" si="27"/>
        <v>0</v>
      </c>
      <c r="K92" s="35"/>
      <c r="L92" s="35"/>
      <c r="M92" s="35"/>
      <c r="N92" s="48"/>
    </row>
    <row r="93" spans="1:14" ht="19.899999999999999" customHeight="1" x14ac:dyDescent="0.25">
      <c r="A93" s="32"/>
      <c r="B93" s="65" t="s">
        <v>134</v>
      </c>
      <c r="C93" s="65"/>
      <c r="D93" s="66">
        <v>2950000</v>
      </c>
      <c r="E93" s="52"/>
      <c r="F93" s="53"/>
      <c r="G93" s="54"/>
      <c r="H93" s="54"/>
      <c r="I93" s="45">
        <f t="shared" si="29"/>
        <v>0</v>
      </c>
      <c r="J93" s="40">
        <f t="shared" si="27"/>
        <v>0</v>
      </c>
      <c r="K93" s="35"/>
      <c r="L93" s="35"/>
      <c r="M93" s="35"/>
      <c r="N93" s="48"/>
    </row>
    <row r="94" spans="1:14" ht="19.899999999999999" customHeight="1" x14ac:dyDescent="0.25">
      <c r="A94" s="32"/>
      <c r="B94" s="65" t="s">
        <v>135</v>
      </c>
      <c r="C94" s="65"/>
      <c r="D94" s="66">
        <v>975000</v>
      </c>
      <c r="E94" s="52"/>
      <c r="F94" s="53"/>
      <c r="G94" s="54"/>
      <c r="H94" s="54"/>
      <c r="I94" s="45">
        <f t="shared" si="29"/>
        <v>0</v>
      </c>
      <c r="J94" s="40">
        <f t="shared" si="27"/>
        <v>0</v>
      </c>
      <c r="K94" s="35"/>
      <c r="L94" s="35"/>
      <c r="M94" s="35"/>
      <c r="N94" s="48"/>
    </row>
    <row r="95" spans="1:14" ht="19.899999999999999" customHeight="1" x14ac:dyDescent="0.25">
      <c r="A95" s="32"/>
      <c r="B95" s="65" t="s">
        <v>136</v>
      </c>
      <c r="C95" s="65"/>
      <c r="D95" s="66">
        <v>1300000</v>
      </c>
      <c r="E95" s="52"/>
      <c r="F95" s="53"/>
      <c r="G95" s="54"/>
      <c r="H95" s="54"/>
      <c r="I95" s="45">
        <f t="shared" si="29"/>
        <v>0</v>
      </c>
      <c r="J95" s="40">
        <f t="shared" si="27"/>
        <v>0</v>
      </c>
      <c r="K95" s="35"/>
      <c r="L95" s="35"/>
      <c r="M95" s="35"/>
      <c r="N95" s="48"/>
    </row>
    <row r="96" spans="1:14" ht="19.899999999999999" customHeight="1" x14ac:dyDescent="0.25">
      <c r="A96" s="32"/>
      <c r="B96" s="65" t="s">
        <v>137</v>
      </c>
      <c r="C96" s="65"/>
      <c r="D96" s="66">
        <v>975000</v>
      </c>
      <c r="E96" s="52"/>
      <c r="F96" s="53"/>
      <c r="G96" s="54"/>
      <c r="H96" s="54"/>
      <c r="I96" s="45">
        <f t="shared" si="29"/>
        <v>0</v>
      </c>
      <c r="J96" s="40">
        <f t="shared" si="27"/>
        <v>0</v>
      </c>
      <c r="K96" s="35"/>
      <c r="L96" s="35"/>
      <c r="M96" s="35"/>
      <c r="N96" s="48"/>
    </row>
    <row r="97" spans="1:20" ht="19.899999999999999" customHeight="1" x14ac:dyDescent="0.25">
      <c r="A97" s="32"/>
      <c r="B97" s="65" t="s">
        <v>138</v>
      </c>
      <c r="C97" s="65"/>
      <c r="D97" s="66">
        <v>1590000</v>
      </c>
      <c r="E97" s="52"/>
      <c r="F97" s="53"/>
      <c r="G97" s="54"/>
      <c r="H97" s="54"/>
      <c r="I97" s="45">
        <f t="shared" si="29"/>
        <v>0</v>
      </c>
      <c r="J97" s="40">
        <f t="shared" si="27"/>
        <v>0</v>
      </c>
      <c r="K97" s="35"/>
      <c r="L97" s="35"/>
      <c r="M97" s="35"/>
      <c r="N97" s="48"/>
    </row>
    <row r="98" spans="1:20" ht="19.899999999999999" customHeight="1" x14ac:dyDescent="0.25">
      <c r="A98" s="32" t="s">
        <v>139</v>
      </c>
      <c r="B98" s="107" t="s">
        <v>140</v>
      </c>
      <c r="C98" s="65"/>
      <c r="D98" s="66">
        <v>6000000</v>
      </c>
      <c r="E98" s="52">
        <f>500000+500000+500000+448750+412500+500000+500000+500000+500000+500000</f>
        <v>4861250</v>
      </c>
      <c r="F98" s="53"/>
      <c r="G98" s="108">
        <v>500000</v>
      </c>
      <c r="H98" s="54"/>
      <c r="I98" s="45">
        <f t="shared" si="29"/>
        <v>5361250</v>
      </c>
      <c r="J98" s="40">
        <f t="shared" si="27"/>
        <v>89.354166666666671</v>
      </c>
      <c r="K98" s="35"/>
      <c r="L98" s="35"/>
      <c r="M98" s="35"/>
      <c r="N98" s="48"/>
      <c r="Q98" s="36">
        <f>14450000-I99</f>
        <v>8200000</v>
      </c>
    </row>
    <row r="99" spans="1:20" s="63" customFormat="1" ht="19.899999999999999" customHeight="1" x14ac:dyDescent="0.25">
      <c r="A99" s="60" t="s">
        <v>141</v>
      </c>
      <c r="B99" s="61" t="s">
        <v>142</v>
      </c>
      <c r="C99" s="33"/>
      <c r="D99" s="37">
        <f>D100+D102+D104+D106+D108+D110+D112+D115</f>
        <v>19300000</v>
      </c>
      <c r="E99" s="37">
        <f t="shared" ref="E99:N99" si="30">E100+E102+E104+E106+E108+E110+E112+E115</f>
        <v>4750000</v>
      </c>
      <c r="F99" s="37">
        <f t="shared" si="30"/>
        <v>0</v>
      </c>
      <c r="G99" s="37">
        <f t="shared" si="30"/>
        <v>1500000</v>
      </c>
      <c r="H99" s="37">
        <f t="shared" si="30"/>
        <v>0</v>
      </c>
      <c r="I99" s="37">
        <f t="shared" si="30"/>
        <v>6250000</v>
      </c>
      <c r="J99" s="37">
        <f t="shared" si="30"/>
        <v>266.66666666666663</v>
      </c>
      <c r="K99" s="37">
        <f t="shared" si="30"/>
        <v>200</v>
      </c>
      <c r="L99" s="37">
        <f t="shared" si="30"/>
        <v>0</v>
      </c>
      <c r="M99" s="37">
        <f t="shared" si="30"/>
        <v>0</v>
      </c>
      <c r="N99" s="37">
        <f t="shared" si="30"/>
        <v>0</v>
      </c>
    </row>
    <row r="100" spans="1:20" ht="19.899999999999999" customHeight="1" x14ac:dyDescent="0.25">
      <c r="A100" s="32" t="s">
        <v>143</v>
      </c>
      <c r="B100" s="109" t="s">
        <v>144</v>
      </c>
      <c r="C100" s="65"/>
      <c r="D100" s="66">
        <f>D101</f>
        <v>900000</v>
      </c>
      <c r="E100" s="66">
        <f t="shared" ref="E100:M100" si="31">E101</f>
        <v>225000</v>
      </c>
      <c r="F100" s="66">
        <f t="shared" si="31"/>
        <v>0</v>
      </c>
      <c r="G100" s="66">
        <f t="shared" si="31"/>
        <v>0</v>
      </c>
      <c r="H100" s="66">
        <f t="shared" si="31"/>
        <v>0</v>
      </c>
      <c r="I100" s="66">
        <f t="shared" si="31"/>
        <v>225000</v>
      </c>
      <c r="J100" s="66">
        <f t="shared" si="31"/>
        <v>25</v>
      </c>
      <c r="K100" s="66">
        <f t="shared" si="31"/>
        <v>0</v>
      </c>
      <c r="L100" s="66">
        <f t="shared" si="31"/>
        <v>0</v>
      </c>
      <c r="M100" s="66">
        <f t="shared" si="31"/>
        <v>0</v>
      </c>
      <c r="N100" s="48"/>
      <c r="P100">
        <f>750000</f>
        <v>750000</v>
      </c>
    </row>
    <row r="101" spans="1:20" ht="19.899999999999999" customHeight="1" x14ac:dyDescent="0.25">
      <c r="A101" s="110"/>
      <c r="B101" s="111" t="s">
        <v>145</v>
      </c>
      <c r="C101" s="65" t="s">
        <v>34</v>
      </c>
      <c r="D101" s="112">
        <v>900000</v>
      </c>
      <c r="E101" s="52">
        <v>225000</v>
      </c>
      <c r="F101" s="53"/>
      <c r="G101" s="54"/>
      <c r="H101" s="67"/>
      <c r="I101" s="45">
        <f t="shared" si="29"/>
        <v>225000</v>
      </c>
      <c r="J101" s="40">
        <f t="shared" si="27"/>
        <v>25</v>
      </c>
      <c r="K101" s="66"/>
      <c r="L101" s="68"/>
      <c r="M101" s="35"/>
      <c r="N101" s="48"/>
      <c r="P101">
        <f>975000*5</f>
        <v>4875000</v>
      </c>
    </row>
    <row r="102" spans="1:20" ht="19.899999999999999" customHeight="1" x14ac:dyDescent="0.25">
      <c r="A102" s="110"/>
      <c r="B102" s="109" t="s">
        <v>146</v>
      </c>
      <c r="C102" s="65"/>
      <c r="D102" s="112">
        <f>D103</f>
        <v>900000</v>
      </c>
      <c r="E102" s="112">
        <f t="shared" ref="E102:I102" si="32">E103</f>
        <v>225000</v>
      </c>
      <c r="F102" s="112">
        <f t="shared" si="32"/>
        <v>0</v>
      </c>
      <c r="G102" s="112">
        <f t="shared" si="32"/>
        <v>0</v>
      </c>
      <c r="H102" s="112">
        <f t="shared" si="32"/>
        <v>0</v>
      </c>
      <c r="I102" s="112">
        <f t="shared" si="32"/>
        <v>225000</v>
      </c>
      <c r="J102" s="40">
        <f t="shared" si="27"/>
        <v>25</v>
      </c>
      <c r="K102" s="66"/>
      <c r="L102" s="113"/>
      <c r="M102" s="113">
        <f t="shared" ref="M102" si="33">M103</f>
        <v>0</v>
      </c>
      <c r="N102" s="48"/>
      <c r="P102">
        <f>1200000</f>
        <v>1200000</v>
      </c>
    </row>
    <row r="103" spans="1:20" ht="19.899999999999999" customHeight="1" x14ac:dyDescent="0.25">
      <c r="A103" s="110"/>
      <c r="B103" s="111" t="s">
        <v>145</v>
      </c>
      <c r="C103" s="65"/>
      <c r="D103" s="112">
        <v>900000</v>
      </c>
      <c r="E103" s="52">
        <v>225000</v>
      </c>
      <c r="F103" s="53"/>
      <c r="G103" s="54"/>
      <c r="H103" s="67"/>
      <c r="I103" s="45">
        <f t="shared" si="29"/>
        <v>225000</v>
      </c>
      <c r="J103" s="40">
        <f t="shared" si="27"/>
        <v>25</v>
      </c>
      <c r="K103" s="66"/>
      <c r="L103" s="68"/>
      <c r="M103" s="35"/>
      <c r="N103" s="48"/>
      <c r="P103" s="36">
        <f>1200000</f>
        <v>1200000</v>
      </c>
      <c r="T103">
        <v>17250000</v>
      </c>
    </row>
    <row r="104" spans="1:20" ht="19.899999999999999" customHeight="1" x14ac:dyDescent="0.25">
      <c r="A104" s="110"/>
      <c r="B104" s="109" t="s">
        <v>147</v>
      </c>
      <c r="C104" s="65"/>
      <c r="D104" s="112">
        <f>D105</f>
        <v>900000</v>
      </c>
      <c r="E104" s="52"/>
      <c r="F104" s="53"/>
      <c r="G104" s="54"/>
      <c r="H104" s="67"/>
      <c r="I104" s="45">
        <f t="shared" si="29"/>
        <v>0</v>
      </c>
      <c r="J104" s="40">
        <f t="shared" si="27"/>
        <v>0</v>
      </c>
      <c r="K104" s="66"/>
      <c r="L104" s="75"/>
      <c r="M104" s="75"/>
      <c r="N104" s="48"/>
      <c r="P104">
        <f>3475000</f>
        <v>3475000</v>
      </c>
      <c r="T104">
        <v>14500000</v>
      </c>
    </row>
    <row r="105" spans="1:20" ht="19.899999999999999" customHeight="1" x14ac:dyDescent="0.25">
      <c r="A105" s="110"/>
      <c r="B105" s="111" t="s">
        <v>148</v>
      </c>
      <c r="C105" s="65"/>
      <c r="D105" s="112">
        <v>900000</v>
      </c>
      <c r="E105" s="52"/>
      <c r="F105" s="53"/>
      <c r="G105" s="54"/>
      <c r="H105" s="67"/>
      <c r="I105" s="45">
        <f t="shared" si="29"/>
        <v>0</v>
      </c>
      <c r="J105" s="40">
        <f t="shared" si="27"/>
        <v>0</v>
      </c>
      <c r="K105" s="66"/>
      <c r="L105" s="68"/>
      <c r="M105" s="35"/>
      <c r="N105" s="48"/>
      <c r="P105">
        <f>1425000</f>
        <v>1425000</v>
      </c>
      <c r="T105">
        <v>7800000</v>
      </c>
    </row>
    <row r="106" spans="1:20" ht="19.899999999999999" customHeight="1" x14ac:dyDescent="0.25">
      <c r="A106" s="110"/>
      <c r="B106" s="109" t="s">
        <v>149</v>
      </c>
      <c r="C106" s="65"/>
      <c r="D106" s="112">
        <f>D107</f>
        <v>900000</v>
      </c>
      <c r="E106" s="112"/>
      <c r="F106" s="112"/>
      <c r="G106" s="112"/>
      <c r="H106" s="67"/>
      <c r="I106" s="45">
        <f t="shared" si="29"/>
        <v>0</v>
      </c>
      <c r="J106" s="40">
        <f t="shared" si="27"/>
        <v>0</v>
      </c>
      <c r="K106" s="66"/>
      <c r="L106" s="75"/>
      <c r="M106" s="75"/>
      <c r="N106" s="48"/>
      <c r="P106">
        <v>1525000</v>
      </c>
      <c r="T106">
        <f>SUM(T103:T105)</f>
        <v>39550000</v>
      </c>
    </row>
    <row r="107" spans="1:20" ht="19.899999999999999" customHeight="1" x14ac:dyDescent="0.25">
      <c r="A107" s="110"/>
      <c r="B107" s="111" t="s">
        <v>148</v>
      </c>
      <c r="C107" s="65"/>
      <c r="D107" s="112">
        <v>900000</v>
      </c>
      <c r="E107" s="52"/>
      <c r="F107" s="53"/>
      <c r="G107" s="54"/>
      <c r="H107" s="67"/>
      <c r="I107" s="45">
        <f t="shared" si="29"/>
        <v>0</v>
      </c>
      <c r="J107" s="40">
        <f t="shared" si="27"/>
        <v>0</v>
      </c>
      <c r="K107" s="66"/>
      <c r="L107" s="68"/>
      <c r="M107" s="35"/>
      <c r="N107" s="48"/>
    </row>
    <row r="108" spans="1:20" ht="19.899999999999999" customHeight="1" x14ac:dyDescent="0.25">
      <c r="A108" s="110"/>
      <c r="B108" s="109" t="s">
        <v>150</v>
      </c>
      <c r="C108" s="65"/>
      <c r="D108" s="112">
        <f>D109</f>
        <v>900000</v>
      </c>
      <c r="E108" s="52"/>
      <c r="F108" s="52"/>
      <c r="G108" s="52"/>
      <c r="H108" s="67"/>
      <c r="I108" s="45">
        <f t="shared" si="29"/>
        <v>0</v>
      </c>
      <c r="J108" s="40">
        <f t="shared" si="27"/>
        <v>0</v>
      </c>
      <c r="K108" s="66"/>
      <c r="L108" s="75"/>
      <c r="M108" s="75"/>
      <c r="N108" s="48"/>
    </row>
    <row r="109" spans="1:20" ht="19.899999999999999" customHeight="1" x14ac:dyDescent="0.25">
      <c r="A109" s="110"/>
      <c r="B109" s="111" t="s">
        <v>148</v>
      </c>
      <c r="C109" s="65"/>
      <c r="D109" s="112">
        <v>900000</v>
      </c>
      <c r="E109" s="52"/>
      <c r="F109" s="53"/>
      <c r="G109" s="54"/>
      <c r="H109" s="67"/>
      <c r="I109" s="45">
        <f t="shared" si="29"/>
        <v>0</v>
      </c>
      <c r="J109" s="40">
        <f t="shared" si="27"/>
        <v>0</v>
      </c>
      <c r="K109" s="66"/>
      <c r="L109" s="68"/>
      <c r="M109" s="35"/>
      <c r="N109" s="48"/>
    </row>
    <row r="110" spans="1:20" ht="19.899999999999999" customHeight="1" x14ac:dyDescent="0.25">
      <c r="A110" s="110"/>
      <c r="B110" s="114" t="s">
        <v>151</v>
      </c>
      <c r="C110" s="65"/>
      <c r="D110" s="112">
        <f>D111</f>
        <v>10800000</v>
      </c>
      <c r="E110" s="112">
        <f t="shared" ref="E110:M110" si="34">E111</f>
        <v>1800000</v>
      </c>
      <c r="F110" s="112">
        <f t="shared" si="34"/>
        <v>0</v>
      </c>
      <c r="G110" s="112">
        <f t="shared" si="34"/>
        <v>0</v>
      </c>
      <c r="H110" s="112">
        <f t="shared" si="34"/>
        <v>0</v>
      </c>
      <c r="I110" s="112">
        <f t="shared" si="34"/>
        <v>1800000</v>
      </c>
      <c r="J110" s="112">
        <f t="shared" si="34"/>
        <v>16.666666666666664</v>
      </c>
      <c r="K110" s="112">
        <f t="shared" si="34"/>
        <v>0</v>
      </c>
      <c r="L110" s="112">
        <f t="shared" si="34"/>
        <v>0</v>
      </c>
      <c r="M110" s="112">
        <f t="shared" si="34"/>
        <v>0</v>
      </c>
      <c r="N110" s="48"/>
    </row>
    <row r="111" spans="1:20" ht="19.899999999999999" customHeight="1" x14ac:dyDescent="0.25">
      <c r="A111" s="110"/>
      <c r="B111" s="111" t="s">
        <v>152</v>
      </c>
      <c r="C111" s="65"/>
      <c r="D111" s="112">
        <v>10800000</v>
      </c>
      <c r="E111" s="52">
        <f>900000+900000</f>
        <v>1800000</v>
      </c>
      <c r="F111" s="53"/>
      <c r="G111" s="54"/>
      <c r="H111" s="67"/>
      <c r="I111" s="45">
        <f t="shared" si="29"/>
        <v>1800000</v>
      </c>
      <c r="J111" s="40">
        <f t="shared" si="27"/>
        <v>16.666666666666664</v>
      </c>
      <c r="K111" s="66"/>
      <c r="L111" s="68"/>
      <c r="M111" s="35"/>
      <c r="N111" s="48"/>
    </row>
    <row r="112" spans="1:20" ht="19.899999999999999" customHeight="1" x14ac:dyDescent="0.25">
      <c r="A112" s="110"/>
      <c r="B112" s="109" t="s">
        <v>153</v>
      </c>
      <c r="C112" s="65"/>
      <c r="D112" s="112">
        <f>D114+D113</f>
        <v>2500000</v>
      </c>
      <c r="E112" s="112">
        <f t="shared" ref="E112:N112" si="35">E114+E113</f>
        <v>2500000</v>
      </c>
      <c r="F112" s="112">
        <f t="shared" si="35"/>
        <v>0</v>
      </c>
      <c r="G112" s="112">
        <f t="shared" si="35"/>
        <v>0</v>
      </c>
      <c r="H112" s="112">
        <f t="shared" si="35"/>
        <v>0</v>
      </c>
      <c r="I112" s="112">
        <f t="shared" si="35"/>
        <v>2500000</v>
      </c>
      <c r="J112" s="112">
        <v>100</v>
      </c>
      <c r="K112" s="112">
        <v>100</v>
      </c>
      <c r="L112" s="112">
        <f t="shared" si="35"/>
        <v>0</v>
      </c>
      <c r="M112" s="112">
        <f t="shared" si="35"/>
        <v>0</v>
      </c>
      <c r="N112" s="112">
        <f t="shared" si="35"/>
        <v>0</v>
      </c>
    </row>
    <row r="113" spans="1:16" ht="19.899999999999999" customHeight="1" x14ac:dyDescent="0.25">
      <c r="A113" s="32"/>
      <c r="B113" s="111" t="s">
        <v>154</v>
      </c>
      <c r="C113" s="65"/>
      <c r="D113" s="66">
        <v>750000</v>
      </c>
      <c r="E113" s="52">
        <v>750000</v>
      </c>
      <c r="F113" s="53"/>
      <c r="G113" s="54"/>
      <c r="H113" s="54"/>
      <c r="I113" s="45">
        <f t="shared" si="29"/>
        <v>750000</v>
      </c>
      <c r="J113" s="40">
        <f t="shared" si="27"/>
        <v>100</v>
      </c>
      <c r="K113" s="66">
        <v>100</v>
      </c>
      <c r="L113" s="35"/>
      <c r="M113" s="35"/>
      <c r="N113" s="48"/>
    </row>
    <row r="114" spans="1:16" ht="19.899999999999999" customHeight="1" x14ac:dyDescent="0.25">
      <c r="A114" s="32"/>
      <c r="B114" s="111" t="s">
        <v>155</v>
      </c>
      <c r="C114" s="33"/>
      <c r="D114" s="66">
        <v>1750000</v>
      </c>
      <c r="E114" s="52">
        <v>1750000</v>
      </c>
      <c r="F114" s="53"/>
      <c r="G114" s="54"/>
      <c r="H114" s="54"/>
      <c r="I114" s="45">
        <f t="shared" si="29"/>
        <v>1750000</v>
      </c>
      <c r="J114" s="40">
        <f t="shared" si="27"/>
        <v>100</v>
      </c>
      <c r="K114" s="66">
        <v>100</v>
      </c>
      <c r="L114" s="35"/>
      <c r="M114" s="35"/>
      <c r="N114" s="48"/>
    </row>
    <row r="115" spans="1:16" ht="19.899999999999999" customHeight="1" x14ac:dyDescent="0.25">
      <c r="A115" s="32"/>
      <c r="B115" s="109" t="s">
        <v>156</v>
      </c>
      <c r="C115" s="33"/>
      <c r="D115" s="66">
        <f>D116+D117</f>
        <v>1500000</v>
      </c>
      <c r="E115" s="66">
        <f t="shared" ref="E115:L115" si="36">E116+E117</f>
        <v>0</v>
      </c>
      <c r="F115" s="66">
        <f t="shared" si="36"/>
        <v>0</v>
      </c>
      <c r="G115" s="66">
        <f t="shared" si="36"/>
        <v>1500000</v>
      </c>
      <c r="H115" s="66">
        <f t="shared" si="36"/>
        <v>0</v>
      </c>
      <c r="I115" s="45">
        <f t="shared" si="29"/>
        <v>1500000</v>
      </c>
      <c r="J115" s="40">
        <f t="shared" si="27"/>
        <v>100</v>
      </c>
      <c r="K115" s="66">
        <v>100</v>
      </c>
      <c r="L115" s="66">
        <f t="shared" si="36"/>
        <v>0</v>
      </c>
      <c r="M115" s="35"/>
      <c r="N115" s="48"/>
    </row>
    <row r="116" spans="1:16" ht="19.899999999999999" customHeight="1" x14ac:dyDescent="0.25">
      <c r="A116" s="32"/>
      <c r="B116" s="111" t="s">
        <v>157</v>
      </c>
      <c r="C116" s="33"/>
      <c r="D116" s="66">
        <f>30*15000</f>
        <v>450000</v>
      </c>
      <c r="E116" s="52"/>
      <c r="F116" s="53"/>
      <c r="G116" s="54">
        <v>450000</v>
      </c>
      <c r="H116" s="54"/>
      <c r="I116" s="45">
        <f t="shared" si="29"/>
        <v>450000</v>
      </c>
      <c r="J116" s="40">
        <f t="shared" si="27"/>
        <v>100</v>
      </c>
      <c r="K116" s="66">
        <v>100</v>
      </c>
      <c r="L116" s="35"/>
      <c r="M116" s="35"/>
      <c r="N116" s="48"/>
    </row>
    <row r="117" spans="1:16" ht="19.899999999999999" customHeight="1" x14ac:dyDescent="0.25">
      <c r="A117" s="32"/>
      <c r="B117" s="111" t="s">
        <v>158</v>
      </c>
      <c r="C117" s="33"/>
      <c r="D117" s="66">
        <f>30*35000</f>
        <v>1050000</v>
      </c>
      <c r="E117" s="52"/>
      <c r="F117" s="53"/>
      <c r="G117" s="54">
        <v>1050000</v>
      </c>
      <c r="H117" s="54"/>
      <c r="I117" s="45">
        <f t="shared" si="29"/>
        <v>1050000</v>
      </c>
      <c r="J117" s="40">
        <f t="shared" si="27"/>
        <v>100</v>
      </c>
      <c r="K117" s="66">
        <v>100</v>
      </c>
      <c r="L117" s="35"/>
      <c r="M117" s="35"/>
      <c r="N117" s="48"/>
    </row>
    <row r="118" spans="1:16" s="63" customFormat="1" ht="19.899999999999999" customHeight="1" x14ac:dyDescent="0.25">
      <c r="A118" s="60" t="s">
        <v>159</v>
      </c>
      <c r="B118" s="115" t="s">
        <v>160</v>
      </c>
      <c r="C118" s="116"/>
      <c r="D118" s="62">
        <f>D120</f>
        <v>17900000</v>
      </c>
      <c r="E118" s="62">
        <f t="shared" ref="E118:M118" si="37">E120</f>
        <v>7427628</v>
      </c>
      <c r="F118" s="62">
        <f t="shared" si="37"/>
        <v>0</v>
      </c>
      <c r="G118" s="62">
        <f t="shared" si="37"/>
        <v>0</v>
      </c>
      <c r="H118" s="62">
        <f t="shared" si="37"/>
        <v>0</v>
      </c>
      <c r="I118" s="45">
        <f t="shared" si="29"/>
        <v>7427628</v>
      </c>
      <c r="J118" s="40">
        <f t="shared" si="27"/>
        <v>41.495128491620108</v>
      </c>
      <c r="K118" s="66">
        <v>100</v>
      </c>
      <c r="L118" s="62">
        <f t="shared" si="37"/>
        <v>0</v>
      </c>
      <c r="M118" s="62">
        <f t="shared" si="37"/>
        <v>0</v>
      </c>
      <c r="N118" s="48"/>
    </row>
    <row r="119" spans="1:16" ht="21.75" customHeight="1" x14ac:dyDescent="0.25">
      <c r="A119" s="32"/>
      <c r="B119" s="111"/>
      <c r="C119" s="65"/>
      <c r="D119" s="66"/>
      <c r="E119" s="52"/>
      <c r="F119" s="53"/>
      <c r="G119" s="54"/>
      <c r="H119" s="54"/>
      <c r="I119" s="45">
        <f t="shared" si="29"/>
        <v>0</v>
      </c>
      <c r="J119" s="40"/>
      <c r="K119" s="35"/>
      <c r="L119" s="35"/>
      <c r="M119" s="35"/>
      <c r="N119" s="48"/>
    </row>
    <row r="120" spans="1:16" ht="16.899999999999999" customHeight="1" x14ac:dyDescent="0.25">
      <c r="A120" s="98" t="s">
        <v>161</v>
      </c>
      <c r="B120" s="117" t="s">
        <v>162</v>
      </c>
      <c r="C120" s="71"/>
      <c r="D120" s="72">
        <v>17900000</v>
      </c>
      <c r="E120" s="72">
        <v>7427628</v>
      </c>
      <c r="F120" s="72"/>
      <c r="G120" s="72"/>
      <c r="H120" s="72"/>
      <c r="I120" s="72"/>
      <c r="J120" s="72"/>
      <c r="K120" s="72"/>
      <c r="L120" s="72"/>
      <c r="M120" s="72"/>
      <c r="N120" s="48"/>
    </row>
    <row r="121" spans="1:16" ht="19.899999999999999" customHeight="1" x14ac:dyDescent="0.25">
      <c r="A121" s="32"/>
      <c r="B121" s="118"/>
      <c r="C121" s="65"/>
      <c r="D121" s="66"/>
      <c r="E121" s="52"/>
      <c r="F121" s="53"/>
      <c r="G121" s="54"/>
      <c r="H121" s="54"/>
      <c r="I121" s="45">
        <f t="shared" si="29"/>
        <v>0</v>
      </c>
      <c r="J121" s="40"/>
      <c r="K121" s="35"/>
      <c r="L121" s="35"/>
      <c r="M121" s="35"/>
      <c r="N121" s="48"/>
    </row>
    <row r="122" spans="1:16" s="63" customFormat="1" ht="19.899999999999999" customHeight="1" x14ac:dyDescent="0.25">
      <c r="A122" s="60" t="s">
        <v>163</v>
      </c>
      <c r="B122" s="119" t="s">
        <v>164</v>
      </c>
      <c r="C122" s="116"/>
      <c r="D122" s="62">
        <f>D123</f>
        <v>24000000</v>
      </c>
      <c r="E122" s="62">
        <f t="shared" ref="E122:J122" si="38">E123</f>
        <v>10000000</v>
      </c>
      <c r="F122" s="62">
        <f t="shared" si="38"/>
        <v>0</v>
      </c>
      <c r="G122" s="62">
        <f t="shared" si="38"/>
        <v>0</v>
      </c>
      <c r="H122" s="62">
        <f t="shared" si="38"/>
        <v>0</v>
      </c>
      <c r="I122" s="62">
        <f t="shared" si="38"/>
        <v>10000000</v>
      </c>
      <c r="J122" s="62">
        <f t="shared" si="38"/>
        <v>41.666666666666671</v>
      </c>
      <c r="K122" s="120"/>
      <c r="L122" s="120">
        <f t="shared" ref="L122" si="39">L123</f>
        <v>0</v>
      </c>
      <c r="M122" s="93"/>
      <c r="N122" s="48"/>
    </row>
    <row r="123" spans="1:16" ht="19.899999999999999" customHeight="1" x14ac:dyDescent="0.25">
      <c r="A123" s="32"/>
      <c r="B123" s="118" t="s">
        <v>165</v>
      </c>
      <c r="C123" s="65"/>
      <c r="D123" s="66">
        <v>24000000</v>
      </c>
      <c r="E123" s="52">
        <v>10000000</v>
      </c>
      <c r="F123" s="53"/>
      <c r="G123" s="54"/>
      <c r="H123" s="54"/>
      <c r="I123" s="45">
        <f t="shared" si="29"/>
        <v>10000000</v>
      </c>
      <c r="J123" s="40">
        <f t="shared" si="27"/>
        <v>41.666666666666671</v>
      </c>
      <c r="K123" s="35">
        <v>30</v>
      </c>
      <c r="L123" s="35"/>
      <c r="M123" s="35"/>
      <c r="N123" s="48"/>
    </row>
    <row r="124" spans="1:16" ht="19.899999999999999" customHeight="1" x14ac:dyDescent="0.25">
      <c r="A124" s="32"/>
      <c r="B124" s="65"/>
      <c r="C124" s="65"/>
      <c r="D124" s="66"/>
      <c r="E124" s="52"/>
      <c r="F124" s="53"/>
      <c r="G124" s="54"/>
      <c r="H124" s="54"/>
      <c r="I124" s="45">
        <f t="shared" si="29"/>
        <v>0</v>
      </c>
      <c r="J124" s="40"/>
      <c r="K124" s="35"/>
      <c r="L124" s="35"/>
      <c r="M124" s="35"/>
      <c r="N124" s="48"/>
    </row>
    <row r="125" spans="1:16" s="63" customFormat="1" ht="19.899999999999999" customHeight="1" x14ac:dyDescent="0.25">
      <c r="A125" s="60" t="s">
        <v>166</v>
      </c>
      <c r="B125" s="116" t="s">
        <v>167</v>
      </c>
      <c r="C125" s="116"/>
      <c r="D125" s="62">
        <f>D126+D127+D128+D129</f>
        <v>86000000</v>
      </c>
      <c r="E125" s="62">
        <f t="shared" ref="E125:M125" si="40">E126+E127+E128+E129</f>
        <v>19700000</v>
      </c>
      <c r="F125" s="62">
        <f t="shared" si="40"/>
        <v>0</v>
      </c>
      <c r="G125" s="62">
        <f t="shared" si="40"/>
        <v>0</v>
      </c>
      <c r="H125" s="62">
        <f t="shared" si="40"/>
        <v>0</v>
      </c>
      <c r="I125" s="62">
        <f t="shared" si="40"/>
        <v>19700000</v>
      </c>
      <c r="J125" s="62">
        <f t="shared" si="40"/>
        <v>31.774193548387096</v>
      </c>
      <c r="K125" s="62">
        <f t="shared" si="40"/>
        <v>100</v>
      </c>
      <c r="L125" s="62">
        <f t="shared" si="40"/>
        <v>0</v>
      </c>
      <c r="M125" s="62">
        <f t="shared" si="40"/>
        <v>0</v>
      </c>
      <c r="N125" s="48"/>
    </row>
    <row r="126" spans="1:16" ht="19.899999999999999" customHeight="1" x14ac:dyDescent="0.25">
      <c r="A126" s="32" t="s">
        <v>168</v>
      </c>
      <c r="B126" s="65" t="s">
        <v>169</v>
      </c>
      <c r="C126" s="65"/>
      <c r="D126" s="66">
        <v>9000000</v>
      </c>
      <c r="F126" s="52"/>
      <c r="G126" s="54"/>
      <c r="H126" s="54"/>
      <c r="I126" s="45">
        <f t="shared" si="29"/>
        <v>0</v>
      </c>
      <c r="J126" s="40">
        <f t="shared" si="27"/>
        <v>0</v>
      </c>
      <c r="K126" s="35"/>
      <c r="L126" s="35"/>
      <c r="M126" s="35"/>
      <c r="N126" s="48"/>
      <c r="P126" s="36">
        <f>50550000-D125</f>
        <v>-35450000</v>
      </c>
    </row>
    <row r="127" spans="1:16" ht="19.899999999999999" customHeight="1" x14ac:dyDescent="0.25">
      <c r="A127" s="32" t="s">
        <v>170</v>
      </c>
      <c r="B127" s="65" t="s">
        <v>171</v>
      </c>
      <c r="C127" s="65"/>
      <c r="D127" s="66">
        <v>62000000</v>
      </c>
      <c r="E127" s="52">
        <v>19700000</v>
      </c>
      <c r="F127" s="53"/>
      <c r="G127" s="54"/>
      <c r="H127" s="54"/>
      <c r="I127" s="45">
        <f t="shared" si="29"/>
        <v>19700000</v>
      </c>
      <c r="J127" s="40">
        <f t="shared" si="27"/>
        <v>31.774193548387096</v>
      </c>
      <c r="K127" s="35">
        <v>100</v>
      </c>
      <c r="L127" s="35"/>
      <c r="M127" s="35"/>
      <c r="N127" s="48"/>
    </row>
    <row r="128" spans="1:16" ht="19.899999999999999" customHeight="1" x14ac:dyDescent="0.25">
      <c r="A128" s="32" t="s">
        <v>172</v>
      </c>
      <c r="B128" s="65" t="s">
        <v>173</v>
      </c>
      <c r="C128" s="65"/>
      <c r="D128" s="66">
        <v>10000000</v>
      </c>
      <c r="E128" s="52"/>
      <c r="F128" s="53"/>
      <c r="G128" s="54"/>
      <c r="H128" s="54"/>
      <c r="I128" s="45">
        <f t="shared" si="29"/>
        <v>0</v>
      </c>
      <c r="J128" s="40">
        <f t="shared" si="27"/>
        <v>0</v>
      </c>
      <c r="K128" s="35"/>
      <c r="L128" s="35"/>
      <c r="M128" s="35"/>
      <c r="N128" s="48"/>
    </row>
    <row r="129" spans="1:15" ht="19.899999999999999" customHeight="1" x14ac:dyDescent="0.25">
      <c r="A129" s="32" t="s">
        <v>174</v>
      </c>
      <c r="B129" s="65" t="s">
        <v>175</v>
      </c>
      <c r="C129" s="65"/>
      <c r="D129" s="66">
        <v>5000000</v>
      </c>
      <c r="E129" s="52"/>
      <c r="F129" s="53"/>
      <c r="G129" s="54"/>
      <c r="H129" s="54"/>
      <c r="I129" s="45">
        <f t="shared" si="29"/>
        <v>0</v>
      </c>
      <c r="J129" s="40">
        <f t="shared" si="27"/>
        <v>0</v>
      </c>
      <c r="K129" s="35"/>
      <c r="L129" s="35"/>
      <c r="M129" s="35"/>
      <c r="N129" s="48"/>
    </row>
    <row r="130" spans="1:15" s="63" customFormat="1" ht="19.899999999999999" customHeight="1" x14ac:dyDescent="0.25">
      <c r="A130" s="60" t="s">
        <v>176</v>
      </c>
      <c r="B130" s="61" t="s">
        <v>177</v>
      </c>
      <c r="C130" s="116"/>
      <c r="D130" s="62">
        <f>D131</f>
        <v>4000000</v>
      </c>
      <c r="E130" s="62">
        <f t="shared" ref="E130:N130" si="41">E131</f>
        <v>2000000</v>
      </c>
      <c r="F130" s="62">
        <f t="shared" si="41"/>
        <v>0</v>
      </c>
      <c r="G130" s="62">
        <f t="shared" si="41"/>
        <v>0</v>
      </c>
      <c r="H130" s="62">
        <f t="shared" si="41"/>
        <v>0</v>
      </c>
      <c r="I130" s="62">
        <f t="shared" si="41"/>
        <v>2000000</v>
      </c>
      <c r="J130" s="62">
        <f t="shared" si="41"/>
        <v>50</v>
      </c>
      <c r="K130" s="62">
        <f t="shared" si="41"/>
        <v>0</v>
      </c>
      <c r="L130" s="62">
        <f t="shared" si="41"/>
        <v>0</v>
      </c>
      <c r="M130" s="62">
        <f t="shared" si="41"/>
        <v>0</v>
      </c>
      <c r="N130" s="62">
        <f t="shared" si="41"/>
        <v>0</v>
      </c>
    </row>
    <row r="131" spans="1:15" s="63" customFormat="1" ht="19.899999999999999" customHeight="1" x14ac:dyDescent="0.25">
      <c r="A131" s="60" t="s">
        <v>178</v>
      </c>
      <c r="B131" s="116" t="s">
        <v>179</v>
      </c>
      <c r="C131" s="116"/>
      <c r="D131" s="120">
        <v>4000000</v>
      </c>
      <c r="E131" s="120">
        <v>2000000</v>
      </c>
      <c r="F131" s="121"/>
      <c r="G131" s="92"/>
      <c r="H131" s="122"/>
      <c r="I131" s="45">
        <f t="shared" si="29"/>
        <v>2000000</v>
      </c>
      <c r="J131" s="40">
        <f t="shared" si="27"/>
        <v>50</v>
      </c>
      <c r="K131" s="93"/>
      <c r="L131" s="93"/>
      <c r="M131" s="93"/>
      <c r="N131" s="48"/>
    </row>
    <row r="132" spans="1:15" ht="19.899999999999999" customHeight="1" x14ac:dyDescent="0.25">
      <c r="A132" s="32"/>
      <c r="B132" s="65"/>
      <c r="C132" s="65"/>
      <c r="D132" s="66"/>
      <c r="E132" s="52"/>
      <c r="F132" s="53"/>
      <c r="G132" s="54"/>
      <c r="H132" s="54"/>
      <c r="I132" s="45">
        <f t="shared" si="29"/>
        <v>0</v>
      </c>
      <c r="J132" s="40"/>
      <c r="K132" s="35"/>
      <c r="L132" s="35"/>
      <c r="M132" s="35"/>
      <c r="N132" s="48"/>
    </row>
    <row r="133" spans="1:15" s="63" customFormat="1" ht="19.899999999999999" customHeight="1" x14ac:dyDescent="0.25">
      <c r="A133" s="60" t="s">
        <v>180</v>
      </c>
      <c r="B133" s="61" t="s">
        <v>181</v>
      </c>
      <c r="C133" s="116"/>
      <c r="D133" s="62">
        <f>D134+D135</f>
        <v>14100000</v>
      </c>
      <c r="E133" s="62">
        <f t="shared" ref="E133:L133" si="42">E134+E135</f>
        <v>5400000</v>
      </c>
      <c r="F133" s="62">
        <f t="shared" si="42"/>
        <v>0</v>
      </c>
      <c r="G133" s="62">
        <f t="shared" si="42"/>
        <v>0</v>
      </c>
      <c r="H133" s="62">
        <f t="shared" si="42"/>
        <v>0</v>
      </c>
      <c r="I133" s="62">
        <f t="shared" si="42"/>
        <v>5400000</v>
      </c>
      <c r="J133" s="62">
        <f t="shared" si="42"/>
        <v>58.73015873015872</v>
      </c>
      <c r="K133" s="62"/>
      <c r="L133" s="62">
        <f t="shared" si="42"/>
        <v>0</v>
      </c>
      <c r="M133" s="93"/>
      <c r="N133" s="48"/>
    </row>
    <row r="134" spans="1:15" ht="27.75" customHeight="1" x14ac:dyDescent="0.25">
      <c r="A134" s="123" t="s">
        <v>182</v>
      </c>
      <c r="B134" s="124" t="s">
        <v>183</v>
      </c>
      <c r="C134" s="65"/>
      <c r="D134" s="66">
        <v>3600000</v>
      </c>
      <c r="E134" s="52">
        <f>200000+200000</f>
        <v>400000</v>
      </c>
      <c r="F134" s="53"/>
      <c r="G134" s="125"/>
      <c r="H134" s="54"/>
      <c r="I134" s="45">
        <f t="shared" si="29"/>
        <v>400000</v>
      </c>
      <c r="J134" s="40">
        <f t="shared" si="27"/>
        <v>11.111111111111111</v>
      </c>
      <c r="K134" s="35"/>
      <c r="L134" s="35"/>
      <c r="M134" s="35"/>
      <c r="N134" s="48"/>
    </row>
    <row r="135" spans="1:15" ht="27.75" customHeight="1" x14ac:dyDescent="0.25">
      <c r="A135" s="123" t="s">
        <v>184</v>
      </c>
      <c r="B135" s="124" t="s">
        <v>185</v>
      </c>
      <c r="C135" s="65"/>
      <c r="D135" s="66">
        <v>10500000</v>
      </c>
      <c r="E135" s="52">
        <v>5000000</v>
      </c>
      <c r="F135" s="53"/>
      <c r="G135" s="125"/>
      <c r="H135" s="54"/>
      <c r="I135" s="45">
        <f t="shared" si="29"/>
        <v>5000000</v>
      </c>
      <c r="J135" s="40">
        <f t="shared" si="27"/>
        <v>47.619047619047613</v>
      </c>
      <c r="K135" s="35"/>
      <c r="L135" s="35"/>
      <c r="M135" s="35"/>
      <c r="N135" s="48"/>
    </row>
    <row r="136" spans="1:15" ht="19.899999999999999" customHeight="1" x14ac:dyDescent="0.25">
      <c r="A136" s="32"/>
      <c r="B136" s="65"/>
      <c r="C136" s="65"/>
      <c r="D136" s="66"/>
      <c r="E136" s="52"/>
      <c r="F136" s="53"/>
      <c r="G136" s="54"/>
      <c r="H136" s="54"/>
      <c r="I136" s="45">
        <f t="shared" si="29"/>
        <v>0</v>
      </c>
      <c r="J136" s="40"/>
      <c r="K136" s="35"/>
      <c r="L136" s="35"/>
      <c r="M136" s="35"/>
      <c r="N136" s="48"/>
    </row>
    <row r="137" spans="1:15" s="63" customFormat="1" ht="19.899999999999999" customHeight="1" x14ac:dyDescent="0.25">
      <c r="A137" s="60" t="s">
        <v>186</v>
      </c>
      <c r="B137" s="61" t="s">
        <v>187</v>
      </c>
      <c r="C137" s="116"/>
      <c r="D137" s="62">
        <f>D138</f>
        <v>26250000</v>
      </c>
      <c r="E137" s="62">
        <f t="shared" ref="E137:J137" si="43">E138</f>
        <v>6000000</v>
      </c>
      <c r="F137" s="62">
        <f t="shared" si="43"/>
        <v>0</v>
      </c>
      <c r="G137" s="62">
        <f t="shared" si="43"/>
        <v>0</v>
      </c>
      <c r="H137" s="62">
        <f t="shared" si="43"/>
        <v>0</v>
      </c>
      <c r="I137" s="62">
        <f t="shared" si="43"/>
        <v>6000000</v>
      </c>
      <c r="J137" s="62">
        <f t="shared" si="43"/>
        <v>150</v>
      </c>
      <c r="K137" s="126"/>
      <c r="L137" s="93"/>
      <c r="M137" s="93"/>
      <c r="N137" s="48"/>
    </row>
    <row r="138" spans="1:15" ht="19.899999999999999" customHeight="1" x14ac:dyDescent="0.25">
      <c r="A138" s="70" t="s">
        <v>188</v>
      </c>
      <c r="B138" s="71" t="s">
        <v>189</v>
      </c>
      <c r="C138" s="71"/>
      <c r="D138" s="72">
        <f>D139+D140+D141+D142+D143+D144</f>
        <v>26250000</v>
      </c>
      <c r="E138" s="72">
        <f t="shared" ref="E138:J138" si="44">E139+E140+E141+E142+E143+E144</f>
        <v>6000000</v>
      </c>
      <c r="F138" s="72">
        <f t="shared" si="44"/>
        <v>0</v>
      </c>
      <c r="G138" s="72">
        <f t="shared" si="44"/>
        <v>0</v>
      </c>
      <c r="H138" s="72">
        <f t="shared" si="44"/>
        <v>0</v>
      </c>
      <c r="I138" s="72">
        <f t="shared" si="44"/>
        <v>6000000</v>
      </c>
      <c r="J138" s="72">
        <f t="shared" si="44"/>
        <v>150</v>
      </c>
      <c r="K138" s="75"/>
      <c r="L138" s="75"/>
      <c r="M138" s="75"/>
      <c r="N138" s="48"/>
      <c r="O138" s="36">
        <f>I137-17700000</f>
        <v>-11700000</v>
      </c>
    </row>
    <row r="139" spans="1:15" ht="28.5" customHeight="1" x14ac:dyDescent="0.25">
      <c r="A139" s="32"/>
      <c r="B139" s="111" t="s">
        <v>190</v>
      </c>
      <c r="C139" s="65"/>
      <c r="D139" s="66">
        <v>4500000</v>
      </c>
      <c r="E139" s="52">
        <v>1125000</v>
      </c>
      <c r="F139" s="53"/>
      <c r="G139" s="54"/>
      <c r="H139" s="54"/>
      <c r="I139" s="45">
        <f>E139+G139</f>
        <v>1125000</v>
      </c>
      <c r="J139" s="40">
        <f t="shared" si="27"/>
        <v>25</v>
      </c>
      <c r="K139" s="35"/>
      <c r="L139" s="35"/>
      <c r="M139" s="35"/>
      <c r="N139" s="48"/>
    </row>
    <row r="140" spans="1:15" ht="27.75" customHeight="1" x14ac:dyDescent="0.25">
      <c r="A140" s="32"/>
      <c r="B140" s="111" t="s">
        <v>191</v>
      </c>
      <c r="C140" s="65"/>
      <c r="D140" s="66">
        <v>4500000</v>
      </c>
      <c r="E140" s="52">
        <v>1125000</v>
      </c>
      <c r="F140" s="52"/>
      <c r="G140" s="52"/>
      <c r="H140" s="52"/>
      <c r="I140" s="45">
        <f t="shared" si="29"/>
        <v>1125000</v>
      </c>
      <c r="J140" s="40">
        <f t="shared" si="27"/>
        <v>25</v>
      </c>
      <c r="K140" s="35"/>
      <c r="L140" s="35"/>
      <c r="M140" s="35"/>
      <c r="N140" s="48"/>
    </row>
    <row r="141" spans="1:15" ht="19.899999999999999" customHeight="1" x14ac:dyDescent="0.25">
      <c r="A141" s="32"/>
      <c r="B141" s="111" t="s">
        <v>192</v>
      </c>
      <c r="C141" s="65"/>
      <c r="D141" s="66">
        <v>4500000</v>
      </c>
      <c r="E141" s="52"/>
      <c r="F141" s="53"/>
      <c r="G141" s="54"/>
      <c r="H141" s="54"/>
      <c r="I141" s="45">
        <f t="shared" si="29"/>
        <v>0</v>
      </c>
      <c r="J141" s="40">
        <f t="shared" si="27"/>
        <v>0</v>
      </c>
      <c r="K141" s="35"/>
      <c r="L141" s="35"/>
      <c r="M141" s="35"/>
      <c r="N141" s="48"/>
    </row>
    <row r="142" spans="1:15" ht="19.899999999999999" customHeight="1" x14ac:dyDescent="0.25">
      <c r="A142" s="32"/>
      <c r="B142" s="111" t="s">
        <v>193</v>
      </c>
      <c r="C142" s="65"/>
      <c r="D142" s="66">
        <v>4500000</v>
      </c>
      <c r="E142" s="52"/>
      <c r="F142" s="53"/>
      <c r="G142" s="54"/>
      <c r="H142" s="54"/>
      <c r="I142" s="45">
        <f t="shared" si="29"/>
        <v>0</v>
      </c>
      <c r="J142" s="40">
        <f t="shared" si="27"/>
        <v>0</v>
      </c>
      <c r="K142" s="35"/>
      <c r="L142" s="35"/>
      <c r="M142" s="35"/>
      <c r="N142" s="48"/>
    </row>
    <row r="143" spans="1:15" ht="19.899999999999999" customHeight="1" x14ac:dyDescent="0.25">
      <c r="A143" s="32"/>
      <c r="B143" s="111" t="s">
        <v>194</v>
      </c>
      <c r="C143" s="65"/>
      <c r="D143" s="66">
        <v>4500000</v>
      </c>
      <c r="E143" s="52"/>
      <c r="F143" s="53"/>
      <c r="G143" s="54"/>
      <c r="H143" s="54"/>
      <c r="I143" s="45">
        <f t="shared" si="29"/>
        <v>0</v>
      </c>
      <c r="J143" s="40">
        <f t="shared" si="27"/>
        <v>0</v>
      </c>
      <c r="K143" s="35"/>
      <c r="L143" s="35"/>
      <c r="M143" s="35"/>
      <c r="N143" s="48"/>
    </row>
    <row r="144" spans="1:15" ht="19.899999999999999" customHeight="1" x14ac:dyDescent="0.25">
      <c r="A144" s="32"/>
      <c r="B144" s="66" t="s">
        <v>195</v>
      </c>
      <c r="C144" s="65"/>
      <c r="D144" s="127">
        <v>3750000</v>
      </c>
      <c r="E144" s="52">
        <v>3750000</v>
      </c>
      <c r="F144" s="53"/>
      <c r="G144" s="54"/>
      <c r="H144" s="54"/>
      <c r="I144" s="45">
        <f t="shared" si="29"/>
        <v>3750000</v>
      </c>
      <c r="J144" s="40">
        <f t="shared" ref="J144:J164" si="45">I144/D144*100</f>
        <v>100</v>
      </c>
      <c r="K144" s="35">
        <v>100</v>
      </c>
      <c r="L144" s="35"/>
      <c r="M144" s="35"/>
      <c r="N144" s="48"/>
    </row>
    <row r="145" spans="1:15" ht="19.899999999999999" customHeight="1" x14ac:dyDescent="0.25">
      <c r="A145" s="60" t="s">
        <v>30</v>
      </c>
      <c r="B145" s="61" t="s">
        <v>31</v>
      </c>
      <c r="C145" s="61"/>
      <c r="D145" s="62">
        <f>D154+D163+D148+D161+D165+D146+D152</f>
        <v>222157907</v>
      </c>
      <c r="E145" s="62">
        <f>E154+E163+E148+E161+E165+E146+E151</f>
        <v>8697000</v>
      </c>
      <c r="F145" s="62">
        <f>F154+F163+F148+F161+F165+F146+F151</f>
        <v>0</v>
      </c>
      <c r="G145" s="62">
        <f>G154+G163+G148+G161+G165+G146+G151+G152</f>
        <v>6545050</v>
      </c>
      <c r="H145" s="62">
        <f>H154+H163+H148+H161+H165+H146+H151</f>
        <v>0</v>
      </c>
      <c r="I145" s="62">
        <f>I154+I163+I148+I161+I165+I146+I151</f>
        <v>11005050</v>
      </c>
      <c r="J145" s="62">
        <f>J154+J163+J148+J161+J165+J146+J151</f>
        <v>17.276373626373626</v>
      </c>
      <c r="K145" s="62">
        <f>K154+K163+K148+K161+K165+K146+K151</f>
        <v>0</v>
      </c>
      <c r="L145" s="62">
        <f>L154+L163+L148+L161+L165+L146+L151</f>
        <v>0</v>
      </c>
      <c r="M145" s="62">
        <f>M154+M163+M148+M161+M165+M146+M151</f>
        <v>0</v>
      </c>
      <c r="N145" s="48"/>
      <c r="O145" s="36">
        <f>222157907-D145</f>
        <v>0</v>
      </c>
    </row>
    <row r="146" spans="1:15" ht="19.899999999999999" customHeight="1" x14ac:dyDescent="0.25">
      <c r="A146" s="60" t="s">
        <v>196</v>
      </c>
      <c r="B146" s="61" t="s">
        <v>197</v>
      </c>
      <c r="C146" s="61"/>
      <c r="D146" s="62">
        <f>D147</f>
        <v>4511907</v>
      </c>
      <c r="E146" s="62"/>
      <c r="F146" s="62"/>
      <c r="G146" s="62"/>
      <c r="H146" s="62"/>
      <c r="I146" s="62"/>
      <c r="J146" s="62"/>
      <c r="K146" s="62"/>
      <c r="L146" s="62"/>
      <c r="M146" s="128"/>
      <c r="N146" s="48"/>
    </row>
    <row r="147" spans="1:15" ht="19.899999999999999" customHeight="1" x14ac:dyDescent="0.25">
      <c r="A147" s="60"/>
      <c r="B147" s="61" t="s">
        <v>198</v>
      </c>
      <c r="C147" s="61"/>
      <c r="D147" s="62">
        <v>4511907</v>
      </c>
      <c r="E147" s="62"/>
      <c r="F147" s="62"/>
      <c r="G147" s="62"/>
      <c r="H147" s="62"/>
      <c r="I147" s="62"/>
      <c r="J147" s="62"/>
      <c r="K147" s="62"/>
      <c r="L147" s="62"/>
      <c r="M147" s="128"/>
      <c r="N147" s="48"/>
    </row>
    <row r="148" spans="1:15" ht="19.899999999999999" customHeight="1" x14ac:dyDescent="0.25">
      <c r="A148" s="60" t="s">
        <v>199</v>
      </c>
      <c r="B148" s="129" t="s">
        <v>200</v>
      </c>
      <c r="C148" s="129"/>
      <c r="D148" s="130">
        <f>D149+D151+D150</f>
        <v>98700000</v>
      </c>
      <c r="E148" s="130">
        <f t="shared" ref="E148:M148" si="46">E149</f>
        <v>8697000</v>
      </c>
      <c r="F148" s="130">
        <f t="shared" si="46"/>
        <v>0</v>
      </c>
      <c r="G148" s="130">
        <f t="shared" si="46"/>
        <v>2308050</v>
      </c>
      <c r="H148" s="130">
        <f t="shared" si="46"/>
        <v>0</v>
      </c>
      <c r="I148" s="130">
        <f t="shared" si="46"/>
        <v>11005050</v>
      </c>
      <c r="J148" s="130">
        <f t="shared" si="46"/>
        <v>17.276373626373626</v>
      </c>
      <c r="K148" s="130">
        <f t="shared" si="46"/>
        <v>0</v>
      </c>
      <c r="L148" s="130">
        <f t="shared" si="46"/>
        <v>0</v>
      </c>
      <c r="M148" s="130">
        <f t="shared" si="46"/>
        <v>0</v>
      </c>
      <c r="N148" s="130"/>
    </row>
    <row r="149" spans="1:15" ht="19.899999999999999" customHeight="1" x14ac:dyDescent="0.25">
      <c r="A149" s="60" t="s">
        <v>201</v>
      </c>
      <c r="B149" s="129" t="s">
        <v>202</v>
      </c>
      <c r="C149" s="129"/>
      <c r="D149" s="130">
        <v>63700000</v>
      </c>
      <c r="E149" s="130">
        <f>8697000</f>
        <v>8697000</v>
      </c>
      <c r="F149" s="130"/>
      <c r="G149" s="130">
        <v>2308050</v>
      </c>
      <c r="H149" s="130"/>
      <c r="I149" s="45">
        <f t="shared" ref="I149:I164" si="47">E149+G149</f>
        <v>11005050</v>
      </c>
      <c r="J149" s="40">
        <f t="shared" si="45"/>
        <v>17.276373626373626</v>
      </c>
      <c r="K149" s="130"/>
      <c r="L149" s="130"/>
      <c r="M149" s="131"/>
      <c r="N149" s="48"/>
    </row>
    <row r="150" spans="1:15" ht="19.899999999999999" customHeight="1" x14ac:dyDescent="0.25">
      <c r="A150" s="60" t="s">
        <v>203</v>
      </c>
      <c r="B150" s="129" t="s">
        <v>204</v>
      </c>
      <c r="C150" s="129"/>
      <c r="D150" s="130">
        <v>3000000</v>
      </c>
      <c r="E150" s="130"/>
      <c r="F150" s="130"/>
      <c r="G150" s="130">
        <v>2871819</v>
      </c>
      <c r="H150" s="130"/>
      <c r="I150" s="45">
        <f t="shared" si="47"/>
        <v>2871819</v>
      </c>
      <c r="J150" s="40">
        <f t="shared" si="45"/>
        <v>95.7273</v>
      </c>
      <c r="K150" s="130">
        <v>100</v>
      </c>
      <c r="L150" s="130"/>
      <c r="M150" s="131"/>
      <c r="N150" s="48"/>
    </row>
    <row r="151" spans="1:15" ht="19.899999999999999" customHeight="1" x14ac:dyDescent="0.25">
      <c r="A151" s="60" t="s">
        <v>205</v>
      </c>
      <c r="B151" s="129" t="s">
        <v>206</v>
      </c>
      <c r="C151" s="129"/>
      <c r="D151" s="130">
        <v>32000000</v>
      </c>
      <c r="E151" s="130"/>
      <c r="F151" s="130"/>
      <c r="G151" s="130"/>
      <c r="H151" s="130"/>
      <c r="I151" s="45"/>
      <c r="J151" s="40"/>
      <c r="K151" s="130"/>
      <c r="L151" s="130"/>
      <c r="M151" s="131"/>
      <c r="N151" s="48"/>
    </row>
    <row r="152" spans="1:15" ht="19.899999999999999" customHeight="1" x14ac:dyDescent="0.25">
      <c r="A152" s="60" t="s">
        <v>207</v>
      </c>
      <c r="B152" s="129" t="s">
        <v>208</v>
      </c>
      <c r="C152" s="129"/>
      <c r="D152" s="130">
        <f>D153</f>
        <v>6000000</v>
      </c>
      <c r="E152" s="130">
        <f t="shared" ref="E152:M152" si="48">E153</f>
        <v>0</v>
      </c>
      <c r="F152" s="130">
        <f t="shared" si="48"/>
        <v>0</v>
      </c>
      <c r="G152" s="130">
        <f t="shared" si="48"/>
        <v>4237000</v>
      </c>
      <c r="H152" s="130">
        <f t="shared" si="48"/>
        <v>0</v>
      </c>
      <c r="I152" s="130">
        <f t="shared" si="48"/>
        <v>0</v>
      </c>
      <c r="J152" s="130">
        <f t="shared" si="48"/>
        <v>0</v>
      </c>
      <c r="K152" s="130">
        <f t="shared" si="48"/>
        <v>0</v>
      </c>
      <c r="L152" s="130">
        <f t="shared" si="48"/>
        <v>0</v>
      </c>
      <c r="M152" s="130">
        <f t="shared" si="48"/>
        <v>0</v>
      </c>
      <c r="N152" s="48"/>
    </row>
    <row r="153" spans="1:15" ht="19.899999999999999" customHeight="1" x14ac:dyDescent="0.25">
      <c r="A153" s="60" t="s">
        <v>209</v>
      </c>
      <c r="B153" s="129" t="s">
        <v>210</v>
      </c>
      <c r="C153" s="129"/>
      <c r="D153" s="130">
        <v>6000000</v>
      </c>
      <c r="E153" s="130"/>
      <c r="F153" s="130"/>
      <c r="G153" s="130">
        <v>4237000</v>
      </c>
      <c r="H153" s="130"/>
      <c r="I153" s="45"/>
      <c r="J153" s="40"/>
      <c r="K153" s="130"/>
      <c r="L153" s="130"/>
      <c r="M153" s="131"/>
      <c r="N153" s="48"/>
    </row>
    <row r="154" spans="1:15" s="63" customFormat="1" ht="19.899999999999999" customHeight="1" x14ac:dyDescent="0.25">
      <c r="A154" s="60" t="s">
        <v>211</v>
      </c>
      <c r="B154" s="132" t="s">
        <v>212</v>
      </c>
      <c r="C154" s="61" t="s">
        <v>34</v>
      </c>
      <c r="D154" s="62">
        <f>D155+D157+D159</f>
        <v>63946000</v>
      </c>
      <c r="E154" s="62"/>
      <c r="F154" s="62"/>
      <c r="G154" s="62"/>
      <c r="H154" s="62"/>
      <c r="I154" s="45">
        <f t="shared" si="47"/>
        <v>0</v>
      </c>
      <c r="J154" s="40">
        <f t="shared" si="45"/>
        <v>0</v>
      </c>
      <c r="K154" s="93"/>
      <c r="L154" s="93"/>
      <c r="M154" s="93"/>
      <c r="N154" s="3"/>
    </row>
    <row r="155" spans="1:15" ht="19.899999999999999" customHeight="1" x14ac:dyDescent="0.25">
      <c r="A155" s="32" t="s">
        <v>213</v>
      </c>
      <c r="B155" s="133" t="s">
        <v>214</v>
      </c>
      <c r="C155" s="71"/>
      <c r="D155" s="73">
        <f>D156</f>
        <v>57946000</v>
      </c>
      <c r="E155" s="73"/>
      <c r="F155" s="73"/>
      <c r="G155" s="73"/>
      <c r="H155" s="73"/>
      <c r="I155" s="45">
        <f t="shared" si="47"/>
        <v>0</v>
      </c>
      <c r="J155" s="40">
        <f t="shared" si="45"/>
        <v>0</v>
      </c>
      <c r="K155" s="101"/>
      <c r="L155" s="101"/>
      <c r="M155" s="101"/>
      <c r="N155" s="3"/>
    </row>
    <row r="156" spans="1:15" ht="19.899999999999999" customHeight="1" x14ac:dyDescent="0.25">
      <c r="A156" s="32"/>
      <c r="B156" s="111" t="s">
        <v>215</v>
      </c>
      <c r="C156" s="65"/>
      <c r="D156" s="66">
        <v>57946000</v>
      </c>
      <c r="E156" s="52"/>
      <c r="F156" s="53"/>
      <c r="G156" s="54"/>
      <c r="H156" s="54"/>
      <c r="I156" s="45">
        <f t="shared" si="47"/>
        <v>0</v>
      </c>
      <c r="J156" s="40">
        <f t="shared" si="45"/>
        <v>0</v>
      </c>
      <c r="K156" s="35"/>
      <c r="L156" s="35"/>
      <c r="M156" s="35"/>
      <c r="N156" s="3"/>
    </row>
    <row r="157" spans="1:15" ht="19.899999999999999" customHeight="1" x14ac:dyDescent="0.25">
      <c r="A157" s="32" t="s">
        <v>216</v>
      </c>
      <c r="B157" s="133" t="s">
        <v>217</v>
      </c>
      <c r="C157" s="71"/>
      <c r="D157" s="73">
        <f>D158</f>
        <v>6000000</v>
      </c>
      <c r="E157" s="73"/>
      <c r="F157" s="73"/>
      <c r="G157" s="73"/>
      <c r="H157" s="73"/>
      <c r="I157" s="45">
        <f t="shared" si="47"/>
        <v>0</v>
      </c>
      <c r="J157" s="40">
        <f t="shared" si="45"/>
        <v>0</v>
      </c>
      <c r="K157" s="75"/>
      <c r="L157" s="75"/>
      <c r="M157" s="75"/>
      <c r="N157" s="3"/>
    </row>
    <row r="158" spans="1:15" ht="19.899999999999999" customHeight="1" x14ac:dyDescent="0.25">
      <c r="A158" s="32"/>
      <c r="B158" s="134" t="s">
        <v>218</v>
      </c>
      <c r="C158" s="65"/>
      <c r="D158" s="135">
        <v>6000000</v>
      </c>
      <c r="E158" s="52"/>
      <c r="F158" s="53"/>
      <c r="G158" s="54"/>
      <c r="H158" s="54"/>
      <c r="I158" s="45">
        <f t="shared" si="47"/>
        <v>0</v>
      </c>
      <c r="J158" s="40">
        <f t="shared" si="45"/>
        <v>0</v>
      </c>
      <c r="K158" s="35"/>
      <c r="L158" s="35"/>
      <c r="M158" s="35"/>
      <c r="N158" s="3"/>
    </row>
    <row r="159" spans="1:15" ht="19.899999999999999" customHeight="1" x14ac:dyDescent="0.25">
      <c r="A159" s="32" t="s">
        <v>219</v>
      </c>
      <c r="B159" s="133" t="s">
        <v>220</v>
      </c>
      <c r="C159" s="71"/>
      <c r="D159" s="73">
        <f>D160</f>
        <v>0</v>
      </c>
      <c r="E159" s="73"/>
      <c r="F159" s="73"/>
      <c r="G159" s="73"/>
      <c r="H159" s="73"/>
      <c r="I159" s="45">
        <f t="shared" si="47"/>
        <v>0</v>
      </c>
      <c r="J159" s="40"/>
      <c r="K159" s="75"/>
      <c r="L159" s="75"/>
      <c r="M159" s="75"/>
      <c r="N159" s="3"/>
    </row>
    <row r="160" spans="1:15" ht="19.899999999999999" customHeight="1" x14ac:dyDescent="0.25">
      <c r="A160" s="32"/>
      <c r="B160" s="134" t="s">
        <v>221</v>
      </c>
      <c r="C160" s="65"/>
      <c r="D160" s="135">
        <v>0</v>
      </c>
      <c r="E160" s="52"/>
      <c r="F160" s="53"/>
      <c r="G160" s="54"/>
      <c r="H160" s="54"/>
      <c r="I160" s="45">
        <f t="shared" si="47"/>
        <v>0</v>
      </c>
      <c r="J160" s="40"/>
      <c r="K160" s="35"/>
      <c r="L160" s="35"/>
      <c r="M160" s="35"/>
      <c r="N160" s="3"/>
    </row>
    <row r="161" spans="1:14" ht="19.899999999999999" customHeight="1" x14ac:dyDescent="0.25">
      <c r="A161" s="60" t="s">
        <v>222</v>
      </c>
      <c r="B161" s="132" t="s">
        <v>223</v>
      </c>
      <c r="C161" s="65"/>
      <c r="D161" s="135">
        <f>D162</f>
        <v>13000000</v>
      </c>
      <c r="E161" s="52"/>
      <c r="F161" s="53"/>
      <c r="G161" s="54"/>
      <c r="H161" s="54"/>
      <c r="I161" s="45"/>
      <c r="J161" s="40"/>
      <c r="K161" s="35"/>
      <c r="L161" s="35"/>
      <c r="M161" s="35"/>
      <c r="N161" s="3"/>
    </row>
    <row r="162" spans="1:14" ht="19.899999999999999" customHeight="1" x14ac:dyDescent="0.25">
      <c r="A162" s="32" t="s">
        <v>224</v>
      </c>
      <c r="B162" s="65" t="s">
        <v>225</v>
      </c>
      <c r="C162" s="65"/>
      <c r="D162" s="135">
        <v>13000000</v>
      </c>
      <c r="E162" s="52"/>
      <c r="F162" s="53"/>
      <c r="G162" s="54"/>
      <c r="H162" s="54"/>
      <c r="I162" s="45"/>
      <c r="J162" s="40"/>
      <c r="K162" s="35"/>
      <c r="L162" s="35"/>
      <c r="M162" s="35"/>
      <c r="N162" s="3"/>
    </row>
    <row r="163" spans="1:14" s="63" customFormat="1" ht="19.899999999999999" customHeight="1" x14ac:dyDescent="0.25">
      <c r="A163" s="60" t="s">
        <v>226</v>
      </c>
      <c r="B163" s="132" t="s">
        <v>227</v>
      </c>
      <c r="C163" s="61" t="s">
        <v>34</v>
      </c>
      <c r="D163" s="62">
        <f>D164</f>
        <v>15000000</v>
      </c>
      <c r="E163" s="62"/>
      <c r="F163" s="62"/>
      <c r="G163" s="62"/>
      <c r="H163" s="62"/>
      <c r="I163" s="45">
        <f t="shared" si="47"/>
        <v>0</v>
      </c>
      <c r="J163" s="40">
        <f t="shared" si="45"/>
        <v>0</v>
      </c>
      <c r="K163" s="93"/>
      <c r="L163" s="93"/>
      <c r="M163" s="93"/>
      <c r="N163" s="3"/>
    </row>
    <row r="164" spans="1:14" ht="19.899999999999999" customHeight="1" x14ac:dyDescent="0.25">
      <c r="A164" s="32" t="s">
        <v>228</v>
      </c>
      <c r="B164" s="65" t="s">
        <v>229</v>
      </c>
      <c r="C164" s="65"/>
      <c r="D164" s="66">
        <v>15000000</v>
      </c>
      <c r="E164" s="52"/>
      <c r="F164" s="53"/>
      <c r="G164" s="54"/>
      <c r="H164" s="54"/>
      <c r="I164" s="45">
        <f t="shared" si="47"/>
        <v>0</v>
      </c>
      <c r="J164" s="40">
        <f t="shared" si="45"/>
        <v>0</v>
      </c>
      <c r="K164" s="35"/>
      <c r="L164" s="35"/>
      <c r="M164" s="35"/>
      <c r="N164" s="3"/>
    </row>
    <row r="165" spans="1:14" ht="19.899999999999999" customHeight="1" x14ac:dyDescent="0.25">
      <c r="A165" s="32" t="s">
        <v>230</v>
      </c>
      <c r="B165" s="65" t="s">
        <v>231</v>
      </c>
      <c r="C165" s="65"/>
      <c r="D165" s="66">
        <f>D166</f>
        <v>21000000</v>
      </c>
      <c r="E165" s="52"/>
      <c r="F165" s="53"/>
      <c r="G165" s="54"/>
      <c r="H165" s="54"/>
      <c r="I165" s="45"/>
      <c r="J165" s="40"/>
      <c r="K165" s="35"/>
      <c r="L165" s="35"/>
      <c r="M165" s="35"/>
      <c r="N165" s="3"/>
    </row>
    <row r="166" spans="1:14" ht="19.899999999999999" customHeight="1" x14ac:dyDescent="0.25">
      <c r="A166" s="32" t="s">
        <v>232</v>
      </c>
      <c r="B166" s="65" t="s">
        <v>233</v>
      </c>
      <c r="C166" s="65"/>
      <c r="D166" s="66">
        <f>D167</f>
        <v>21000000</v>
      </c>
      <c r="E166" s="52"/>
      <c r="F166" s="53"/>
      <c r="G166" s="54"/>
      <c r="H166" s="54"/>
      <c r="I166" s="45"/>
      <c r="J166" s="40"/>
      <c r="K166" s="35"/>
      <c r="L166" s="35"/>
      <c r="M166" s="35"/>
      <c r="N166" s="3"/>
    </row>
    <row r="167" spans="1:14" ht="19.899999999999999" customHeight="1" x14ac:dyDescent="0.25">
      <c r="A167" s="32"/>
      <c r="B167" s="65" t="s">
        <v>234</v>
      </c>
      <c r="C167" s="65"/>
      <c r="D167" s="66">
        <v>21000000</v>
      </c>
      <c r="E167" s="52"/>
      <c r="F167" s="53"/>
      <c r="G167" s="54"/>
      <c r="H167" s="54"/>
      <c r="I167" s="45"/>
      <c r="J167" s="40"/>
      <c r="K167" s="35"/>
      <c r="L167" s="35"/>
      <c r="M167" s="35"/>
      <c r="N167" s="3"/>
    </row>
    <row r="168" spans="1:14" ht="19.899999999999999" customHeight="1" x14ac:dyDescent="0.25">
      <c r="A168" s="32"/>
      <c r="B168" s="65"/>
      <c r="C168" s="65"/>
      <c r="D168" s="66"/>
      <c r="E168" s="52"/>
      <c r="F168" s="53"/>
      <c r="G168" s="54"/>
      <c r="H168" s="54"/>
      <c r="I168" s="45"/>
      <c r="J168" s="40"/>
      <c r="K168" s="35"/>
      <c r="L168" s="35"/>
      <c r="M168" s="35"/>
      <c r="N168" s="3"/>
    </row>
    <row r="169" spans="1:14" x14ac:dyDescent="0.25">
      <c r="A169" s="3" t="s">
        <v>235</v>
      </c>
      <c r="B169" s="3"/>
      <c r="C169" s="3"/>
      <c r="D169" s="3"/>
      <c r="E169" s="136">
        <v>0</v>
      </c>
      <c r="F169" s="5"/>
      <c r="G169" s="3"/>
      <c r="H169" s="3"/>
      <c r="I169" s="3"/>
      <c r="J169" s="3"/>
      <c r="K169" s="137"/>
      <c r="L169" s="137"/>
      <c r="M169" s="137"/>
      <c r="N169" s="137"/>
    </row>
    <row r="170" spans="1:14" x14ac:dyDescent="0.25">
      <c r="E170" s="138"/>
      <c r="F170" s="138"/>
      <c r="G170" s="138"/>
      <c r="H170" s="138"/>
      <c r="I170" s="138"/>
      <c r="J170" s="139" t="s">
        <v>236</v>
      </c>
      <c r="K170" s="139"/>
      <c r="L170" s="139"/>
      <c r="M170" s="139"/>
      <c r="N170" s="3"/>
    </row>
    <row r="171" spans="1:14" x14ac:dyDescent="0.25">
      <c r="E171" s="138"/>
      <c r="F171" s="138"/>
      <c r="G171" s="138"/>
      <c r="H171" s="138"/>
      <c r="I171" s="140" t="s">
        <v>237</v>
      </c>
      <c r="J171" s="140"/>
      <c r="K171" s="140"/>
      <c r="L171" s="140"/>
      <c r="M171" s="140"/>
      <c r="N171" s="3"/>
    </row>
    <row r="172" spans="1:14" x14ac:dyDescent="0.25">
      <c r="E172" s="138"/>
      <c r="F172" s="138"/>
      <c r="G172" s="138"/>
      <c r="H172" s="138"/>
      <c r="I172" s="138"/>
      <c r="J172" s="141"/>
      <c r="K172" s="3"/>
      <c r="L172" s="3"/>
      <c r="M172" s="3"/>
      <c r="N172" s="138"/>
    </row>
    <row r="173" spans="1:14" x14ac:dyDescent="0.25">
      <c r="E173" s="138"/>
      <c r="F173" s="138"/>
      <c r="G173" s="138"/>
      <c r="H173" s="138"/>
      <c r="I173" s="142" t="s">
        <v>238</v>
      </c>
      <c r="J173" s="142"/>
      <c r="K173" s="142"/>
      <c r="L173" s="142"/>
      <c r="M173" s="142"/>
    </row>
    <row r="174" spans="1:14" x14ac:dyDescent="0.25">
      <c r="E174" s="138" t="s">
        <v>239</v>
      </c>
      <c r="F174" s="143"/>
      <c r="G174" s="138"/>
      <c r="H174" s="138"/>
      <c r="I174" s="144" t="s">
        <v>240</v>
      </c>
      <c r="J174" s="144"/>
      <c r="K174" s="144"/>
      <c r="L174" s="144"/>
      <c r="M174" s="144"/>
    </row>
  </sheetData>
  <mergeCells count="21">
    <mergeCell ref="J170:M170"/>
    <mergeCell ref="I171:M171"/>
    <mergeCell ref="I173:M173"/>
    <mergeCell ref="I174:M174"/>
    <mergeCell ref="M6:M8"/>
    <mergeCell ref="E7:F7"/>
    <mergeCell ref="G7:H7"/>
    <mergeCell ref="I7:K7"/>
    <mergeCell ref="E8:F8"/>
    <mergeCell ref="G8:H8"/>
    <mergeCell ref="I8:J8"/>
    <mergeCell ref="A1:M1"/>
    <mergeCell ref="A2:M2"/>
    <mergeCell ref="A3:M3"/>
    <mergeCell ref="A4:M4"/>
    <mergeCell ref="A6:A8"/>
    <mergeCell ref="B6:B8"/>
    <mergeCell ref="C6:C8"/>
    <mergeCell ref="D6:D8"/>
    <mergeCell ref="E6:K6"/>
    <mergeCell ref="L6:L8"/>
  </mergeCells>
  <pageMargins left="1.01875" right="0.62916666666666698" top="0.3" bottom="0.33888888888888902" header="0.31805555555555598" footer="0.3"/>
  <pageSetup paperSize="5" scale="9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2020-12-05T04:53:02Z</dcterms:created>
  <dcterms:modified xsi:type="dcterms:W3CDTF">2020-12-05T04:53:38Z</dcterms:modified>
</cp:coreProperties>
</file>