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640" windowHeight="11760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i" sheetId="6" r:id="rId6"/>
    <sheet name="juli" sheetId="7" r:id="rId7"/>
    <sheet name="agt" sheetId="8" r:id="rId8"/>
    <sheet name="sept" sheetId="9" r:id="rId9"/>
    <sheet name="okt" sheetId="10" r:id="rId10"/>
    <sheet name="nov" sheetId="11" r:id="rId11"/>
    <sheet name="des" sheetId="12" r:id="rId12"/>
  </sheets>
  <externalReferences>
    <externalReference r:id="rId13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12" l="1"/>
  <c r="T81" i="12"/>
  <c r="R76" i="12"/>
  <c r="R78" i="12"/>
  <c r="S78" i="12" s="1"/>
  <c r="R79" i="12"/>
  <c r="R81" i="12"/>
  <c r="S81" i="12"/>
  <c r="T46" i="12"/>
  <c r="T36" i="12"/>
  <c r="T35" i="12"/>
  <c r="T19" i="12"/>
  <c r="R71" i="12"/>
  <c r="S71" i="12" s="1"/>
  <c r="R68" i="12"/>
  <c r="S68" i="12" s="1"/>
  <c r="R49" i="12"/>
  <c r="S49" i="12" s="1"/>
  <c r="R36" i="12"/>
  <c r="S36" i="12" s="1"/>
  <c r="R24" i="12"/>
  <c r="S24" i="12" s="1"/>
  <c r="P80" i="12"/>
  <c r="R80" i="12" s="1"/>
  <c r="S80" i="12" s="1"/>
  <c r="P77" i="12"/>
  <c r="R77" i="12" s="1"/>
  <c r="S77" i="12" s="1"/>
  <c r="P74" i="12"/>
  <c r="P73" i="12" s="1"/>
  <c r="P70" i="12"/>
  <c r="P66" i="12"/>
  <c r="P61" i="12"/>
  <c r="P58" i="12"/>
  <c r="P55" i="12"/>
  <c r="P52" i="12"/>
  <c r="P48" i="12"/>
  <c r="P44" i="12"/>
  <c r="P39" i="12"/>
  <c r="P34" i="12"/>
  <c r="Q34" i="12" s="1"/>
  <c r="P31" i="12"/>
  <c r="P22" i="12"/>
  <c r="M80" i="12"/>
  <c r="V82" i="12"/>
  <c r="U82" i="12"/>
  <c r="M77" i="12"/>
  <c r="R75" i="12"/>
  <c r="S75" i="12" s="1"/>
  <c r="Q75" i="12"/>
  <c r="R74" i="12"/>
  <c r="M74" i="12"/>
  <c r="Q74" i="12" s="1"/>
  <c r="M73" i="12"/>
  <c r="M15" i="12" s="1"/>
  <c r="Q71" i="12"/>
  <c r="R70" i="12"/>
  <c r="M70" i="12"/>
  <c r="T68" i="12"/>
  <c r="Q68" i="12"/>
  <c r="T67" i="12"/>
  <c r="R67" i="12"/>
  <c r="S67" i="12" s="1"/>
  <c r="Q67" i="12"/>
  <c r="M66" i="12"/>
  <c r="R64" i="12"/>
  <c r="S64" i="12" s="1"/>
  <c r="Q64" i="12"/>
  <c r="R63" i="12"/>
  <c r="S63" i="12" s="1"/>
  <c r="Q63" i="12"/>
  <c r="R62" i="12"/>
  <c r="S62" i="12" s="1"/>
  <c r="Q62" i="12"/>
  <c r="Q61" i="12"/>
  <c r="M61" i="12"/>
  <c r="R59" i="12"/>
  <c r="S59" i="12" s="1"/>
  <c r="Q59" i="12"/>
  <c r="M58" i="12"/>
  <c r="R56" i="12"/>
  <c r="S56" i="12" s="1"/>
  <c r="M55" i="12"/>
  <c r="M52" i="12"/>
  <c r="R50" i="12"/>
  <c r="S50" i="12" s="1"/>
  <c r="T49" i="12"/>
  <c r="Q49" i="12"/>
  <c r="R48" i="12"/>
  <c r="S48" i="12" s="1"/>
  <c r="M48" i="12"/>
  <c r="R46" i="12"/>
  <c r="S46" i="12" s="1"/>
  <c r="Q46" i="12"/>
  <c r="R45" i="12"/>
  <c r="S45" i="12" s="1"/>
  <c r="Q45" i="12"/>
  <c r="M44" i="12"/>
  <c r="Q44" i="12" s="1"/>
  <c r="R42" i="12"/>
  <c r="R41" i="12"/>
  <c r="R40" i="12"/>
  <c r="M39" i="12"/>
  <c r="T37" i="12"/>
  <c r="R37" i="12"/>
  <c r="S37" i="12" s="1"/>
  <c r="Q37" i="12"/>
  <c r="Q36" i="12"/>
  <c r="R35" i="12"/>
  <c r="S35" i="12" s="1"/>
  <c r="Q35" i="12"/>
  <c r="M34" i="12"/>
  <c r="T32" i="12"/>
  <c r="R32" i="12"/>
  <c r="S32" i="12" s="1"/>
  <c r="Q32" i="12"/>
  <c r="R31" i="12"/>
  <c r="M31" i="12"/>
  <c r="R29" i="12"/>
  <c r="S29" i="12" s="1"/>
  <c r="Q29" i="12"/>
  <c r="R28" i="12"/>
  <c r="S28" i="12" s="1"/>
  <c r="Q28" i="12"/>
  <c r="R27" i="12"/>
  <c r="S27" i="12" s="1"/>
  <c r="Q27" i="12"/>
  <c r="S26" i="12"/>
  <c r="R26" i="12"/>
  <c r="Q26" i="12"/>
  <c r="T25" i="12"/>
  <c r="S25" i="12"/>
  <c r="R25" i="12"/>
  <c r="Q25" i="12"/>
  <c r="Q24" i="12"/>
  <c r="R23" i="12"/>
  <c r="M22" i="12"/>
  <c r="Q19" i="12"/>
  <c r="P18" i="12"/>
  <c r="M18" i="12"/>
  <c r="M17" i="12" s="1"/>
  <c r="M13" i="12" s="1"/>
  <c r="P21" i="12" l="1"/>
  <c r="Q18" i="12"/>
  <c r="M21" i="12"/>
  <c r="M14" i="12" s="1"/>
  <c r="M12" i="12" s="1"/>
  <c r="S74" i="12"/>
  <c r="R19" i="12"/>
  <c r="S19" i="12" s="1"/>
  <c r="R22" i="12"/>
  <c r="S22" i="12" s="1"/>
  <c r="R44" i="12"/>
  <c r="S44" i="12" s="1"/>
  <c r="R58" i="12"/>
  <c r="S58" i="12" s="1"/>
  <c r="R39" i="12"/>
  <c r="R55" i="12"/>
  <c r="Q22" i="12"/>
  <c r="Q58" i="12"/>
  <c r="R61" i="12"/>
  <c r="S61" i="12" s="1"/>
  <c r="S70" i="12"/>
  <c r="R73" i="12"/>
  <c r="S73" i="12" s="1"/>
  <c r="Q31" i="12"/>
  <c r="S55" i="12"/>
  <c r="Q66" i="12"/>
  <c r="S31" i="12"/>
  <c r="Q48" i="12"/>
  <c r="Q73" i="12"/>
  <c r="P15" i="12"/>
  <c r="P17" i="12"/>
  <c r="R18" i="12"/>
  <c r="S18" i="12" s="1"/>
  <c r="R34" i="12"/>
  <c r="S34" i="12" s="1"/>
  <c r="R66" i="12"/>
  <c r="S66" i="12" s="1"/>
  <c r="Q70" i="12"/>
  <c r="R50" i="11"/>
  <c r="S50" i="11" s="1"/>
  <c r="T46" i="11"/>
  <c r="T36" i="11"/>
  <c r="T35" i="11"/>
  <c r="T32" i="11"/>
  <c r="T19" i="11"/>
  <c r="P80" i="11"/>
  <c r="P77" i="11"/>
  <c r="P74" i="11"/>
  <c r="P70" i="11"/>
  <c r="P66" i="11"/>
  <c r="P61" i="11"/>
  <c r="P58" i="11"/>
  <c r="P55" i="11"/>
  <c r="P52" i="11"/>
  <c r="P48" i="11"/>
  <c r="P44" i="11"/>
  <c r="P39" i="11"/>
  <c r="P34" i="11"/>
  <c r="P31" i="11"/>
  <c r="P22" i="11"/>
  <c r="Q21" i="12" l="1"/>
  <c r="P73" i="11"/>
  <c r="P14" i="12"/>
  <c r="R14" i="12" s="1"/>
  <c r="S14" i="12" s="1"/>
  <c r="R21" i="12"/>
  <c r="S21" i="12" s="1"/>
  <c r="M10" i="12"/>
  <c r="M82" i="12"/>
  <c r="R17" i="12"/>
  <c r="S17" i="12" s="1"/>
  <c r="Q17" i="12"/>
  <c r="P13" i="12"/>
  <c r="Q15" i="12"/>
  <c r="R15" i="12"/>
  <c r="S15" i="12" s="1"/>
  <c r="P21" i="11"/>
  <c r="M52" i="11"/>
  <c r="M70" i="11"/>
  <c r="M66" i="11"/>
  <c r="M61" i="11"/>
  <c r="M58" i="11"/>
  <c r="M55" i="11"/>
  <c r="M48" i="11"/>
  <c r="M44" i="11"/>
  <c r="M34" i="11"/>
  <c r="M31" i="11"/>
  <c r="M22" i="11"/>
  <c r="M80" i="11"/>
  <c r="M77" i="11"/>
  <c r="Q14" i="12" l="1"/>
  <c r="Q13" i="12"/>
  <c r="P12" i="12"/>
  <c r="P82" i="12" s="1"/>
  <c r="R82" i="12" s="1"/>
  <c r="R13" i="12"/>
  <c r="S13" i="12" s="1"/>
  <c r="V83" i="11"/>
  <c r="U83" i="11"/>
  <c r="N83" i="11"/>
  <c r="R82" i="11"/>
  <c r="R75" i="11"/>
  <c r="S75" i="11" s="1"/>
  <c r="Q75" i="11"/>
  <c r="M74" i="11"/>
  <c r="R71" i="11"/>
  <c r="S71" i="11" s="1"/>
  <c r="Q71" i="11"/>
  <c r="R70" i="11"/>
  <c r="T68" i="11"/>
  <c r="R68" i="11"/>
  <c r="S68" i="11" s="1"/>
  <c r="Q68" i="11"/>
  <c r="T67" i="11"/>
  <c r="R67" i="11"/>
  <c r="S67" i="11" s="1"/>
  <c r="Q67" i="11"/>
  <c r="R66" i="11"/>
  <c r="R64" i="11"/>
  <c r="S64" i="11" s="1"/>
  <c r="Q64" i="11"/>
  <c r="R63" i="11"/>
  <c r="S63" i="11" s="1"/>
  <c r="Q63" i="11"/>
  <c r="R62" i="11"/>
  <c r="S62" i="11" s="1"/>
  <c r="Q62" i="11"/>
  <c r="R61" i="11"/>
  <c r="S61" i="11" s="1"/>
  <c r="R59" i="11"/>
  <c r="S59" i="11" s="1"/>
  <c r="Q59" i="11"/>
  <c r="R58" i="11"/>
  <c r="S58" i="11" s="1"/>
  <c r="R56" i="11"/>
  <c r="S56" i="11" s="1"/>
  <c r="R55" i="11"/>
  <c r="S55" i="11" s="1"/>
  <c r="T49" i="11"/>
  <c r="R49" i="11"/>
  <c r="S49" i="11" s="1"/>
  <c r="Q49" i="11"/>
  <c r="Q48" i="11"/>
  <c r="R48" i="11"/>
  <c r="S48" i="11" s="1"/>
  <c r="R46" i="11"/>
  <c r="S46" i="11" s="1"/>
  <c r="Q46" i="11"/>
  <c r="R45" i="11"/>
  <c r="S45" i="11" s="1"/>
  <c r="Q45" i="11"/>
  <c r="R44" i="11"/>
  <c r="S44" i="11" s="1"/>
  <c r="R42" i="11"/>
  <c r="R41" i="11"/>
  <c r="R40" i="11"/>
  <c r="R39" i="11"/>
  <c r="M39" i="11"/>
  <c r="M21" i="11" s="1"/>
  <c r="T37" i="11"/>
  <c r="R37" i="11"/>
  <c r="S37" i="11" s="1"/>
  <c r="Q37" i="11"/>
  <c r="R36" i="11"/>
  <c r="S36" i="11" s="1"/>
  <c r="Q36" i="11"/>
  <c r="R35" i="11"/>
  <c r="S35" i="11" s="1"/>
  <c r="Q35" i="11"/>
  <c r="R34" i="11"/>
  <c r="S34" i="11" s="1"/>
  <c r="R32" i="11"/>
  <c r="S32" i="11" s="1"/>
  <c r="Q32" i="11"/>
  <c r="R31" i="11"/>
  <c r="R29" i="11"/>
  <c r="S29" i="11" s="1"/>
  <c r="Q29" i="11"/>
  <c r="R28" i="11"/>
  <c r="S28" i="11" s="1"/>
  <c r="Q28" i="11"/>
  <c r="R27" i="11"/>
  <c r="S27" i="11" s="1"/>
  <c r="Q27" i="11"/>
  <c r="R26" i="11"/>
  <c r="S26" i="11" s="1"/>
  <c r="Q26" i="11"/>
  <c r="T25" i="11"/>
  <c r="R25" i="11"/>
  <c r="S25" i="11" s="1"/>
  <c r="Q25" i="11"/>
  <c r="R24" i="11"/>
  <c r="S24" i="11" s="1"/>
  <c r="Q24" i="11"/>
  <c r="R23" i="11"/>
  <c r="Q22" i="11"/>
  <c r="R22" i="11"/>
  <c r="S22" i="11" s="1"/>
  <c r="R19" i="11"/>
  <c r="S19" i="11" s="1"/>
  <c r="Q19" i="11"/>
  <c r="P18" i="11"/>
  <c r="R18" i="11" s="1"/>
  <c r="M18" i="11"/>
  <c r="M17" i="11" s="1"/>
  <c r="M13" i="11" s="1"/>
  <c r="R12" i="12" l="1"/>
  <c r="P10" i="12"/>
  <c r="Q10" i="12" s="1"/>
  <c r="Q12" i="12"/>
  <c r="S18" i="11"/>
  <c r="Q44" i="11"/>
  <c r="S70" i="11"/>
  <c r="M73" i="11"/>
  <c r="M15" i="11" s="1"/>
  <c r="S31" i="11"/>
  <c r="Q70" i="11"/>
  <c r="Q31" i="11"/>
  <c r="Q66" i="11"/>
  <c r="S82" i="11"/>
  <c r="S66" i="11"/>
  <c r="M14" i="11"/>
  <c r="P17" i="11"/>
  <c r="Q17" i="11" s="1"/>
  <c r="P15" i="11"/>
  <c r="R73" i="11"/>
  <c r="Q18" i="11"/>
  <c r="Q34" i="11"/>
  <c r="Q58" i="11"/>
  <c r="Q61" i="11"/>
  <c r="Q74" i="11"/>
  <c r="Q82" i="11"/>
  <c r="R74" i="11"/>
  <c r="S74" i="11" s="1"/>
  <c r="T49" i="10"/>
  <c r="T46" i="10"/>
  <c r="T37" i="10"/>
  <c r="T36" i="10"/>
  <c r="T35" i="10"/>
  <c r="T32" i="10"/>
  <c r="T25" i="10"/>
  <c r="P73" i="10"/>
  <c r="Q73" i="10" s="1"/>
  <c r="P70" i="10"/>
  <c r="P66" i="10"/>
  <c r="R66" i="10" s="1"/>
  <c r="P62" i="10"/>
  <c r="R62" i="10" s="1"/>
  <c r="S62" i="10" s="1"/>
  <c r="P57" i="10"/>
  <c r="R57" i="10" s="1"/>
  <c r="S57" i="10" s="1"/>
  <c r="P54" i="10"/>
  <c r="P51" i="10"/>
  <c r="R51" i="10" s="1"/>
  <c r="P48" i="10"/>
  <c r="Q48" i="10" s="1"/>
  <c r="P44" i="10"/>
  <c r="R44" i="10" s="1"/>
  <c r="S44" i="10" s="1"/>
  <c r="P39" i="10"/>
  <c r="P34" i="10"/>
  <c r="P31" i="10"/>
  <c r="R31" i="10" s="1"/>
  <c r="S31" i="10" s="1"/>
  <c r="P22" i="10"/>
  <c r="P21" i="10" s="1"/>
  <c r="V75" i="10"/>
  <c r="U75" i="10"/>
  <c r="N75" i="10"/>
  <c r="R74" i="10"/>
  <c r="S74" i="10" s="1"/>
  <c r="Q74" i="10"/>
  <c r="M73" i="10"/>
  <c r="R71" i="10"/>
  <c r="S71" i="10" s="1"/>
  <c r="Q71" i="10"/>
  <c r="M70" i="10"/>
  <c r="M69" i="10"/>
  <c r="R67" i="10"/>
  <c r="S67" i="10" s="1"/>
  <c r="Q67" i="10"/>
  <c r="M66" i="10"/>
  <c r="T64" i="10"/>
  <c r="R64" i="10"/>
  <c r="S64" i="10" s="1"/>
  <c r="Q64" i="10"/>
  <c r="T63" i="10"/>
  <c r="R63" i="10"/>
  <c r="S63" i="10" s="1"/>
  <c r="Q63" i="10"/>
  <c r="M62" i="10"/>
  <c r="R60" i="10"/>
  <c r="S60" i="10" s="1"/>
  <c r="Q60" i="10"/>
  <c r="R59" i="10"/>
  <c r="S59" i="10" s="1"/>
  <c r="Q59" i="10"/>
  <c r="R58" i="10"/>
  <c r="S58" i="10" s="1"/>
  <c r="Q58" i="10"/>
  <c r="M57" i="10"/>
  <c r="R55" i="10"/>
  <c r="S55" i="10" s="1"/>
  <c r="Q55" i="10"/>
  <c r="R54" i="10"/>
  <c r="M54" i="10"/>
  <c r="R52" i="10"/>
  <c r="M51" i="10"/>
  <c r="R49" i="10"/>
  <c r="S49" i="10" s="1"/>
  <c r="Q49" i="10"/>
  <c r="R48" i="10"/>
  <c r="S48" i="10" s="1"/>
  <c r="M48" i="10"/>
  <c r="R46" i="10"/>
  <c r="S46" i="10" s="1"/>
  <c r="Q46" i="10"/>
  <c r="R45" i="10"/>
  <c r="S45" i="10" s="1"/>
  <c r="Q45" i="10"/>
  <c r="Q44" i="10"/>
  <c r="M44" i="10"/>
  <c r="R42" i="10"/>
  <c r="R41" i="10"/>
  <c r="R40" i="10"/>
  <c r="M39" i="10"/>
  <c r="R37" i="10"/>
  <c r="S37" i="10" s="1"/>
  <c r="Q37" i="10"/>
  <c r="R36" i="10"/>
  <c r="S36" i="10" s="1"/>
  <c r="Q36" i="10"/>
  <c r="Q35" i="10"/>
  <c r="M34" i="10"/>
  <c r="R32" i="10"/>
  <c r="S32" i="10" s="1"/>
  <c r="Q32" i="10"/>
  <c r="M31" i="10"/>
  <c r="R29" i="10"/>
  <c r="S29" i="10" s="1"/>
  <c r="Q29" i="10"/>
  <c r="R28" i="10"/>
  <c r="S28" i="10" s="1"/>
  <c r="Q28" i="10"/>
  <c r="Q27" i="10"/>
  <c r="Q26" i="10"/>
  <c r="R25" i="10"/>
  <c r="S25" i="10" s="1"/>
  <c r="Q25" i="10"/>
  <c r="R24" i="10"/>
  <c r="S24" i="10" s="1"/>
  <c r="Q24" i="10"/>
  <c r="R23" i="10"/>
  <c r="Q22" i="10"/>
  <c r="M22" i="10"/>
  <c r="T19" i="10"/>
  <c r="R19" i="10"/>
  <c r="S19" i="10" s="1"/>
  <c r="Q19" i="10"/>
  <c r="P18" i="10"/>
  <c r="R18" i="10" s="1"/>
  <c r="M18" i="10"/>
  <c r="M17" i="10" s="1"/>
  <c r="M13" i="10" s="1"/>
  <c r="P17" i="10"/>
  <c r="R17" i="10" s="1"/>
  <c r="S17" i="10" s="1"/>
  <c r="M15" i="10"/>
  <c r="T49" i="9"/>
  <c r="T46" i="9"/>
  <c r="T35" i="9"/>
  <c r="T32" i="9"/>
  <c r="T25" i="9"/>
  <c r="R22" i="10" l="1"/>
  <c r="S22" i="10" s="1"/>
  <c r="M21" i="10"/>
  <c r="M14" i="10" s="1"/>
  <c r="S54" i="10"/>
  <c r="Q62" i="10"/>
  <c r="S66" i="10"/>
  <c r="S18" i="10"/>
  <c r="P69" i="10"/>
  <c r="P15" i="10" s="1"/>
  <c r="S82" i="12"/>
  <c r="Q82" i="12"/>
  <c r="S12" i="12"/>
  <c r="R10" i="12"/>
  <c r="S10" i="12" s="1"/>
  <c r="Q73" i="11"/>
  <c r="S73" i="11"/>
  <c r="M12" i="11"/>
  <c r="M10" i="11" s="1"/>
  <c r="R17" i="11"/>
  <c r="S17" i="11" s="1"/>
  <c r="P13" i="11"/>
  <c r="R21" i="11"/>
  <c r="S21" i="11" s="1"/>
  <c r="Q21" i="11"/>
  <c r="P14" i="11"/>
  <c r="Q15" i="11"/>
  <c r="R15" i="11"/>
  <c r="S15" i="11" s="1"/>
  <c r="Q66" i="10"/>
  <c r="R26" i="10"/>
  <c r="S26" i="10" s="1"/>
  <c r="R35" i="10"/>
  <c r="S35" i="10" s="1"/>
  <c r="R39" i="10"/>
  <c r="R27" i="10"/>
  <c r="S27" i="10" s="1"/>
  <c r="R34" i="10"/>
  <c r="S34" i="10" s="1"/>
  <c r="M12" i="10"/>
  <c r="Q69" i="10"/>
  <c r="Q31" i="10"/>
  <c r="Q70" i="10"/>
  <c r="Q34" i="10"/>
  <c r="R70" i="10"/>
  <c r="S70" i="10" s="1"/>
  <c r="R73" i="10"/>
  <c r="S73" i="10" s="1"/>
  <c r="P13" i="10"/>
  <c r="Q17" i="10"/>
  <c r="Q54" i="10"/>
  <c r="Q57" i="10"/>
  <c r="Q18" i="10"/>
  <c r="T19" i="9"/>
  <c r="R63" i="9"/>
  <c r="S63" i="9" s="1"/>
  <c r="R41" i="9"/>
  <c r="P73" i="9"/>
  <c r="P70" i="9"/>
  <c r="R70" i="9" s="1"/>
  <c r="P66" i="9"/>
  <c r="R66" i="9" s="1"/>
  <c r="P62" i="9"/>
  <c r="R62" i="9" s="1"/>
  <c r="P57" i="9"/>
  <c r="R57" i="9" s="1"/>
  <c r="P54" i="9"/>
  <c r="R54" i="9" s="1"/>
  <c r="P51" i="9"/>
  <c r="R51" i="9" s="1"/>
  <c r="P48" i="9"/>
  <c r="P44" i="9"/>
  <c r="R44" i="9" s="1"/>
  <c r="P39" i="9"/>
  <c r="P34" i="9"/>
  <c r="P31" i="9"/>
  <c r="R31" i="9" s="1"/>
  <c r="P22" i="9"/>
  <c r="R22" i="9" s="1"/>
  <c r="V75" i="9"/>
  <c r="U75" i="9"/>
  <c r="Q74" i="9"/>
  <c r="R73" i="9"/>
  <c r="M73" i="9"/>
  <c r="Q73" i="9" s="1"/>
  <c r="Q71" i="9"/>
  <c r="M70" i="9"/>
  <c r="R67" i="9"/>
  <c r="S67" i="9" s="1"/>
  <c r="Q67" i="9"/>
  <c r="M66" i="9"/>
  <c r="T64" i="9"/>
  <c r="R64" i="9"/>
  <c r="S64" i="9" s="1"/>
  <c r="Q64" i="9"/>
  <c r="T63" i="9"/>
  <c r="Q63" i="9"/>
  <c r="M62" i="9"/>
  <c r="Q60" i="9"/>
  <c r="R59" i="9"/>
  <c r="S59" i="9" s="1"/>
  <c r="Q59" i="9"/>
  <c r="Q58" i="9"/>
  <c r="M57" i="9"/>
  <c r="Q55" i="9"/>
  <c r="M54" i="9"/>
  <c r="Q54" i="9" s="1"/>
  <c r="R52" i="9"/>
  <c r="M51" i="9"/>
  <c r="R49" i="9"/>
  <c r="S49" i="9" s="1"/>
  <c r="Q49" i="9"/>
  <c r="M48" i="9"/>
  <c r="Q48" i="9" s="1"/>
  <c r="R46" i="9"/>
  <c r="S46" i="9" s="1"/>
  <c r="Q46" i="9"/>
  <c r="Q45" i="9"/>
  <c r="M44" i="9"/>
  <c r="R42" i="9"/>
  <c r="R40" i="9"/>
  <c r="R39" i="9"/>
  <c r="M39" i="9"/>
  <c r="T37" i="9"/>
  <c r="R37" i="9"/>
  <c r="S37" i="9" s="1"/>
  <c r="Q37" i="9"/>
  <c r="R36" i="9"/>
  <c r="S36" i="9" s="1"/>
  <c r="Q36" i="9"/>
  <c r="Q35" i="9"/>
  <c r="R34" i="9"/>
  <c r="M34" i="9"/>
  <c r="R32" i="9"/>
  <c r="S32" i="9" s="1"/>
  <c r="Q32" i="9"/>
  <c r="M31" i="9"/>
  <c r="Q31" i="9" s="1"/>
  <c r="R29" i="9"/>
  <c r="S29" i="9" s="1"/>
  <c r="Q29" i="9"/>
  <c r="R28" i="9"/>
  <c r="S28" i="9" s="1"/>
  <c r="Q28" i="9"/>
  <c r="R27" i="9"/>
  <c r="S27" i="9" s="1"/>
  <c r="Q27" i="9"/>
  <c r="R26" i="9"/>
  <c r="S26" i="9" s="1"/>
  <c r="Q26" i="9"/>
  <c r="Q25" i="9"/>
  <c r="R24" i="9"/>
  <c r="S24" i="9" s="1"/>
  <c r="Q24" i="9"/>
  <c r="R23" i="9"/>
  <c r="M22" i="9"/>
  <c r="R19" i="9"/>
  <c r="S19" i="9" s="1"/>
  <c r="Q19" i="9"/>
  <c r="P18" i="9"/>
  <c r="P17" i="9" s="1"/>
  <c r="R17" i="9" s="1"/>
  <c r="M18" i="9"/>
  <c r="T25" i="8"/>
  <c r="S34" i="9" l="1"/>
  <c r="S54" i="9"/>
  <c r="S70" i="9"/>
  <c r="R69" i="10"/>
  <c r="S69" i="10" s="1"/>
  <c r="Q34" i="9"/>
  <c r="M83" i="11"/>
  <c r="O83" i="11" s="1"/>
  <c r="R13" i="11"/>
  <c r="S13" i="11" s="1"/>
  <c r="Q13" i="11"/>
  <c r="R14" i="11"/>
  <c r="S14" i="11" s="1"/>
  <c r="P12" i="11"/>
  <c r="Q14" i="11"/>
  <c r="R13" i="10"/>
  <c r="S13" i="10" s="1"/>
  <c r="Q13" i="10"/>
  <c r="R15" i="10"/>
  <c r="S15" i="10" s="1"/>
  <c r="Q15" i="10"/>
  <c r="Q21" i="10"/>
  <c r="R21" i="10"/>
  <c r="S21" i="10" s="1"/>
  <c r="P14" i="10"/>
  <c r="P12" i="10" s="1"/>
  <c r="M75" i="10"/>
  <c r="O75" i="10" s="1"/>
  <c r="M10" i="10"/>
  <c r="M21" i="9"/>
  <c r="M14" i="9" s="1"/>
  <c r="M69" i="9"/>
  <c r="M15" i="9" s="1"/>
  <c r="R18" i="9"/>
  <c r="S18" i="9" s="1"/>
  <c r="Q66" i="9"/>
  <c r="S73" i="9"/>
  <c r="S22" i="9"/>
  <c r="S57" i="9"/>
  <c r="S62" i="9"/>
  <c r="R25" i="9"/>
  <c r="S25" i="9" s="1"/>
  <c r="R74" i="9"/>
  <c r="S74" i="9" s="1"/>
  <c r="R35" i="9"/>
  <c r="S35" i="9" s="1"/>
  <c r="R48" i="9"/>
  <c r="S48" i="9" s="1"/>
  <c r="R60" i="9"/>
  <c r="S60" i="9" s="1"/>
  <c r="R71" i="9"/>
  <c r="S71" i="9" s="1"/>
  <c r="R45" i="9"/>
  <c r="S45" i="9" s="1"/>
  <c r="R55" i="9"/>
  <c r="S55" i="9" s="1"/>
  <c r="R58" i="9"/>
  <c r="S58" i="9" s="1"/>
  <c r="N75" i="9"/>
  <c r="Q44" i="9"/>
  <c r="Q57" i="9"/>
  <c r="Q70" i="9"/>
  <c r="S44" i="9"/>
  <c r="P21" i="9"/>
  <c r="P69" i="9"/>
  <c r="Q69" i="9" s="1"/>
  <c r="Q18" i="9"/>
  <c r="S66" i="9"/>
  <c r="M17" i="9"/>
  <c r="M13" i="9" s="1"/>
  <c r="M12" i="9" s="1"/>
  <c r="P13" i="9"/>
  <c r="Q22" i="9"/>
  <c r="Q62" i="9"/>
  <c r="S31" i="9"/>
  <c r="T49" i="8"/>
  <c r="T46" i="8"/>
  <c r="T36" i="8"/>
  <c r="T35" i="8"/>
  <c r="T32" i="8"/>
  <c r="T19" i="8"/>
  <c r="R74" i="8"/>
  <c r="S74" i="8" s="1"/>
  <c r="R63" i="8"/>
  <c r="S63" i="8" s="1"/>
  <c r="R60" i="8"/>
  <c r="S60" i="8" s="1"/>
  <c r="R58" i="8"/>
  <c r="S58" i="8" s="1"/>
  <c r="R55" i="8"/>
  <c r="S55" i="8" s="1"/>
  <c r="R52" i="8"/>
  <c r="R51" i="8"/>
  <c r="R42" i="8"/>
  <c r="R41" i="8"/>
  <c r="R37" i="8"/>
  <c r="S37" i="8" s="1"/>
  <c r="R32" i="8"/>
  <c r="S32" i="8" s="1"/>
  <c r="R29" i="8"/>
  <c r="S29" i="8" s="1"/>
  <c r="R27" i="8"/>
  <c r="S27" i="8" s="1"/>
  <c r="R25" i="8"/>
  <c r="S25" i="8" s="1"/>
  <c r="P73" i="8"/>
  <c r="R73" i="8" s="1"/>
  <c r="S73" i="8" s="1"/>
  <c r="P70" i="8"/>
  <c r="R70" i="8" s="1"/>
  <c r="P66" i="8"/>
  <c r="P62" i="8"/>
  <c r="Q62" i="8" s="1"/>
  <c r="P57" i="8"/>
  <c r="P54" i="8"/>
  <c r="R54" i="8" s="1"/>
  <c r="P51" i="8"/>
  <c r="P48" i="8"/>
  <c r="R48" i="8" s="1"/>
  <c r="P44" i="8"/>
  <c r="R44" i="8" s="1"/>
  <c r="P39" i="8"/>
  <c r="P34" i="8"/>
  <c r="R34" i="8" s="1"/>
  <c r="P31" i="8"/>
  <c r="R31" i="8" s="1"/>
  <c r="P22" i="8"/>
  <c r="P19" i="8"/>
  <c r="V75" i="8"/>
  <c r="U75" i="8"/>
  <c r="N75" i="8"/>
  <c r="Q74" i="8"/>
  <c r="M73" i="8"/>
  <c r="R71" i="8"/>
  <c r="S71" i="8" s="1"/>
  <c r="Q71" i="8"/>
  <c r="M70" i="8"/>
  <c r="Q70" i="8" s="1"/>
  <c r="R67" i="8"/>
  <c r="S67" i="8" s="1"/>
  <c r="Q67" i="8"/>
  <c r="M66" i="8"/>
  <c r="T64" i="8"/>
  <c r="R64" i="8"/>
  <c r="S64" i="8" s="1"/>
  <c r="Q64" i="8"/>
  <c r="T63" i="8"/>
  <c r="Q63" i="8"/>
  <c r="R62" i="8"/>
  <c r="S62" i="8" s="1"/>
  <c r="M62" i="8"/>
  <c r="Q60" i="8"/>
  <c r="R59" i="8"/>
  <c r="S59" i="8" s="1"/>
  <c r="Q59" i="8"/>
  <c r="Q58" i="8"/>
  <c r="M57" i="8"/>
  <c r="Q55" i="8"/>
  <c r="M54" i="8"/>
  <c r="M51" i="8"/>
  <c r="R49" i="8"/>
  <c r="S49" i="8" s="1"/>
  <c r="Q49" i="8"/>
  <c r="M48" i="8"/>
  <c r="R46" i="8"/>
  <c r="S46" i="8" s="1"/>
  <c r="Q46" i="8"/>
  <c r="R45" i="8"/>
  <c r="S45" i="8" s="1"/>
  <c r="Q45" i="8"/>
  <c r="M44" i="8"/>
  <c r="R40" i="8"/>
  <c r="R39" i="8"/>
  <c r="M39" i="8"/>
  <c r="T37" i="8"/>
  <c r="Q37" i="8"/>
  <c r="R36" i="8"/>
  <c r="S36" i="8" s="1"/>
  <c r="Q36" i="8"/>
  <c r="R35" i="8"/>
  <c r="S35" i="8" s="1"/>
  <c r="Q35" i="8"/>
  <c r="M34" i="8"/>
  <c r="Q32" i="8"/>
  <c r="M31" i="8"/>
  <c r="Q29" i="8"/>
  <c r="R28" i="8"/>
  <c r="S28" i="8" s="1"/>
  <c r="Q28" i="8"/>
  <c r="Q27" i="8"/>
  <c r="R26" i="8"/>
  <c r="S26" i="8" s="1"/>
  <c r="Q26" i="8"/>
  <c r="Q25" i="8"/>
  <c r="R24" i="8"/>
  <c r="S24" i="8" s="1"/>
  <c r="Q24" i="8"/>
  <c r="R23" i="8"/>
  <c r="M22" i="8"/>
  <c r="R19" i="8"/>
  <c r="S19" i="8" s="1"/>
  <c r="Q19" i="8"/>
  <c r="P18" i="8"/>
  <c r="M18" i="8"/>
  <c r="Q73" i="8" l="1"/>
  <c r="Q66" i="8"/>
  <c r="Q18" i="8"/>
  <c r="Q34" i="8"/>
  <c r="P83" i="11"/>
  <c r="P10" i="11"/>
  <c r="Q10" i="11" s="1"/>
  <c r="R12" i="11"/>
  <c r="Q12" i="11"/>
  <c r="P10" i="10"/>
  <c r="Q10" i="10" s="1"/>
  <c r="P75" i="10"/>
  <c r="R12" i="10"/>
  <c r="Q12" i="10"/>
  <c r="Q14" i="10"/>
  <c r="R14" i="10"/>
  <c r="S14" i="10" s="1"/>
  <c r="S44" i="8"/>
  <c r="Q31" i="8"/>
  <c r="S54" i="8"/>
  <c r="S70" i="8"/>
  <c r="R66" i="8"/>
  <c r="S66" i="8" s="1"/>
  <c r="P15" i="9"/>
  <c r="Q15" i="9" s="1"/>
  <c r="Q48" i="8"/>
  <c r="P21" i="8"/>
  <c r="P14" i="8" s="1"/>
  <c r="R14" i="8" s="1"/>
  <c r="Q57" i="8"/>
  <c r="R69" i="9"/>
  <c r="S69" i="9" s="1"/>
  <c r="P14" i="9"/>
  <c r="R21" i="9"/>
  <c r="S21" i="9" s="1"/>
  <c r="Q21" i="9"/>
  <c r="M10" i="9"/>
  <c r="M75" i="9"/>
  <c r="O75" i="9" s="1"/>
  <c r="Q13" i="9"/>
  <c r="R13" i="9"/>
  <c r="S13" i="9" s="1"/>
  <c r="Q17" i="9"/>
  <c r="S17" i="9"/>
  <c r="R18" i="8"/>
  <c r="S18" i="8" s="1"/>
  <c r="R22" i="8"/>
  <c r="S22" i="8" s="1"/>
  <c r="P69" i="8"/>
  <c r="P17" i="8"/>
  <c r="P13" i="8" s="1"/>
  <c r="Q54" i="8"/>
  <c r="Q44" i="8"/>
  <c r="R57" i="8"/>
  <c r="S57" i="8" s="1"/>
  <c r="Q22" i="8"/>
  <c r="M17" i="8"/>
  <c r="M13" i="8" s="1"/>
  <c r="M69" i="8"/>
  <c r="S31" i="8"/>
  <c r="S34" i="8"/>
  <c r="S48" i="8"/>
  <c r="M21" i="8"/>
  <c r="T64" i="7"/>
  <c r="T49" i="7"/>
  <c r="T46" i="7"/>
  <c r="T36" i="7"/>
  <c r="T35" i="7"/>
  <c r="T32" i="7"/>
  <c r="T19" i="7"/>
  <c r="V75" i="7"/>
  <c r="U75" i="7"/>
  <c r="N75" i="7"/>
  <c r="R74" i="7"/>
  <c r="S74" i="7" s="1"/>
  <c r="Q74" i="7"/>
  <c r="R73" i="7"/>
  <c r="M73" i="7"/>
  <c r="Q73" i="7" s="1"/>
  <c r="R71" i="7"/>
  <c r="S71" i="7" s="1"/>
  <c r="Q71" i="7"/>
  <c r="R70" i="7"/>
  <c r="M70" i="7"/>
  <c r="Q70" i="7" s="1"/>
  <c r="R69" i="7"/>
  <c r="R67" i="7"/>
  <c r="S67" i="7" s="1"/>
  <c r="Q67" i="7"/>
  <c r="R66" i="7"/>
  <c r="S66" i="7" s="1"/>
  <c r="M66" i="7"/>
  <c r="Q66" i="7" s="1"/>
  <c r="R64" i="7"/>
  <c r="S64" i="7" s="1"/>
  <c r="Q64" i="7"/>
  <c r="T63" i="7"/>
  <c r="R63" i="7"/>
  <c r="S63" i="7" s="1"/>
  <c r="Q63" i="7"/>
  <c r="R62" i="7"/>
  <c r="S62" i="7" s="1"/>
  <c r="M62" i="7"/>
  <c r="Q62" i="7" s="1"/>
  <c r="R60" i="7"/>
  <c r="S60" i="7" s="1"/>
  <c r="Q60" i="7"/>
  <c r="R59" i="7"/>
  <c r="S59" i="7" s="1"/>
  <c r="Q59" i="7"/>
  <c r="R58" i="7"/>
  <c r="S58" i="7" s="1"/>
  <c r="Q58" i="7"/>
  <c r="R57" i="7"/>
  <c r="M57" i="7"/>
  <c r="Q57" i="7" s="1"/>
  <c r="R55" i="7"/>
  <c r="S55" i="7" s="1"/>
  <c r="Q55" i="7"/>
  <c r="R54" i="7"/>
  <c r="M54" i="7"/>
  <c r="Q54" i="7" s="1"/>
  <c r="R52" i="7"/>
  <c r="R51" i="7"/>
  <c r="M51" i="7"/>
  <c r="R49" i="7"/>
  <c r="S49" i="7" s="1"/>
  <c r="Q49" i="7"/>
  <c r="R48" i="7"/>
  <c r="M48" i="7"/>
  <c r="R46" i="7"/>
  <c r="S46" i="7" s="1"/>
  <c r="Q46" i="7"/>
  <c r="R45" i="7"/>
  <c r="S45" i="7" s="1"/>
  <c r="Q45" i="7"/>
  <c r="R44" i="7"/>
  <c r="S44" i="7" s="1"/>
  <c r="M44" i="7"/>
  <c r="Q44" i="7" s="1"/>
  <c r="R42" i="7"/>
  <c r="R41" i="7"/>
  <c r="R40" i="7"/>
  <c r="R39" i="7"/>
  <c r="M39" i="7"/>
  <c r="T37" i="7"/>
  <c r="R37" i="7"/>
  <c r="S37" i="7" s="1"/>
  <c r="Q37" i="7"/>
  <c r="R36" i="7"/>
  <c r="S36" i="7" s="1"/>
  <c r="Q36" i="7"/>
  <c r="R35" i="7"/>
  <c r="S35" i="7" s="1"/>
  <c r="Q35" i="7"/>
  <c r="R34" i="7"/>
  <c r="M34" i="7"/>
  <c r="R32" i="7"/>
  <c r="S32" i="7" s="1"/>
  <c r="Q32" i="7"/>
  <c r="R31" i="7"/>
  <c r="M31" i="7"/>
  <c r="R29" i="7"/>
  <c r="S29" i="7" s="1"/>
  <c r="Q29" i="7"/>
  <c r="R28" i="7"/>
  <c r="S28" i="7" s="1"/>
  <c r="Q28" i="7"/>
  <c r="R27" i="7"/>
  <c r="S27" i="7" s="1"/>
  <c r="Q27" i="7"/>
  <c r="R26" i="7"/>
  <c r="S26" i="7" s="1"/>
  <c r="Q26" i="7"/>
  <c r="S25" i="7"/>
  <c r="R25" i="7"/>
  <c r="Q25" i="7"/>
  <c r="R24" i="7"/>
  <c r="S24" i="7" s="1"/>
  <c r="Q24" i="7"/>
  <c r="R23" i="7"/>
  <c r="R22" i="7"/>
  <c r="M22" i="7"/>
  <c r="Q22" i="7" s="1"/>
  <c r="R21" i="7"/>
  <c r="R19" i="7"/>
  <c r="S19" i="7" s="1"/>
  <c r="Q19" i="7"/>
  <c r="P18" i="7"/>
  <c r="Q18" i="7" s="1"/>
  <c r="M18" i="7"/>
  <c r="M17" i="7" s="1"/>
  <c r="M13" i="7" s="1"/>
  <c r="P15" i="7"/>
  <c r="R15" i="7" s="1"/>
  <c r="P14" i="7"/>
  <c r="R14" i="7" s="1"/>
  <c r="R15" i="9" l="1"/>
  <c r="S15" i="9" s="1"/>
  <c r="R21" i="8"/>
  <c r="P12" i="9"/>
  <c r="S12" i="11"/>
  <c r="R10" i="11"/>
  <c r="S10" i="11" s="1"/>
  <c r="Q83" i="11"/>
  <c r="R83" i="11"/>
  <c r="S83" i="11" s="1"/>
  <c r="S12" i="10"/>
  <c r="R10" i="10"/>
  <c r="S10" i="10" s="1"/>
  <c r="Q75" i="10"/>
  <c r="R75" i="10"/>
  <c r="S75" i="10" s="1"/>
  <c r="S73" i="7"/>
  <c r="P17" i="7"/>
  <c r="R17" i="7" s="1"/>
  <c r="S22" i="7"/>
  <c r="S54" i="7"/>
  <c r="S70" i="7"/>
  <c r="S57" i="7"/>
  <c r="R17" i="8"/>
  <c r="Q14" i="9"/>
  <c r="R14" i="9"/>
  <c r="S14" i="9" s="1"/>
  <c r="R12" i="9"/>
  <c r="Q12" i="9"/>
  <c r="P10" i="9"/>
  <c r="Q10" i="9" s="1"/>
  <c r="P75" i="9"/>
  <c r="R69" i="8"/>
  <c r="S69" i="8" s="1"/>
  <c r="P15" i="8"/>
  <c r="R15" i="8" s="1"/>
  <c r="R13" i="8"/>
  <c r="S13" i="8" s="1"/>
  <c r="Q13" i="8"/>
  <c r="M15" i="8"/>
  <c r="Q69" i="8"/>
  <c r="M14" i="8"/>
  <c r="M12" i="8" s="1"/>
  <c r="S21" i="8"/>
  <c r="Q21" i="8"/>
  <c r="S17" i="8"/>
  <c r="Q17" i="8"/>
  <c r="S48" i="7"/>
  <c r="S34" i="7"/>
  <c r="R18" i="7"/>
  <c r="S18" i="7" s="1"/>
  <c r="S31" i="7"/>
  <c r="S17" i="7"/>
  <c r="P13" i="7"/>
  <c r="Q17" i="7"/>
  <c r="M21" i="7"/>
  <c r="Q31" i="7"/>
  <c r="Q34" i="7"/>
  <c r="Q48" i="7"/>
  <c r="M69" i="7"/>
  <c r="T49" i="6"/>
  <c r="T46" i="6"/>
  <c r="T36" i="6"/>
  <c r="T35" i="6"/>
  <c r="T32" i="6"/>
  <c r="T19" i="6"/>
  <c r="V75" i="6"/>
  <c r="U75" i="6"/>
  <c r="N75" i="6"/>
  <c r="R74" i="6"/>
  <c r="S74" i="6" s="1"/>
  <c r="Q74" i="6"/>
  <c r="R73" i="6"/>
  <c r="M73" i="6"/>
  <c r="Q73" i="6" s="1"/>
  <c r="R71" i="6"/>
  <c r="S71" i="6" s="1"/>
  <c r="Q71" i="6"/>
  <c r="R70" i="6"/>
  <c r="M70" i="6"/>
  <c r="Q70" i="6" s="1"/>
  <c r="R69" i="6"/>
  <c r="R67" i="6"/>
  <c r="S67" i="6" s="1"/>
  <c r="Q67" i="6"/>
  <c r="R66" i="6"/>
  <c r="S66" i="6" s="1"/>
  <c r="M66" i="6"/>
  <c r="Q66" i="6" s="1"/>
  <c r="R64" i="6"/>
  <c r="S64" i="6" s="1"/>
  <c r="Q64" i="6"/>
  <c r="T63" i="6"/>
  <c r="R63" i="6"/>
  <c r="S63" i="6" s="1"/>
  <c r="Q63" i="6"/>
  <c r="R62" i="6"/>
  <c r="S62" i="6" s="1"/>
  <c r="M62" i="6"/>
  <c r="Q62" i="6" s="1"/>
  <c r="R60" i="6"/>
  <c r="S60" i="6" s="1"/>
  <c r="Q60" i="6"/>
  <c r="R59" i="6"/>
  <c r="S59" i="6" s="1"/>
  <c r="Q59" i="6"/>
  <c r="R58" i="6"/>
  <c r="S58" i="6" s="1"/>
  <c r="Q58" i="6"/>
  <c r="R57" i="6"/>
  <c r="M57" i="6"/>
  <c r="Q57" i="6" s="1"/>
  <c r="R55" i="6"/>
  <c r="S55" i="6" s="1"/>
  <c r="Q55" i="6"/>
  <c r="R54" i="6"/>
  <c r="M54" i="6"/>
  <c r="Q54" i="6" s="1"/>
  <c r="R52" i="6"/>
  <c r="R51" i="6"/>
  <c r="M51" i="6"/>
  <c r="R49" i="6"/>
  <c r="S49" i="6" s="1"/>
  <c r="Q49" i="6"/>
  <c r="R48" i="6"/>
  <c r="M48" i="6"/>
  <c r="R46" i="6"/>
  <c r="S46" i="6" s="1"/>
  <c r="Q46" i="6"/>
  <c r="R45" i="6"/>
  <c r="S45" i="6" s="1"/>
  <c r="Q45" i="6"/>
  <c r="R44" i="6"/>
  <c r="S44" i="6" s="1"/>
  <c r="M44" i="6"/>
  <c r="Q44" i="6" s="1"/>
  <c r="R42" i="6"/>
  <c r="R41" i="6"/>
  <c r="R40" i="6"/>
  <c r="R39" i="6"/>
  <c r="M39" i="6"/>
  <c r="T37" i="6"/>
  <c r="R37" i="6"/>
  <c r="S37" i="6" s="1"/>
  <c r="Q37" i="6"/>
  <c r="R36" i="6"/>
  <c r="S36" i="6" s="1"/>
  <c r="Q36" i="6"/>
  <c r="R35" i="6"/>
  <c r="S35" i="6" s="1"/>
  <c r="Q35" i="6"/>
  <c r="R34" i="6"/>
  <c r="M34" i="6"/>
  <c r="R32" i="6"/>
  <c r="S32" i="6" s="1"/>
  <c r="Q32" i="6"/>
  <c r="R31" i="6"/>
  <c r="M31" i="6"/>
  <c r="R29" i="6"/>
  <c r="S29" i="6" s="1"/>
  <c r="Q29" i="6"/>
  <c r="R28" i="6"/>
  <c r="S28" i="6" s="1"/>
  <c r="Q28" i="6"/>
  <c r="R27" i="6"/>
  <c r="S27" i="6" s="1"/>
  <c r="Q27" i="6"/>
  <c r="R26" i="6"/>
  <c r="S26" i="6" s="1"/>
  <c r="Q26" i="6"/>
  <c r="R25" i="6"/>
  <c r="S25" i="6" s="1"/>
  <c r="Q25" i="6"/>
  <c r="R24" i="6"/>
  <c r="S24" i="6" s="1"/>
  <c r="Q24" i="6"/>
  <c r="R23" i="6"/>
  <c r="R22" i="6"/>
  <c r="M22" i="6"/>
  <c r="Q22" i="6" s="1"/>
  <c r="R21" i="6"/>
  <c r="R19" i="6"/>
  <c r="S19" i="6" s="1"/>
  <c r="Q19" i="6"/>
  <c r="P18" i="6"/>
  <c r="P17" i="6" s="1"/>
  <c r="R17" i="6" s="1"/>
  <c r="M18" i="6"/>
  <c r="M17" i="6" s="1"/>
  <c r="M13" i="6" s="1"/>
  <c r="P15" i="6"/>
  <c r="R15" i="6" s="1"/>
  <c r="P14" i="6"/>
  <c r="R14" i="6" s="1"/>
  <c r="S48" i="6" l="1"/>
  <c r="S57" i="6"/>
  <c r="Q18" i="6"/>
  <c r="S70" i="6"/>
  <c r="S73" i="6"/>
  <c r="S22" i="6"/>
  <c r="S54" i="6"/>
  <c r="R10" i="9"/>
  <c r="S10" i="9" s="1"/>
  <c r="S12" i="9"/>
  <c r="R75" i="9"/>
  <c r="S75" i="9" s="1"/>
  <c r="Q75" i="9"/>
  <c r="P12" i="8"/>
  <c r="P75" i="8" s="1"/>
  <c r="M10" i="8"/>
  <c r="M75" i="8"/>
  <c r="O75" i="8" s="1"/>
  <c r="Q14" i="8"/>
  <c r="S14" i="8"/>
  <c r="Q15" i="8"/>
  <c r="S15" i="8"/>
  <c r="R13" i="7"/>
  <c r="S13" i="7" s="1"/>
  <c r="Q13" i="7"/>
  <c r="P12" i="7"/>
  <c r="Q69" i="7"/>
  <c r="M15" i="7"/>
  <c r="S69" i="7"/>
  <c r="S21" i="7"/>
  <c r="Q21" i="7"/>
  <c r="M14" i="7"/>
  <c r="R18" i="6"/>
  <c r="S18" i="6" s="1"/>
  <c r="S31" i="6"/>
  <c r="S34" i="6"/>
  <c r="S17" i="6"/>
  <c r="P13" i="6"/>
  <c r="Q17" i="6"/>
  <c r="M21" i="6"/>
  <c r="Q31" i="6"/>
  <c r="Q34" i="6"/>
  <c r="Q48" i="6"/>
  <c r="M69" i="6"/>
  <c r="R12" i="8" l="1"/>
  <c r="P10" i="8"/>
  <c r="Q12" i="8"/>
  <c r="R75" i="8"/>
  <c r="S75" i="8" s="1"/>
  <c r="Q75" i="8"/>
  <c r="Q10" i="8"/>
  <c r="R10" i="8"/>
  <c r="S10" i="8" s="1"/>
  <c r="S12" i="8"/>
  <c r="P10" i="7"/>
  <c r="P75" i="7"/>
  <c r="R12" i="7"/>
  <c r="Q14" i="7"/>
  <c r="S14" i="7"/>
  <c r="M12" i="7"/>
  <c r="Q12" i="7" s="1"/>
  <c r="Q15" i="7"/>
  <c r="S15" i="7"/>
  <c r="S21" i="6"/>
  <c r="Q21" i="6"/>
  <c r="M14" i="6"/>
  <c r="Q69" i="6"/>
  <c r="M15" i="6"/>
  <c r="S69" i="6"/>
  <c r="R13" i="6"/>
  <c r="S13" i="6" s="1"/>
  <c r="P12" i="6"/>
  <c r="Q13" i="6"/>
  <c r="M75" i="7" l="1"/>
  <c r="O75" i="7" s="1"/>
  <c r="M10" i="7"/>
  <c r="Q10" i="7" s="1"/>
  <c r="S12" i="7"/>
  <c r="R10" i="7"/>
  <c r="S10" i="7" s="1"/>
  <c r="Q75" i="7"/>
  <c r="R75" i="7"/>
  <c r="S75" i="7" s="1"/>
  <c r="P10" i="6"/>
  <c r="P75" i="6"/>
  <c r="R12" i="6"/>
  <c r="Q12" i="6"/>
  <c r="Q14" i="6"/>
  <c r="S14" i="6"/>
  <c r="M12" i="6"/>
  <c r="Q15" i="6"/>
  <c r="S15" i="6"/>
  <c r="M75" i="6" l="1"/>
  <c r="O75" i="6" s="1"/>
  <c r="M10" i="6"/>
  <c r="Q10" i="6" s="1"/>
  <c r="S12" i="6"/>
  <c r="R10" i="6"/>
  <c r="S10" i="6" s="1"/>
  <c r="Q75" i="6"/>
  <c r="R75" i="6"/>
  <c r="S75" i="6" s="1"/>
  <c r="T36" i="5" l="1"/>
  <c r="T35" i="5"/>
  <c r="T46" i="5"/>
  <c r="V75" i="5"/>
  <c r="U75" i="5"/>
  <c r="N75" i="5"/>
  <c r="R74" i="5"/>
  <c r="S74" i="5" s="1"/>
  <c r="Q74" i="5"/>
  <c r="R73" i="5"/>
  <c r="M73" i="5"/>
  <c r="R71" i="5"/>
  <c r="S71" i="5" s="1"/>
  <c r="Q71" i="5"/>
  <c r="M70" i="5"/>
  <c r="R67" i="5"/>
  <c r="S67" i="5" s="1"/>
  <c r="Q67" i="5"/>
  <c r="Q66" i="5"/>
  <c r="R66" i="5"/>
  <c r="M66" i="5"/>
  <c r="R64" i="5"/>
  <c r="S64" i="5" s="1"/>
  <c r="Q64" i="5"/>
  <c r="T63" i="5"/>
  <c r="R63" i="5"/>
  <c r="S63" i="5" s="1"/>
  <c r="Q63" i="5"/>
  <c r="Q62" i="5"/>
  <c r="R62" i="5"/>
  <c r="M62" i="5"/>
  <c r="R60" i="5"/>
  <c r="S60" i="5" s="1"/>
  <c r="Q60" i="5"/>
  <c r="R59" i="5"/>
  <c r="S59" i="5" s="1"/>
  <c r="Q59" i="5"/>
  <c r="R58" i="5"/>
  <c r="S58" i="5" s="1"/>
  <c r="Q58" i="5"/>
  <c r="R57" i="5"/>
  <c r="M57" i="5"/>
  <c r="Q57" i="5" s="1"/>
  <c r="R55" i="5"/>
  <c r="S55" i="5" s="1"/>
  <c r="Q55" i="5"/>
  <c r="R54" i="5"/>
  <c r="M54" i="5"/>
  <c r="Q54" i="5" s="1"/>
  <c r="R52" i="5"/>
  <c r="R51" i="5"/>
  <c r="M51" i="5"/>
  <c r="T49" i="5"/>
  <c r="R49" i="5"/>
  <c r="S49" i="5" s="1"/>
  <c r="Q49" i="5"/>
  <c r="R48" i="5"/>
  <c r="M48" i="5"/>
  <c r="R46" i="5"/>
  <c r="S46" i="5" s="1"/>
  <c r="Q46" i="5"/>
  <c r="R45" i="5"/>
  <c r="S45" i="5" s="1"/>
  <c r="Q45" i="5"/>
  <c r="R44" i="5"/>
  <c r="M44" i="5"/>
  <c r="R42" i="5"/>
  <c r="R41" i="5"/>
  <c r="R40" i="5"/>
  <c r="R39" i="5"/>
  <c r="M39" i="5"/>
  <c r="T37" i="5"/>
  <c r="R37" i="5"/>
  <c r="S37" i="5" s="1"/>
  <c r="Q37" i="5"/>
  <c r="R36" i="5"/>
  <c r="S36" i="5" s="1"/>
  <c r="Q36" i="5"/>
  <c r="R35" i="5"/>
  <c r="S35" i="5" s="1"/>
  <c r="Q35" i="5"/>
  <c r="R34" i="5"/>
  <c r="Q34" i="5"/>
  <c r="M34" i="5"/>
  <c r="T32" i="5"/>
  <c r="R32" i="5"/>
  <c r="S32" i="5" s="1"/>
  <c r="Q32" i="5"/>
  <c r="R31" i="5"/>
  <c r="M31" i="5"/>
  <c r="R29" i="5"/>
  <c r="S29" i="5" s="1"/>
  <c r="Q29" i="5"/>
  <c r="R28" i="5"/>
  <c r="S28" i="5" s="1"/>
  <c r="Q28" i="5"/>
  <c r="R27" i="5"/>
  <c r="S27" i="5" s="1"/>
  <c r="Q27" i="5"/>
  <c r="R26" i="5"/>
  <c r="S26" i="5" s="1"/>
  <c r="Q26" i="5"/>
  <c r="R25" i="5"/>
  <c r="S25" i="5" s="1"/>
  <c r="Q25" i="5"/>
  <c r="R24" i="5"/>
  <c r="S24" i="5" s="1"/>
  <c r="Q24" i="5"/>
  <c r="R23" i="5"/>
  <c r="R22" i="5"/>
  <c r="M22" i="5"/>
  <c r="P14" i="5"/>
  <c r="T19" i="5"/>
  <c r="R19" i="5"/>
  <c r="S19" i="5" s="1"/>
  <c r="Q19" i="5"/>
  <c r="Q18" i="5"/>
  <c r="P18" i="5"/>
  <c r="P17" i="5" s="1"/>
  <c r="M18" i="5"/>
  <c r="M17" i="5" s="1"/>
  <c r="M13" i="5" s="1"/>
  <c r="S44" i="5" l="1"/>
  <c r="S62" i="5"/>
  <c r="S66" i="5"/>
  <c r="M69" i="5"/>
  <c r="M15" i="5" s="1"/>
  <c r="S73" i="5"/>
  <c r="M21" i="5"/>
  <c r="M14" i="5" s="1"/>
  <c r="Q14" i="5" s="1"/>
  <c r="S48" i="5"/>
  <c r="M12" i="5"/>
  <c r="M10" i="5" s="1"/>
  <c r="Q22" i="5"/>
  <c r="S34" i="5"/>
  <c r="S31" i="5"/>
  <c r="S54" i="5"/>
  <c r="Q17" i="5"/>
  <c r="P13" i="5"/>
  <c r="R17" i="5"/>
  <c r="S17" i="5" s="1"/>
  <c r="R14" i="5"/>
  <c r="S14" i="5" s="1"/>
  <c r="R69" i="5"/>
  <c r="P15" i="5"/>
  <c r="S22" i="5"/>
  <c r="R18" i="5"/>
  <c r="S18" i="5" s="1"/>
  <c r="Q21" i="5"/>
  <c r="Q31" i="5"/>
  <c r="Q44" i="5"/>
  <c r="Q48" i="5"/>
  <c r="Q70" i="5"/>
  <c r="Q73" i="5"/>
  <c r="S57" i="5"/>
  <c r="R21" i="5"/>
  <c r="S21" i="5" s="1"/>
  <c r="R70" i="5"/>
  <c r="S70" i="5" s="1"/>
  <c r="T49" i="4"/>
  <c r="T46" i="4"/>
  <c r="T36" i="4"/>
  <c r="T35" i="4"/>
  <c r="T32" i="4"/>
  <c r="T19" i="4"/>
  <c r="P73" i="4"/>
  <c r="P70" i="4"/>
  <c r="P69" i="4" s="1"/>
  <c r="P66" i="4"/>
  <c r="P62" i="4"/>
  <c r="P57" i="4"/>
  <c r="P54" i="4"/>
  <c r="P51" i="4"/>
  <c r="P48" i="4"/>
  <c r="P44" i="4"/>
  <c r="P39" i="4"/>
  <c r="P34" i="4"/>
  <c r="P22" i="4"/>
  <c r="Q69" i="5" l="1"/>
  <c r="S69" i="5"/>
  <c r="M75" i="5"/>
  <c r="O75" i="5" s="1"/>
  <c r="P21" i="4"/>
  <c r="R21" i="4" s="1"/>
  <c r="P12" i="5"/>
  <c r="R13" i="5"/>
  <c r="S13" i="5" s="1"/>
  <c r="Q13" i="5"/>
  <c r="R15" i="5"/>
  <c r="S15" i="5" s="1"/>
  <c r="Q15" i="5"/>
  <c r="V75" i="4"/>
  <c r="U75" i="4"/>
  <c r="N75" i="4"/>
  <c r="R74" i="4"/>
  <c r="S74" i="4" s="1"/>
  <c r="Q74" i="4"/>
  <c r="R73" i="4"/>
  <c r="M73" i="4"/>
  <c r="R71" i="4"/>
  <c r="S71" i="4" s="1"/>
  <c r="Q71" i="4"/>
  <c r="M70" i="4"/>
  <c r="R67" i="4"/>
  <c r="S67" i="4" s="1"/>
  <c r="Q67" i="4"/>
  <c r="R66" i="4"/>
  <c r="M66" i="4"/>
  <c r="Q66" i="4" s="1"/>
  <c r="R64" i="4"/>
  <c r="S64" i="4" s="1"/>
  <c r="Q64" i="4"/>
  <c r="T63" i="4"/>
  <c r="R63" i="4"/>
  <c r="S63" i="4" s="1"/>
  <c r="Q63" i="4"/>
  <c r="R62" i="4"/>
  <c r="M62" i="4"/>
  <c r="Q62" i="4" s="1"/>
  <c r="R60" i="4"/>
  <c r="S60" i="4" s="1"/>
  <c r="Q60" i="4"/>
  <c r="R59" i="4"/>
  <c r="S59" i="4" s="1"/>
  <c r="Q59" i="4"/>
  <c r="R58" i="4"/>
  <c r="S58" i="4" s="1"/>
  <c r="Q58" i="4"/>
  <c r="R57" i="4"/>
  <c r="M57" i="4"/>
  <c r="R55" i="4"/>
  <c r="S55" i="4" s="1"/>
  <c r="Q55" i="4"/>
  <c r="R54" i="4"/>
  <c r="M54" i="4"/>
  <c r="Q54" i="4" s="1"/>
  <c r="R52" i="4"/>
  <c r="R51" i="4"/>
  <c r="M51" i="4"/>
  <c r="S49" i="4"/>
  <c r="R49" i="4"/>
  <c r="Q49" i="4"/>
  <c r="R48" i="4"/>
  <c r="M48" i="4"/>
  <c r="R46" i="4"/>
  <c r="S46" i="4" s="1"/>
  <c r="Q46" i="4"/>
  <c r="R45" i="4"/>
  <c r="S45" i="4" s="1"/>
  <c r="Q45" i="4"/>
  <c r="R44" i="4"/>
  <c r="M44" i="4"/>
  <c r="R42" i="4"/>
  <c r="R41" i="4"/>
  <c r="R40" i="4"/>
  <c r="R39" i="4"/>
  <c r="M39" i="4"/>
  <c r="T37" i="4"/>
  <c r="R37" i="4"/>
  <c r="S37" i="4" s="1"/>
  <c r="Q37" i="4"/>
  <c r="R36" i="4"/>
  <c r="S36" i="4" s="1"/>
  <c r="Q36" i="4"/>
  <c r="R35" i="4"/>
  <c r="S35" i="4" s="1"/>
  <c r="Q35" i="4"/>
  <c r="R34" i="4"/>
  <c r="M34" i="4"/>
  <c r="Q34" i="4" s="1"/>
  <c r="R32" i="4"/>
  <c r="S32" i="4" s="1"/>
  <c r="Q32" i="4"/>
  <c r="R31" i="4"/>
  <c r="M31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S24" i="4"/>
  <c r="R24" i="4"/>
  <c r="Q24" i="4"/>
  <c r="R23" i="4"/>
  <c r="R22" i="4"/>
  <c r="M22" i="4"/>
  <c r="R19" i="4"/>
  <c r="S19" i="4" s="1"/>
  <c r="Q19" i="4"/>
  <c r="P18" i="4"/>
  <c r="P17" i="4" s="1"/>
  <c r="M18" i="4"/>
  <c r="M17" i="4" s="1"/>
  <c r="M13" i="4" s="1"/>
  <c r="S66" i="4" l="1"/>
  <c r="S73" i="4"/>
  <c r="S48" i="4"/>
  <c r="S62" i="4"/>
  <c r="M69" i="4"/>
  <c r="M15" i="4" s="1"/>
  <c r="S44" i="4"/>
  <c r="M21" i="4"/>
  <c r="M14" i="4" s="1"/>
  <c r="M12" i="4" s="1"/>
  <c r="S21" i="4"/>
  <c r="S57" i="4"/>
  <c r="Q12" i="5"/>
  <c r="R12" i="5"/>
  <c r="P75" i="5"/>
  <c r="P10" i="5"/>
  <c r="Q10" i="5" s="1"/>
  <c r="Q18" i="4"/>
  <c r="S31" i="4"/>
  <c r="Q69" i="4"/>
  <c r="R69" i="4"/>
  <c r="S69" i="4" s="1"/>
  <c r="P15" i="4"/>
  <c r="Q17" i="4"/>
  <c r="P13" i="4"/>
  <c r="R17" i="4"/>
  <c r="S17" i="4" s="1"/>
  <c r="P14" i="4"/>
  <c r="S54" i="4"/>
  <c r="R18" i="4"/>
  <c r="S18" i="4" s="1"/>
  <c r="Q31" i="4"/>
  <c r="Q44" i="4"/>
  <c r="Q48" i="4"/>
  <c r="Q70" i="4"/>
  <c r="Q73" i="4"/>
  <c r="S34" i="4"/>
  <c r="Q22" i="4"/>
  <c r="Q57" i="4"/>
  <c r="R70" i="4"/>
  <c r="S70" i="4" s="1"/>
  <c r="S22" i="4"/>
  <c r="T63" i="3"/>
  <c r="T49" i="3"/>
  <c r="T46" i="3"/>
  <c r="T37" i="3"/>
  <c r="T36" i="3"/>
  <c r="T35" i="3"/>
  <c r="T32" i="3"/>
  <c r="T19" i="3"/>
  <c r="P73" i="3"/>
  <c r="R73" i="3" s="1"/>
  <c r="S73" i="3" s="1"/>
  <c r="P70" i="3"/>
  <c r="P66" i="3"/>
  <c r="P62" i="3"/>
  <c r="P57" i="3"/>
  <c r="P54" i="3"/>
  <c r="P51" i="3"/>
  <c r="R51" i="3" s="1"/>
  <c r="P48" i="3"/>
  <c r="P44" i="3"/>
  <c r="R44" i="3" s="1"/>
  <c r="P39" i="3"/>
  <c r="P34" i="3"/>
  <c r="P22" i="3"/>
  <c r="R64" i="3"/>
  <c r="S64" i="3" s="1"/>
  <c r="R54" i="3"/>
  <c r="R49" i="3"/>
  <c r="S49" i="3" s="1"/>
  <c r="R46" i="3"/>
  <c r="S46" i="3" s="1"/>
  <c r="R42" i="3"/>
  <c r="R31" i="3"/>
  <c r="R28" i="3"/>
  <c r="S28" i="3" s="1"/>
  <c r="R24" i="3"/>
  <c r="S24" i="3" s="1"/>
  <c r="V75" i="3"/>
  <c r="U75" i="3"/>
  <c r="N75" i="3"/>
  <c r="R74" i="3"/>
  <c r="S74" i="3" s="1"/>
  <c r="Q74" i="3"/>
  <c r="M73" i="3"/>
  <c r="R71" i="3"/>
  <c r="S71" i="3" s="1"/>
  <c r="Q71" i="3"/>
  <c r="M70" i="3"/>
  <c r="R67" i="3"/>
  <c r="S67" i="3" s="1"/>
  <c r="Q67" i="3"/>
  <c r="M66" i="3"/>
  <c r="Q64" i="3"/>
  <c r="R63" i="3"/>
  <c r="S63" i="3" s="1"/>
  <c r="Q63" i="3"/>
  <c r="M62" i="3"/>
  <c r="R60" i="3"/>
  <c r="S60" i="3" s="1"/>
  <c r="Q60" i="3"/>
  <c r="R59" i="3"/>
  <c r="S59" i="3" s="1"/>
  <c r="Q59" i="3"/>
  <c r="R58" i="3"/>
  <c r="S58" i="3" s="1"/>
  <c r="Q58" i="3"/>
  <c r="R57" i="3"/>
  <c r="M57" i="3"/>
  <c r="R55" i="3"/>
  <c r="S55" i="3" s="1"/>
  <c r="Q55" i="3"/>
  <c r="M54" i="3"/>
  <c r="R52" i="3"/>
  <c r="M51" i="3"/>
  <c r="Q49" i="3"/>
  <c r="R48" i="3"/>
  <c r="S48" i="3" s="1"/>
  <c r="M48" i="3"/>
  <c r="Q46" i="3"/>
  <c r="R45" i="3"/>
  <c r="S45" i="3" s="1"/>
  <c r="Q45" i="3"/>
  <c r="M44" i="3"/>
  <c r="R41" i="3"/>
  <c r="R40" i="3"/>
  <c r="M39" i="3"/>
  <c r="R37" i="3"/>
  <c r="S37" i="3" s="1"/>
  <c r="Q37" i="3"/>
  <c r="R36" i="3"/>
  <c r="S36" i="3" s="1"/>
  <c r="Q36" i="3"/>
  <c r="R35" i="3"/>
  <c r="S35" i="3" s="1"/>
  <c r="Q35" i="3"/>
  <c r="M34" i="3"/>
  <c r="R32" i="3"/>
  <c r="S32" i="3" s="1"/>
  <c r="Q32" i="3"/>
  <c r="M31" i="3"/>
  <c r="Q31" i="3" s="1"/>
  <c r="Q29" i="3"/>
  <c r="R29" i="3"/>
  <c r="S29" i="3" s="1"/>
  <c r="Q28" i="3"/>
  <c r="R27" i="3"/>
  <c r="S27" i="3" s="1"/>
  <c r="Q27" i="3"/>
  <c r="R26" i="3"/>
  <c r="S26" i="3" s="1"/>
  <c r="Q26" i="3"/>
  <c r="R25" i="3"/>
  <c r="S25" i="3" s="1"/>
  <c r="Q25" i="3"/>
  <c r="Q24" i="3"/>
  <c r="R23" i="3"/>
  <c r="R22" i="3"/>
  <c r="S22" i="3" s="1"/>
  <c r="M22" i="3"/>
  <c r="R19" i="3"/>
  <c r="S19" i="3" s="1"/>
  <c r="Q19" i="3"/>
  <c r="P18" i="3"/>
  <c r="Q18" i="3" s="1"/>
  <c r="M18" i="3"/>
  <c r="P73" i="2"/>
  <c r="P70" i="2"/>
  <c r="P69" i="2" s="1"/>
  <c r="P66" i="2"/>
  <c r="R66" i="2" s="1"/>
  <c r="P62" i="2"/>
  <c r="R62" i="2" s="1"/>
  <c r="P57" i="2"/>
  <c r="R57" i="2" s="1"/>
  <c r="P54" i="2"/>
  <c r="R54" i="2" s="1"/>
  <c r="P51" i="2"/>
  <c r="R51" i="2" s="1"/>
  <c r="P48" i="2"/>
  <c r="P44" i="2"/>
  <c r="P39" i="2"/>
  <c r="R39" i="2" s="1"/>
  <c r="P34" i="2"/>
  <c r="R34" i="2" s="1"/>
  <c r="P29" i="2"/>
  <c r="P22" i="2" s="1"/>
  <c r="R60" i="2"/>
  <c r="S60" i="2" s="1"/>
  <c r="R41" i="2"/>
  <c r="R40" i="2"/>
  <c r="N75" i="2"/>
  <c r="V75" i="2"/>
  <c r="U75" i="2"/>
  <c r="R74" i="2"/>
  <c r="S74" i="2" s="1"/>
  <c r="Q74" i="2"/>
  <c r="M73" i="2"/>
  <c r="R71" i="2"/>
  <c r="S71" i="2" s="1"/>
  <c r="Q71" i="2"/>
  <c r="M70" i="2"/>
  <c r="R67" i="2"/>
  <c r="S67" i="2" s="1"/>
  <c r="Q67" i="2"/>
  <c r="M66" i="2"/>
  <c r="R64" i="2"/>
  <c r="S64" i="2" s="1"/>
  <c r="Q64" i="2"/>
  <c r="T63" i="2"/>
  <c r="R63" i="2"/>
  <c r="S63" i="2" s="1"/>
  <c r="Q63" i="2"/>
  <c r="M62" i="2"/>
  <c r="Q62" i="2" s="1"/>
  <c r="Q60" i="2"/>
  <c r="R59" i="2"/>
  <c r="S59" i="2" s="1"/>
  <c r="Q59" i="2"/>
  <c r="R58" i="2"/>
  <c r="S58" i="2" s="1"/>
  <c r="Q58" i="2"/>
  <c r="M57" i="2"/>
  <c r="Q55" i="2"/>
  <c r="M54" i="2"/>
  <c r="Q54" i="2" s="1"/>
  <c r="R52" i="2"/>
  <c r="M51" i="2"/>
  <c r="T49" i="2"/>
  <c r="R49" i="2"/>
  <c r="S49" i="2" s="1"/>
  <c r="Q49" i="2"/>
  <c r="M48" i="2"/>
  <c r="T46" i="2"/>
  <c r="R46" i="2"/>
  <c r="S46" i="2" s="1"/>
  <c r="Q46" i="2"/>
  <c r="Q45" i="2"/>
  <c r="R44" i="2"/>
  <c r="M44" i="2"/>
  <c r="Q44" i="2" s="1"/>
  <c r="R42" i="2"/>
  <c r="M39" i="2"/>
  <c r="R37" i="2"/>
  <c r="S37" i="2" s="1"/>
  <c r="Q37" i="2"/>
  <c r="T36" i="2"/>
  <c r="R36" i="2"/>
  <c r="S36" i="2" s="1"/>
  <c r="Q36" i="2"/>
  <c r="T35" i="2"/>
  <c r="R35" i="2"/>
  <c r="S35" i="2" s="1"/>
  <c r="Q35" i="2"/>
  <c r="M34" i="2"/>
  <c r="Q34" i="2" s="1"/>
  <c r="T32" i="2"/>
  <c r="Q32" i="2"/>
  <c r="R31" i="2"/>
  <c r="M31" i="2"/>
  <c r="Q31" i="2" s="1"/>
  <c r="R28" i="2"/>
  <c r="S28" i="2" s="1"/>
  <c r="Q28" i="2"/>
  <c r="Q27" i="2"/>
  <c r="R26" i="2"/>
  <c r="S26" i="2" s="1"/>
  <c r="Q26" i="2"/>
  <c r="R25" i="2"/>
  <c r="S25" i="2" s="1"/>
  <c r="Q25" i="2"/>
  <c r="R24" i="2"/>
  <c r="S24" i="2" s="1"/>
  <c r="Q24" i="2"/>
  <c r="R23" i="2"/>
  <c r="M22" i="2"/>
  <c r="T19" i="2"/>
  <c r="R19" i="2"/>
  <c r="S19" i="2" s="1"/>
  <c r="Q19" i="2"/>
  <c r="P18" i="2"/>
  <c r="R18" i="2" s="1"/>
  <c r="M18" i="2"/>
  <c r="M17" i="2" s="1"/>
  <c r="Q34" i="3" l="1"/>
  <c r="Q66" i="3"/>
  <c r="R18" i="3"/>
  <c r="S18" i="3" s="1"/>
  <c r="P17" i="3"/>
  <c r="R17" i="3" s="1"/>
  <c r="M69" i="3"/>
  <c r="M15" i="3" s="1"/>
  <c r="S34" i="2"/>
  <c r="Q62" i="3"/>
  <c r="S31" i="3"/>
  <c r="P69" i="3"/>
  <c r="Q21" i="4"/>
  <c r="M75" i="4"/>
  <c r="O75" i="4" s="1"/>
  <c r="M10" i="4"/>
  <c r="S66" i="2"/>
  <c r="M21" i="3"/>
  <c r="M14" i="3" s="1"/>
  <c r="S44" i="3"/>
  <c r="R34" i="3"/>
  <c r="S34" i="3" s="1"/>
  <c r="Q48" i="2"/>
  <c r="S62" i="2"/>
  <c r="Q54" i="3"/>
  <c r="P21" i="3"/>
  <c r="P14" i="3" s="1"/>
  <c r="R14" i="3" s="1"/>
  <c r="Q75" i="5"/>
  <c r="R75" i="5"/>
  <c r="S75" i="5" s="1"/>
  <c r="R10" i="5"/>
  <c r="S10" i="5" s="1"/>
  <c r="S12" i="5"/>
  <c r="R15" i="4"/>
  <c r="S15" i="4" s="1"/>
  <c r="Q15" i="4"/>
  <c r="R14" i="4"/>
  <c r="S14" i="4" s="1"/>
  <c r="Q14" i="4"/>
  <c r="P12" i="4"/>
  <c r="Q13" i="4"/>
  <c r="R13" i="4"/>
  <c r="S13" i="4" s="1"/>
  <c r="R66" i="3"/>
  <c r="S66" i="3" s="1"/>
  <c r="S57" i="3"/>
  <c r="R62" i="3"/>
  <c r="S62" i="3" s="1"/>
  <c r="R39" i="3"/>
  <c r="R69" i="3"/>
  <c r="S69" i="3" s="1"/>
  <c r="P15" i="3"/>
  <c r="Q69" i="3"/>
  <c r="S54" i="3"/>
  <c r="M17" i="3"/>
  <c r="M13" i="3" s="1"/>
  <c r="M12" i="3" s="1"/>
  <c r="Q44" i="3"/>
  <c r="Q48" i="3"/>
  <c r="Q70" i="3"/>
  <c r="Q73" i="3"/>
  <c r="Q22" i="3"/>
  <c r="Q57" i="3"/>
  <c r="R70" i="3"/>
  <c r="S70" i="3" s="1"/>
  <c r="P13" i="3"/>
  <c r="R29" i="2"/>
  <c r="S29" i="2" s="1"/>
  <c r="S44" i="2"/>
  <c r="S54" i="2"/>
  <c r="S18" i="2"/>
  <c r="R70" i="2"/>
  <c r="S70" i="2" s="1"/>
  <c r="S57" i="2"/>
  <c r="Q73" i="2"/>
  <c r="R22" i="2"/>
  <c r="S22" i="2" s="1"/>
  <c r="P21" i="2"/>
  <c r="P14" i="2" s="1"/>
  <c r="P17" i="2"/>
  <c r="Q17" i="2" s="1"/>
  <c r="Q29" i="2"/>
  <c r="Q57" i="2"/>
  <c r="R27" i="2"/>
  <c r="S27" i="2" s="1"/>
  <c r="R32" i="2"/>
  <c r="S32" i="2" s="1"/>
  <c r="R45" i="2"/>
  <c r="S45" i="2" s="1"/>
  <c r="R55" i="2"/>
  <c r="S55" i="2" s="1"/>
  <c r="M13" i="2"/>
  <c r="Q22" i="2"/>
  <c r="S31" i="2"/>
  <c r="Q66" i="2"/>
  <c r="Q70" i="2"/>
  <c r="Q18" i="2"/>
  <c r="M21" i="2"/>
  <c r="R48" i="2"/>
  <c r="S48" i="2" s="1"/>
  <c r="M69" i="2"/>
  <c r="R69" i="2"/>
  <c r="R73" i="2"/>
  <c r="S73" i="2" s="1"/>
  <c r="P13" i="2"/>
  <c r="P15" i="2"/>
  <c r="R21" i="3" l="1"/>
  <c r="S21" i="3" s="1"/>
  <c r="Q14" i="3"/>
  <c r="R17" i="2"/>
  <c r="S17" i="2" s="1"/>
  <c r="S14" i="3"/>
  <c r="Q21" i="3"/>
  <c r="Q17" i="3"/>
  <c r="Q12" i="4"/>
  <c r="P75" i="4"/>
  <c r="P10" i="4"/>
  <c r="Q10" i="4" s="1"/>
  <c r="R12" i="4"/>
  <c r="R21" i="2"/>
  <c r="S21" i="2" s="1"/>
  <c r="Q21" i="2"/>
  <c r="M75" i="3"/>
  <c r="O75" i="3" s="1"/>
  <c r="M10" i="3"/>
  <c r="S17" i="3"/>
  <c r="Q13" i="3"/>
  <c r="P12" i="3"/>
  <c r="R13" i="3"/>
  <c r="S13" i="3" s="1"/>
  <c r="R15" i="3"/>
  <c r="S15" i="3" s="1"/>
  <c r="Q15" i="3"/>
  <c r="Q13" i="2"/>
  <c r="R13" i="2"/>
  <c r="S13" i="2" s="1"/>
  <c r="P12" i="2"/>
  <c r="R14" i="2"/>
  <c r="R15" i="2"/>
  <c r="M15" i="2"/>
  <c r="M14" i="2"/>
  <c r="M12" i="2" s="1"/>
  <c r="S69" i="2"/>
  <c r="Q69" i="2"/>
  <c r="Q14" i="2" l="1"/>
  <c r="R10" i="4"/>
  <c r="S10" i="4" s="1"/>
  <c r="S12" i="4"/>
  <c r="Q75" i="4"/>
  <c r="R75" i="4"/>
  <c r="S75" i="4" s="1"/>
  <c r="Q12" i="3"/>
  <c r="P75" i="3"/>
  <c r="P10" i="3"/>
  <c r="Q10" i="3" s="1"/>
  <c r="R12" i="3"/>
  <c r="S15" i="2"/>
  <c r="S14" i="2"/>
  <c r="R12" i="2"/>
  <c r="P10" i="2"/>
  <c r="P75" i="2"/>
  <c r="Q12" i="2"/>
  <c r="M75" i="2"/>
  <c r="O75" i="2" s="1"/>
  <c r="M10" i="2"/>
  <c r="Q15" i="2"/>
  <c r="R10" i="3" l="1"/>
  <c r="S10" i="3" s="1"/>
  <c r="S12" i="3"/>
  <c r="Q75" i="3"/>
  <c r="R75" i="3"/>
  <c r="S75" i="3" s="1"/>
  <c r="Q10" i="2"/>
  <c r="R75" i="2"/>
  <c r="S75" i="2" s="1"/>
  <c r="Q75" i="2"/>
  <c r="S12" i="2"/>
  <c r="R10" i="2"/>
  <c r="S10" i="2" s="1"/>
  <c r="T63" i="1" l="1"/>
  <c r="T49" i="1"/>
  <c r="T46" i="1"/>
  <c r="T36" i="1"/>
  <c r="T35" i="1"/>
  <c r="T32" i="1"/>
  <c r="T19" i="1"/>
  <c r="R19" i="1"/>
  <c r="R23" i="1"/>
  <c r="R24" i="1"/>
  <c r="R25" i="1"/>
  <c r="R26" i="1"/>
  <c r="R27" i="1"/>
  <c r="R28" i="1"/>
  <c r="R29" i="1"/>
  <c r="R31" i="1"/>
  <c r="R32" i="1"/>
  <c r="R35" i="1"/>
  <c r="R36" i="1"/>
  <c r="R37" i="1"/>
  <c r="R40" i="1"/>
  <c r="R41" i="1"/>
  <c r="R42" i="1"/>
  <c r="R45" i="1"/>
  <c r="R46" i="1"/>
  <c r="R49" i="1"/>
  <c r="R52" i="1"/>
  <c r="R55" i="1"/>
  <c r="R58" i="1"/>
  <c r="R59" i="1"/>
  <c r="R60" i="1"/>
  <c r="R63" i="1"/>
  <c r="R64" i="1"/>
  <c r="S64" i="1" s="1"/>
  <c r="R67" i="1"/>
  <c r="R71" i="1"/>
  <c r="R73" i="1"/>
  <c r="R74" i="1"/>
  <c r="P73" i="1"/>
  <c r="P70" i="1"/>
  <c r="R70" i="1" s="1"/>
  <c r="P66" i="1"/>
  <c r="R66" i="1" s="1"/>
  <c r="P62" i="1"/>
  <c r="R62" i="1" s="1"/>
  <c r="P57" i="1"/>
  <c r="R57" i="1" s="1"/>
  <c r="P54" i="1"/>
  <c r="R54" i="1" s="1"/>
  <c r="P51" i="1"/>
  <c r="R51" i="1" s="1"/>
  <c r="P48" i="1"/>
  <c r="R48" i="1" s="1"/>
  <c r="P44" i="1"/>
  <c r="R44" i="1" s="1"/>
  <c r="P39" i="1"/>
  <c r="R39" i="1" s="1"/>
  <c r="P34" i="1"/>
  <c r="R34" i="1" s="1"/>
  <c r="P22" i="1"/>
  <c r="R22" i="1" s="1"/>
  <c r="O64" i="1"/>
  <c r="Q64" i="1"/>
  <c r="M39" i="1"/>
  <c r="M22" i="1"/>
  <c r="P21" i="1" l="1"/>
  <c r="P69" i="1"/>
  <c r="R69" i="1" s="1"/>
  <c r="R21" i="1" l="1"/>
  <c r="P14" i="1"/>
  <c r="R14" i="1" s="1"/>
  <c r="V75" i="1"/>
  <c r="U75" i="1"/>
  <c r="N75" i="1"/>
  <c r="S74" i="1"/>
  <c r="Q74" i="1"/>
  <c r="O74" i="1"/>
  <c r="M73" i="1"/>
  <c r="Q73" i="1" s="1"/>
  <c r="S71" i="1"/>
  <c r="Q71" i="1"/>
  <c r="O71" i="1"/>
  <c r="M70" i="1"/>
  <c r="S67" i="1"/>
  <c r="Q67" i="1"/>
  <c r="O67" i="1"/>
  <c r="M66" i="1"/>
  <c r="O66" i="1" s="1"/>
  <c r="S63" i="1"/>
  <c r="Q63" i="1"/>
  <c r="O63" i="1"/>
  <c r="M62" i="1"/>
  <c r="S60" i="1"/>
  <c r="Q60" i="1"/>
  <c r="O60" i="1"/>
  <c r="S59" i="1"/>
  <c r="Q59" i="1"/>
  <c r="O59" i="1"/>
  <c r="S58" i="1"/>
  <c r="Q58" i="1"/>
  <c r="O58" i="1"/>
  <c r="M57" i="1"/>
  <c r="Q57" i="1" s="1"/>
  <c r="S55" i="1"/>
  <c r="Q55" i="1"/>
  <c r="O55" i="1"/>
  <c r="M54" i="1"/>
  <c r="O54" i="1" s="1"/>
  <c r="M51" i="1"/>
  <c r="S49" i="1"/>
  <c r="Q49" i="1"/>
  <c r="O49" i="1"/>
  <c r="M48" i="1"/>
  <c r="Q48" i="1" s="1"/>
  <c r="S46" i="1"/>
  <c r="Q46" i="1"/>
  <c r="O46" i="1"/>
  <c r="S45" i="1"/>
  <c r="Q45" i="1"/>
  <c r="O45" i="1"/>
  <c r="M44" i="1"/>
  <c r="S37" i="1"/>
  <c r="Q37" i="1"/>
  <c r="O37" i="1"/>
  <c r="S36" i="1"/>
  <c r="Q36" i="1"/>
  <c r="O36" i="1"/>
  <c r="S35" i="1"/>
  <c r="Q35" i="1"/>
  <c r="O35" i="1"/>
  <c r="M34" i="1"/>
  <c r="O34" i="1" s="1"/>
  <c r="S32" i="1"/>
  <c r="Q32" i="1"/>
  <c r="O32" i="1"/>
  <c r="M31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Q22" i="1"/>
  <c r="S19" i="1"/>
  <c r="Q19" i="1"/>
  <c r="O19" i="1"/>
  <c r="P18" i="1"/>
  <c r="R18" i="1" s="1"/>
  <c r="M18" i="1"/>
  <c r="P15" i="1"/>
  <c r="R15" i="1" s="1"/>
  <c r="M21" i="1" l="1"/>
  <c r="Q70" i="1"/>
  <c r="M69" i="1"/>
  <c r="O44" i="1"/>
  <c r="M14" i="1"/>
  <c r="S14" i="1" s="1"/>
  <c r="Q44" i="1"/>
  <c r="S62" i="1"/>
  <c r="S69" i="1"/>
  <c r="P17" i="1"/>
  <c r="Q18" i="1"/>
  <c r="Q54" i="1"/>
  <c r="Q34" i="1"/>
  <c r="S57" i="1"/>
  <c r="S70" i="1"/>
  <c r="O73" i="1"/>
  <c r="Q66" i="1"/>
  <c r="S31" i="1"/>
  <c r="O57" i="1"/>
  <c r="O70" i="1"/>
  <c r="S73" i="1"/>
  <c r="O22" i="1"/>
  <c r="M17" i="1"/>
  <c r="O18" i="1"/>
  <c r="S18" i="1"/>
  <c r="S48" i="1"/>
  <c r="S22" i="1"/>
  <c r="O31" i="1"/>
  <c r="O48" i="1"/>
  <c r="O62" i="1"/>
  <c r="Q31" i="1"/>
  <c r="S34" i="1"/>
  <c r="S54" i="1"/>
  <c r="S44" i="1"/>
  <c r="Q62" i="1"/>
  <c r="S66" i="1"/>
  <c r="P13" i="1" l="1"/>
  <c r="R13" i="1" s="1"/>
  <c r="R17" i="1"/>
  <c r="Q69" i="1"/>
  <c r="M15" i="1"/>
  <c r="O15" i="1" s="1"/>
  <c r="O69" i="1"/>
  <c r="P12" i="1"/>
  <c r="S21" i="1"/>
  <c r="Q21" i="1"/>
  <c r="O21" i="1"/>
  <c r="O14" i="1"/>
  <c r="Q14" i="1"/>
  <c r="S17" i="1"/>
  <c r="Q17" i="1"/>
  <c r="M13" i="1"/>
  <c r="O17" i="1"/>
  <c r="Q15" i="1"/>
  <c r="S15" i="1" l="1"/>
  <c r="P75" i="1"/>
  <c r="R75" i="1" s="1"/>
  <c r="Q12" i="1"/>
  <c r="P10" i="1"/>
  <c r="R12" i="1"/>
  <c r="R10" i="1" s="1"/>
  <c r="O13" i="1"/>
  <c r="Q13" i="1"/>
  <c r="S13" i="1"/>
  <c r="M12" i="1"/>
  <c r="S12" i="1" l="1"/>
  <c r="M75" i="1"/>
  <c r="M10" i="1"/>
  <c r="Q10" i="1" s="1"/>
  <c r="O12" i="1"/>
  <c r="S10" i="1" l="1"/>
  <c r="S75" i="1"/>
  <c r="O75" i="1"/>
  <c r="Q75" i="1"/>
</calcChain>
</file>

<file path=xl/sharedStrings.xml><?xml version="1.0" encoding="utf-8"?>
<sst xmlns="http://schemas.openxmlformats.org/spreadsheetml/2006/main" count="4003" uniqueCount="126">
  <si>
    <t>REALISASI FISIK DAN KEUANGAN</t>
  </si>
  <si>
    <t>PROGRAM UPAYA KESEHATAN MASYARAKAT</t>
  </si>
  <si>
    <t>KEGIATAN PELAYANAN KESEHATAN DASAR JAMINAN KESEHATAN NASIONAL DI PUSKESMAS PASIRKALIKI (38.03)</t>
  </si>
  <si>
    <t>KODE REKENING</t>
  </si>
  <si>
    <t>KEGIATAN</t>
  </si>
  <si>
    <t>LOKASI</t>
  </si>
  <si>
    <t>PAGU ANGGARAN (Rp)</t>
  </si>
  <si>
    <t>REALISASI</t>
  </si>
  <si>
    <t>KENDALA/ PERMASALAHAN</t>
  </si>
  <si>
    <t>SOLUSI</t>
  </si>
  <si>
    <t>S/D BULAN LALU</t>
  </si>
  <si>
    <t>BULAN INI</t>
  </si>
  <si>
    <t>S/D BULAN INI</t>
  </si>
  <si>
    <t>KEUANGAN</t>
  </si>
  <si>
    <t>FISIK</t>
  </si>
  <si>
    <t>1</t>
  </si>
  <si>
    <t>02</t>
  </si>
  <si>
    <t>01</t>
  </si>
  <si>
    <t>38</t>
  </si>
  <si>
    <t xml:space="preserve">Puskesmas Pasirkaliki </t>
  </si>
  <si>
    <t>Rp</t>
  </si>
  <si>
    <t>%</t>
  </si>
  <si>
    <t>Rp.</t>
  </si>
  <si>
    <t>03</t>
  </si>
  <si>
    <t>KEGIATAN PELAYANAN KESEHATAN DASAR JAMINAN KESEHATAN NASIONAL DI PUSKESMAS PASIRKALIKI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</si>
  <si>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</si>
  <si>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</si>
  <si>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</si>
  <si>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</si>
  <si>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</si>
  <si>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</si>
  <si>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</si>
  <si>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PASIRKALIKI</t>
  </si>
  <si>
    <t>08</t>
  </si>
  <si>
    <t>Jasa Pelayanan</t>
  </si>
  <si>
    <t>Jasa Pelayanan Kesehatan</t>
  </si>
  <si>
    <t>BELANJA BARANG DAN JASA PUSKESMAS PASIRKALIKI</t>
  </si>
  <si>
    <t>Belanja Bahan  Pakai Habis</t>
  </si>
  <si>
    <t>04</t>
  </si>
  <si>
    <t>Belanja perangko, materai dan benda pos lainnya</t>
  </si>
  <si>
    <t>05</t>
  </si>
  <si>
    <t xml:space="preserve">Belanja Peralatan Kebersihan dan Bahan Pembersih </t>
  </si>
  <si>
    <t>06</t>
  </si>
  <si>
    <t>07</t>
  </si>
  <si>
    <t xml:space="preserve">Belanja Pengisian Tabung Pemadam Kebakaran </t>
  </si>
  <si>
    <t>Belanja Pengisian Tabung Gas</t>
  </si>
  <si>
    <t>Bahan Pakai Habis Peralatan Rumah Tangga</t>
  </si>
  <si>
    <t>Belanja bahan /material</t>
  </si>
  <si>
    <t>Belanja bahan pokok / natura</t>
  </si>
  <si>
    <t>Belanja Jasa Kantor</t>
  </si>
  <si>
    <t>Belanja kawat/faksimili/internet</t>
  </si>
  <si>
    <t>09</t>
  </si>
  <si>
    <t>Belanja Jasa Transaksi Keuangan</t>
  </si>
  <si>
    <t>Belanja cetak dan penggandaan</t>
  </si>
  <si>
    <t>Belanja cetak</t>
  </si>
  <si>
    <t>Belanja penggandaan</t>
  </si>
  <si>
    <t>11</t>
  </si>
  <si>
    <t xml:space="preserve">Belanja Makanan dan Minuman </t>
  </si>
  <si>
    <t>Kegiatan Pengelolaan Penyakit Kronis</t>
  </si>
  <si>
    <t>Belanja Perjalanan Dinas</t>
  </si>
  <si>
    <t>Belanja Kursus Pelatihan, Sosialisasi dan Bimbingan Teknis PNS</t>
  </si>
  <si>
    <t xml:space="preserve">Pengiriman Kursus Kursus Singkat/Pelatihan </t>
  </si>
  <si>
    <t xml:space="preserve">Belanja Pemeliharaan </t>
  </si>
  <si>
    <t xml:space="preserve">Belanja Pemeliharaan Alat Kesehatan </t>
  </si>
  <si>
    <t>Belanja Pemeliharaan Gedung Puskesmas</t>
  </si>
  <si>
    <t>10</t>
  </si>
  <si>
    <t>Belanja Pemeliharaan Jaringan WAN/LAN</t>
  </si>
  <si>
    <t>31</t>
  </si>
  <si>
    <t>Belanja Jasa Tenaga Ahli/Instruktur/Narasumber/Penceramah</t>
  </si>
  <si>
    <t>Jasa Instruktur</t>
  </si>
  <si>
    <t>Jasa Narasumber / Widyaiswara</t>
  </si>
  <si>
    <t xml:space="preserve">Belanja Modal Puskesmas Pasirkaliki </t>
  </si>
  <si>
    <t>Belanja Modal Peralatan dan Mesin - Alat Kedokteran</t>
  </si>
  <si>
    <t>JUMLAH</t>
  </si>
  <si>
    <t>PEJABAT PELAKSANA TEKNIS KEGIATAN</t>
  </si>
  <si>
    <t>Enny Erawati, SE</t>
  </si>
  <si>
    <t>NIP. 19680111 198903 2 007</t>
  </si>
  <si>
    <t>Bulan Januari Tahun 2020</t>
  </si>
  <si>
    <t>Belanja Alat Listrik dan Elektronik</t>
  </si>
  <si>
    <t xml:space="preserve">Belanja Bahan Kebutuhan Medis </t>
  </si>
  <si>
    <t>Belanja Jasa Pemeliharaan Peralatan dan Perlengkapan Kantor</t>
  </si>
  <si>
    <t>Belanja Perawatan Kendaraan Bermotor</t>
  </si>
  <si>
    <t>Belanja Jasa Service</t>
  </si>
  <si>
    <t>Belanja Pengadaan Suku Cadang</t>
  </si>
  <si>
    <t>Belanja Surat Tanda Motor Kendaraan</t>
  </si>
  <si>
    <t>Belanja Perjalanan Dinas Luar Daerah</t>
  </si>
  <si>
    <t>35</t>
  </si>
  <si>
    <t>Belanja Peralatan/Perlengkapan untuk kantor/Rumah Tangga/Lapangan</t>
  </si>
  <si>
    <t>Belanja Peralatan/Perlengkapan untuk kantor</t>
  </si>
  <si>
    <t>Belanja Modal Peralatan dan Mesin - Alat Kantor</t>
  </si>
  <si>
    <t>Belanja Modal Peralatan  Alat Kantor Lainyya</t>
  </si>
  <si>
    <t>Belanja Modal Pengadaan Alat Kedokteran Umum</t>
  </si>
  <si>
    <t>Cimahi, 31 Januari 2020</t>
  </si>
  <si>
    <t>Bulan Februari Tahun 2020</t>
  </si>
  <si>
    <t>Cimahi, 29 Februari 2020</t>
  </si>
  <si>
    <t>Cimahi, 30 April 2020</t>
  </si>
  <si>
    <t>Bulan Maret Tahun 2020</t>
  </si>
  <si>
    <t>Bulan April Tahun 2020</t>
  </si>
  <si>
    <t>Bulan Mei Tahun 2020</t>
  </si>
  <si>
    <t>Cimahi, 30 Mei 2020</t>
  </si>
  <si>
    <t>Bulan Juni Tahun 2020</t>
  </si>
  <si>
    <t>Cimahi, 30 Juni 2020</t>
  </si>
  <si>
    <t>Bulan Juli Tahun 2020</t>
  </si>
  <si>
    <t>Cimahi, 30 Juli 2020</t>
  </si>
  <si>
    <t>Bulan Agustus Tahun 2020</t>
  </si>
  <si>
    <t>Cimahi, 31 Agustus 2020</t>
  </si>
  <si>
    <t>Cimahi, 30 September 2020</t>
  </si>
  <si>
    <t>Bulan September Tahun 2020</t>
  </si>
  <si>
    <t>Bulan Oktober Tahun 2020</t>
  </si>
  <si>
    <t>Cimahi, 31 Oktober 2020</t>
  </si>
  <si>
    <t>Bulan November Tahun 2020</t>
  </si>
  <si>
    <t>Kegiatan Pembinaan Pegawai</t>
  </si>
  <si>
    <t>Belanja Modal Peralatan dan Mesin - Alat Komputer</t>
  </si>
  <si>
    <t>Belanja Modal Peralatan Personal Komputer</t>
  </si>
  <si>
    <t>Belanja Modal Pengadaan Personal Komputer</t>
  </si>
  <si>
    <t>14</t>
  </si>
  <si>
    <t>Belanja Pakaian Khusus dan Har-Hari Tertentu</t>
  </si>
  <si>
    <t>Belanja Pakaian Olahraga</t>
  </si>
  <si>
    <t>Cimahi, 30 November 2020</t>
  </si>
  <si>
    <t>Bulan Desember Tahun 2020</t>
  </si>
  <si>
    <t>Cimahi, 30 Desember 2020</t>
  </si>
  <si>
    <t>Belanja Modal Peralatan dan Mesin - Komputer Unit</t>
  </si>
  <si>
    <t xml:space="preserve">Personal Komputer </t>
  </si>
  <si>
    <t xml:space="preserve">tidak boleh mengumpulkas masa </t>
  </si>
  <si>
    <t xml:space="preserve">barang tidak tersedia </t>
  </si>
  <si>
    <t xml:space="preserve">persediaan masih tersedia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</si>
</sst>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_);_(* \(#,##0.0\);_(* &quot;-&quot;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8" fillId="0" borderId="0"/>
    <xf numFmtId="0" fontId="1" fillId="0" borderId="0"/>
    <xf numFmtId="0" fontId="3" fillId="0" borderId="0"/>
  </cellStyleXfs>
  <cellXfs count="194">
    <xf numFmtId="0" fontId="0" fillId="0" borderId="0" xfId="0"/>
    <xf numFmtId="164" fontId="0" fillId="2" borderId="0" xfId="0" applyNumberFormat="1" applyFill="1"/>
    <xf numFmtId="0" fontId="7" fillId="3" borderId="1" xfId="2" applyFont="1" applyFill="1" applyBorder="1" applyAlignment="1">
      <alignment horizontal="center" vertical="center" wrapText="1"/>
    </xf>
    <xf numFmtId="49" fontId="5" fillId="0" borderId="4" xfId="2" applyNumberFormat="1" applyFont="1" applyFill="1" applyBorder="1" applyAlignment="1">
      <alignment horizontal="center" vertical="center" wrapText="1"/>
    </xf>
    <xf numFmtId="49" fontId="5" fillId="0" borderId="5" xfId="2" quotePrefix="1" applyNumberFormat="1" applyFont="1" applyFill="1" applyBorder="1" applyAlignment="1">
      <alignment horizontal="center" vertical="center" wrapText="1"/>
    </xf>
    <xf numFmtId="49" fontId="5" fillId="0" borderId="5" xfId="2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/>
    <xf numFmtId="164" fontId="5" fillId="2" borderId="6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vertical="center"/>
    </xf>
    <xf numFmtId="164" fontId="1" fillId="2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4" quotePrefix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vertical="top" wrapText="1"/>
    </xf>
    <xf numFmtId="165" fontId="5" fillId="2" borderId="1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/>
    <xf numFmtId="0" fontId="5" fillId="0" borderId="4" xfId="4" applyFont="1" applyFill="1" applyBorder="1" applyAlignment="1">
      <alignment horizontal="center" vertical="center" wrapText="1"/>
    </xf>
    <xf numFmtId="0" fontId="5" fillId="0" borderId="5" xfId="4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left" vertical="top" wrapText="1"/>
    </xf>
    <xf numFmtId="164" fontId="9" fillId="2" borderId="1" xfId="0" applyNumberFormat="1" applyFont="1" applyFill="1" applyBorder="1" applyAlignment="1">
      <alignment horizontal="left" vertical="top" wrapText="1"/>
    </xf>
    <xf numFmtId="164" fontId="9" fillId="2" borderId="1" xfId="1" applyFont="1" applyFill="1" applyBorder="1" applyAlignment="1">
      <alignment horizontal="right" vertical="top" wrapText="1"/>
    </xf>
    <xf numFmtId="0" fontId="9" fillId="2" borderId="1" xfId="0" applyFont="1" applyFill="1" applyBorder="1" applyAlignment="1">
      <alignment horizontal="left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49" fontId="5" fillId="0" borderId="5" xfId="5" quotePrefix="1" applyNumberFormat="1" applyFont="1" applyFill="1" applyBorder="1" applyAlignment="1">
      <alignment horizontal="center" vertical="center" wrapText="1"/>
    </xf>
    <xf numFmtId="49" fontId="5" fillId="0" borderId="5" xfId="5" applyNumberFormat="1" applyFont="1" applyFill="1" applyBorder="1" applyAlignment="1">
      <alignment horizontal="center" vertical="center" wrapText="1"/>
    </xf>
    <xf numFmtId="49" fontId="10" fillId="0" borderId="5" xfId="5" applyNumberFormat="1" applyFont="1" applyFill="1" applyBorder="1" applyAlignment="1">
      <alignment horizontal="center" vertical="center" wrapText="1"/>
    </xf>
    <xf numFmtId="49" fontId="11" fillId="0" borderId="6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top" wrapText="1"/>
    </xf>
    <xf numFmtId="49" fontId="9" fillId="2" borderId="1" xfId="2" applyNumberFormat="1" applyFont="1" applyFill="1" applyBorder="1" applyAlignment="1">
      <alignment horizontal="left" vertical="top" wrapText="1"/>
    </xf>
    <xf numFmtId="164" fontId="12" fillId="2" borderId="1" xfId="1" applyFont="1" applyFill="1" applyBorder="1" applyAlignment="1">
      <alignment horizontal="right" vertical="top" wrapText="1"/>
    </xf>
    <xf numFmtId="49" fontId="5" fillId="0" borderId="6" xfId="5" applyNumberFormat="1" applyFont="1" applyFill="1" applyBorder="1" applyAlignment="1">
      <alignment horizontal="center" vertical="center" wrapText="1"/>
    </xf>
    <xf numFmtId="49" fontId="5" fillId="3" borderId="1" xfId="5" applyNumberFormat="1" applyFont="1" applyFill="1" applyBorder="1" applyAlignment="1">
      <alignment horizontal="left" vertical="top" wrapText="1"/>
    </xf>
    <xf numFmtId="49" fontId="9" fillId="4" borderId="1" xfId="2" applyNumberFormat="1" applyFont="1" applyFill="1" applyBorder="1" applyAlignment="1">
      <alignment horizontal="left" vertical="top" wrapText="1"/>
    </xf>
    <xf numFmtId="164" fontId="9" fillId="4" borderId="1" xfId="1" applyFont="1" applyFill="1" applyBorder="1" applyAlignment="1">
      <alignment horizontal="right" vertical="top"/>
    </xf>
    <xf numFmtId="164" fontId="9" fillId="4" borderId="1" xfId="1" applyFont="1" applyFill="1" applyBorder="1" applyAlignment="1">
      <alignment horizontal="right" vertical="top" wrapText="1"/>
    </xf>
    <xf numFmtId="0" fontId="0" fillId="0" borderId="6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64" fontId="9" fillId="2" borderId="1" xfId="1" applyFont="1" applyFill="1" applyBorder="1" applyAlignment="1">
      <alignment horizontal="right" vertical="top"/>
    </xf>
    <xf numFmtId="0" fontId="0" fillId="0" borderId="4" xfId="0" applyFont="1" applyBorder="1" applyAlignment="1">
      <alignment horizontal="center" vertical="center"/>
    </xf>
    <xf numFmtId="0" fontId="0" fillId="0" borderId="5" xfId="0" quotePrefix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164" fontId="13" fillId="2" borderId="1" xfId="0" applyNumberFormat="1" applyFont="1" applyFill="1" applyBorder="1" applyAlignment="1">
      <alignment horizontal="left" vertical="center" wrapText="1"/>
    </xf>
    <xf numFmtId="164" fontId="0" fillId="0" borderId="1" xfId="0" applyNumberFormat="1" applyBorder="1"/>
    <xf numFmtId="0" fontId="12" fillId="2" borderId="1" xfId="0" applyFont="1" applyFill="1" applyBorder="1" applyAlignment="1">
      <alignment horizontal="left" vertical="center" wrapText="1"/>
    </xf>
    <xf numFmtId="164" fontId="12" fillId="2" borderId="1" xfId="1" applyFont="1" applyFill="1" applyBorder="1" applyAlignment="1">
      <alignment horizontal="center" vertical="center" wrapText="1"/>
    </xf>
    <xf numFmtId="164" fontId="13" fillId="2" borderId="1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164" fontId="9" fillId="4" borderId="1" xfId="1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/>
    </xf>
    <xf numFmtId="164" fontId="9" fillId="2" borderId="1" xfId="1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13" fillId="2" borderId="1" xfId="0" applyFont="1" applyFill="1" applyBorder="1" applyAlignment="1">
      <alignment vertical="top" wrapText="1"/>
    </xf>
    <xf numFmtId="164" fontId="12" fillId="2" borderId="1" xfId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0" fontId="0" fillId="0" borderId="6" xfId="0" quotePrefix="1" applyBorder="1" applyAlignment="1">
      <alignment horizontal="center" vertical="center"/>
    </xf>
    <xf numFmtId="164" fontId="9" fillId="2" borderId="1" xfId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164" fontId="5" fillId="2" borderId="1" xfId="3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/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2" fillId="2" borderId="1" xfId="0" quotePrefix="1" applyFont="1" applyFill="1" applyBorder="1" applyAlignment="1">
      <alignment horizontal="left" vertical="center" wrapText="1"/>
    </xf>
    <xf numFmtId="164" fontId="1" fillId="2" borderId="9" xfId="0" applyNumberFormat="1" applyFont="1" applyFill="1" applyBorder="1"/>
    <xf numFmtId="0" fontId="12" fillId="2" borderId="1" xfId="0" applyFont="1" applyFill="1" applyBorder="1" applyAlignment="1">
      <alignment vertical="top" wrapText="1"/>
    </xf>
    <xf numFmtId="164" fontId="13" fillId="2" borderId="9" xfId="0" applyNumberFormat="1" applyFont="1" applyFill="1" applyBorder="1" applyAlignment="1">
      <alignment vertical="center"/>
    </xf>
    <xf numFmtId="164" fontId="9" fillId="2" borderId="1" xfId="1" applyFont="1" applyFill="1" applyBorder="1" applyAlignment="1">
      <alignment vertical="center" wrapText="1"/>
    </xf>
    <xf numFmtId="49" fontId="14" fillId="2" borderId="6" xfId="5" quotePrefix="1" applyNumberFormat="1" applyFont="1" applyFill="1" applyBorder="1" applyAlignment="1">
      <alignment horizontal="center" vertical="center" wrapText="1"/>
    </xf>
    <xf numFmtId="0" fontId="12" fillId="2" borderId="1" xfId="6" applyFont="1" applyFill="1" applyBorder="1" applyAlignment="1">
      <alignment vertical="top" wrapText="1"/>
    </xf>
    <xf numFmtId="164" fontId="12" fillId="2" borderId="1" xfId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top" wrapText="1"/>
    </xf>
    <xf numFmtId="164" fontId="12" fillId="2" borderId="1" xfId="1" applyFont="1" applyFill="1" applyBorder="1" applyAlignment="1">
      <alignment vertical="center"/>
    </xf>
    <xf numFmtId="164" fontId="9" fillId="2" borderId="1" xfId="1" applyFont="1" applyFill="1" applyBorder="1" applyAlignment="1">
      <alignment vertical="center"/>
    </xf>
    <xf numFmtId="0" fontId="12" fillId="2" borderId="1" xfId="2" applyFont="1" applyFill="1" applyBorder="1" applyAlignment="1">
      <alignment vertical="top" wrapText="1"/>
    </xf>
    <xf numFmtId="49" fontId="12" fillId="2" borderId="1" xfId="2" applyNumberFormat="1" applyFont="1" applyFill="1" applyBorder="1" applyAlignment="1">
      <alignment vertical="top" wrapText="1"/>
    </xf>
    <xf numFmtId="49" fontId="5" fillId="2" borderId="5" xfId="5" applyNumberFormat="1" applyFont="1" applyFill="1" applyBorder="1" applyAlignment="1">
      <alignment horizontal="center" vertical="center" wrapText="1"/>
    </xf>
    <xf numFmtId="49" fontId="5" fillId="2" borderId="6" xfId="5" applyNumberFormat="1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vertical="top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1" xfId="5" applyNumberFormat="1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/>
    <xf numFmtId="0" fontId="12" fillId="2" borderId="1" xfId="6" quotePrefix="1" applyFont="1" applyFill="1" applyBorder="1" applyAlignment="1">
      <alignment vertical="top" wrapText="1"/>
    </xf>
    <xf numFmtId="0" fontId="9" fillId="2" borderId="1" xfId="6" applyFont="1" applyFill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0" fontId="5" fillId="2" borderId="5" xfId="5" quotePrefix="1" applyFont="1" applyFill="1" applyBorder="1" applyAlignment="1">
      <alignment horizontal="center" vertical="center"/>
    </xf>
    <xf numFmtId="49" fontId="13" fillId="2" borderId="6" xfId="5" quotePrefix="1" applyNumberFormat="1" applyFont="1" applyFill="1" applyBorder="1" applyAlignment="1">
      <alignment horizontal="center" vertical="center" wrapText="1"/>
    </xf>
    <xf numFmtId="0" fontId="5" fillId="2" borderId="1" xfId="6" quotePrefix="1" applyFont="1" applyFill="1" applyBorder="1" applyAlignment="1">
      <alignment vertical="top" wrapText="1"/>
    </xf>
    <xf numFmtId="0" fontId="13" fillId="2" borderId="5" xfId="5" quotePrefix="1" applyFont="1" applyFill="1" applyBorder="1" applyAlignment="1">
      <alignment horizontal="center" vertical="center"/>
    </xf>
    <xf numFmtId="0" fontId="13" fillId="2" borderId="1" xfId="6" quotePrefix="1" applyFont="1" applyFill="1" applyBorder="1" applyAlignment="1">
      <alignment vertical="top" wrapText="1"/>
    </xf>
    <xf numFmtId="49" fontId="9" fillId="2" borderId="1" xfId="2" applyNumberFormat="1" applyFont="1" applyFill="1" applyBorder="1" applyAlignment="1">
      <alignment vertical="top" wrapText="1"/>
    </xf>
    <xf numFmtId="164" fontId="0" fillId="2" borderId="4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49" fontId="12" fillId="2" borderId="1" xfId="5" applyNumberFormat="1" applyFont="1" applyFill="1" applyBorder="1" applyAlignment="1">
      <alignment vertical="top" wrapText="1"/>
    </xf>
    <xf numFmtId="0" fontId="13" fillId="2" borderId="6" xfId="6" quotePrefix="1" applyFont="1" applyFill="1" applyBorder="1" applyAlignment="1">
      <alignment vertical="top" wrapText="1"/>
    </xf>
    <xf numFmtId="0" fontId="5" fillId="2" borderId="1" xfId="6" applyFont="1" applyFill="1" applyBorder="1" applyAlignment="1">
      <alignment vertical="top" wrapText="1"/>
    </xf>
    <xf numFmtId="0" fontId="13" fillId="2" borderId="1" xfId="6" applyFont="1" applyFill="1" applyBorder="1" applyAlignment="1">
      <alignment vertical="top" wrapText="1"/>
    </xf>
    <xf numFmtId="49" fontId="9" fillId="2" borderId="2" xfId="2" applyNumberFormat="1" applyFont="1" applyFill="1" applyBorder="1" applyAlignment="1">
      <alignment horizontal="left" vertical="top" wrapText="1"/>
    </xf>
    <xf numFmtId="164" fontId="9" fillId="2" borderId="2" xfId="1" applyFont="1" applyFill="1" applyBorder="1" applyAlignment="1">
      <alignment vertical="center"/>
    </xf>
    <xf numFmtId="164" fontId="0" fillId="2" borderId="2" xfId="0" applyNumberForma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 wrapText="1"/>
    </xf>
    <xf numFmtId="164" fontId="0" fillId="4" borderId="1" xfId="0" applyNumberFormat="1" applyFill="1" applyBorder="1"/>
    <xf numFmtId="164" fontId="2" fillId="4" borderId="1" xfId="0" applyNumberFormat="1" applyFont="1" applyFill="1" applyBorder="1"/>
    <xf numFmtId="164" fontId="13" fillId="2" borderId="1" xfId="2" applyNumberFormat="1" applyFont="1" applyFill="1" applyBorder="1" applyAlignment="1"/>
    <xf numFmtId="0" fontId="13" fillId="2" borderId="1" xfId="0" applyFont="1" applyFill="1" applyBorder="1" applyAlignment="1">
      <alignment horizontal="left" vertical="top" wrapText="1"/>
    </xf>
    <xf numFmtId="164" fontId="13" fillId="2" borderId="1" xfId="2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/>
    <xf numFmtId="164" fontId="2" fillId="2" borderId="15" xfId="0" applyNumberFormat="1" applyFont="1" applyFill="1" applyBorder="1"/>
    <xf numFmtId="164" fontId="9" fillId="2" borderId="15" xfId="1" applyFont="1" applyFill="1" applyBorder="1" applyAlignment="1">
      <alignment horizontal="right" vertical="top" wrapText="1"/>
    </xf>
    <xf numFmtId="164" fontId="9" fillId="2" borderId="15" xfId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/>
    <xf numFmtId="164" fontId="13" fillId="2" borderId="0" xfId="2" applyNumberFormat="1" applyFont="1" applyFill="1" applyAlignment="1">
      <alignment horizontal="left"/>
    </xf>
    <xf numFmtId="164" fontId="1" fillId="2" borderId="0" xfId="0" applyNumberFormat="1" applyFont="1" applyFill="1"/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9" fillId="3" borderId="1" xfId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/>
    <xf numFmtId="165" fontId="9" fillId="2" borderId="15" xfId="1" applyNumberFormat="1" applyFont="1" applyFill="1" applyBorder="1" applyAlignment="1">
      <alignment horizontal="right" vertical="top" wrapText="1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0" fillId="0" borderId="0" xfId="0" applyNumberFormat="1" applyBorder="1"/>
    <xf numFmtId="164" fontId="2" fillId="2" borderId="16" xfId="0" applyNumberFormat="1" applyFont="1" applyFill="1" applyBorder="1"/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49" fontId="13" fillId="2" borderId="6" xfId="5" applyNumberFormat="1" applyFont="1" applyFill="1" applyBorder="1" applyAlignment="1">
      <alignment vertical="top" wrapText="1"/>
    </xf>
    <xf numFmtId="164" fontId="13" fillId="2" borderId="1" xfId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left" vertical="center" wrapText="1"/>
    </xf>
    <xf numFmtId="49" fontId="5" fillId="2" borderId="1" xfId="5" applyNumberFormat="1" applyFont="1" applyFill="1" applyBorder="1" applyAlignment="1">
      <alignment vertical="center" wrapText="1"/>
    </xf>
    <xf numFmtId="164" fontId="5" fillId="2" borderId="1" xfId="1" applyFont="1" applyFill="1" applyBorder="1" applyAlignment="1">
      <alignment vertical="center" wrapText="1"/>
    </xf>
    <xf numFmtId="164" fontId="0" fillId="0" borderId="0" xfId="0" applyNumberFormat="1"/>
    <xf numFmtId="164" fontId="5" fillId="4" borderId="1" xfId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164" fontId="12" fillId="2" borderId="2" xfId="1" applyFont="1" applyFill="1" applyBorder="1" applyAlignment="1">
      <alignment horizontal="right" vertical="top" wrapText="1"/>
    </xf>
    <xf numFmtId="164" fontId="0" fillId="2" borderId="2" xfId="0" applyNumberFormat="1" applyFont="1" applyFill="1" applyBorder="1"/>
    <xf numFmtId="164" fontId="2" fillId="0" borderId="15" xfId="0" applyNumberFormat="1" applyFont="1" applyFill="1" applyBorder="1" applyAlignment="1">
      <alignment vertical="center"/>
    </xf>
    <xf numFmtId="164" fontId="4" fillId="2" borderId="0" xfId="2" applyNumberFormat="1" applyFont="1" applyFill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5" fillId="2" borderId="2" xfId="2" applyNumberFormat="1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164" fontId="5" fillId="2" borderId="9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164" fontId="5" fillId="2" borderId="8" xfId="2" applyNumberFormat="1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5" fillId="2" borderId="1" xfId="2" applyNumberFormat="1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7" fillId="3" borderId="4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13" fillId="2" borderId="0" xfId="2" applyNumberFormat="1" applyFont="1" applyFill="1" applyAlignment="1">
      <alignment horizontal="left"/>
    </xf>
    <xf numFmtId="0" fontId="16" fillId="0" borderId="0" xfId="0" applyFont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vertical="top"/>
    </xf>
    <xf numFmtId="164" fontId="0" fillId="2" borderId="1" xfId="0" applyNumberFormat="1" applyFont="1" applyFill="1" applyBorder="1" applyAlignment="1">
      <alignment horizontal="center" wrapText="1"/>
    </xf>
  </cellXfs>
  <cellStyles count="7">
    <cellStyle name="Comma [0]" xfId="1" builtinId="6"/>
    <cellStyle name="Comma 2" xfId="3"/>
    <cellStyle name="Normal" xfId="0" builtinId="0"/>
    <cellStyle name="Normal 2" xfId="2"/>
    <cellStyle name="Normal 2 3" xfId="5"/>
    <cellStyle name="Normal 3 2" xfId="6"/>
    <cellStyle name="Normal 5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gustus"/>
      <sheetName val="sept"/>
      <sheetName val="okt"/>
      <sheetName val="nov"/>
      <sheetName val="des"/>
    </sheetNames>
    <sheetDataSet>
      <sheetData sheetId="0"/>
      <sheetData sheetId="1">
        <row r="8">
          <cell r="E8">
            <v>48939300</v>
          </cell>
        </row>
        <row r="13">
          <cell r="F13">
            <v>401000</v>
          </cell>
        </row>
        <row r="14">
          <cell r="F14">
            <v>197000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F19">
            <v>61866040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L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77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/>
      <c r="O10" s="17"/>
      <c r="P10" s="8">
        <f>P12</f>
        <v>41708480</v>
      </c>
      <c r="Q10" s="17">
        <f>P10/M10*100</f>
        <v>6.5036987138704889</v>
      </c>
      <c r="R10" s="8">
        <f>R12</f>
        <v>41708480</v>
      </c>
      <c r="S10" s="17">
        <f>R10/M10*100</f>
        <v>6.5036987138704889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/>
      <c r="O12" s="24">
        <f>N12/M12*100</f>
        <v>0</v>
      </c>
      <c r="P12" s="24">
        <f t="shared" ref="P12" si="0">P13+P14+P15</f>
        <v>41708480</v>
      </c>
      <c r="Q12" s="24">
        <f>P12/M12*100</f>
        <v>6.5036987138704889</v>
      </c>
      <c r="R12" s="24">
        <f>P12+N12</f>
        <v>41708480</v>
      </c>
      <c r="S12" s="24">
        <f>R12/M12*100</f>
        <v>6.5036987138704889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/>
      <c r="O13" s="24">
        <f t="shared" ref="O13:O69" si="1">N13/M13*100</f>
        <v>0</v>
      </c>
      <c r="P13" s="24">
        <f t="shared" ref="P13" si="2">P17</f>
        <v>26279280</v>
      </c>
      <c r="Q13" s="24">
        <f t="shared" ref="Q13:Q69" si="3">P13/M13*100</f>
        <v>6.8296470940458818</v>
      </c>
      <c r="R13" s="24">
        <f t="shared" ref="R13:R74" si="4">P13+N13</f>
        <v>26279280</v>
      </c>
      <c r="S13" s="24">
        <f t="shared" ref="S13:S69" si="5">R13/M13*100</f>
        <v>6.8296470940458818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/>
      <c r="O14" s="24">
        <f t="shared" si="1"/>
        <v>0</v>
      </c>
      <c r="P14" s="24">
        <f>P21</f>
        <v>15429200</v>
      </c>
      <c r="Q14" s="24">
        <f t="shared" si="3"/>
        <v>6.3619900248060386</v>
      </c>
      <c r="R14" s="24">
        <f t="shared" si="4"/>
        <v>15429200</v>
      </c>
      <c r="S14" s="24">
        <f t="shared" si="5"/>
        <v>6.3619900248060386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/>
      <c r="O15" s="24">
        <f t="shared" si="1"/>
        <v>0</v>
      </c>
      <c r="P15" s="24">
        <f t="shared" ref="P15" si="6">P69</f>
        <v>0</v>
      </c>
      <c r="Q15" s="24">
        <f t="shared" si="3"/>
        <v>0</v>
      </c>
      <c r="R15" s="24">
        <f t="shared" si="4"/>
        <v>0</v>
      </c>
      <c r="S15" s="24">
        <f t="shared" si="5"/>
        <v>0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8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7"/>
      <c r="O17" s="38">
        <f t="shared" si="1"/>
        <v>0</v>
      </c>
      <c r="P17" s="37">
        <f t="shared" ref="P17:P18" si="7">P18</f>
        <v>26279280</v>
      </c>
      <c r="Q17" s="38">
        <f t="shared" si="3"/>
        <v>6.8296470940458818</v>
      </c>
      <c r="R17" s="38">
        <f t="shared" si="4"/>
        <v>26279280</v>
      </c>
      <c r="S17" s="38">
        <f t="shared" si="5"/>
        <v>6.8296470940458818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41"/>
      <c r="O18" s="24">
        <f t="shared" si="1"/>
        <v>0</v>
      </c>
      <c r="P18" s="41">
        <f t="shared" si="7"/>
        <v>26279280</v>
      </c>
      <c r="Q18" s="24">
        <f t="shared" si="3"/>
        <v>6.8296470940458818</v>
      </c>
      <c r="R18" s="24">
        <f t="shared" si="4"/>
        <v>26279280</v>
      </c>
      <c r="S18" s="24">
        <f t="shared" si="5"/>
        <v>6.8296470940458818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46"/>
      <c r="O19" s="24">
        <f t="shared" si="1"/>
        <v>0</v>
      </c>
      <c r="P19" s="47">
        <v>26279280</v>
      </c>
      <c r="Q19" s="24">
        <f t="shared" si="3"/>
        <v>6.8296470940458818</v>
      </c>
      <c r="R19" s="24">
        <f t="shared" si="4"/>
        <v>26279280</v>
      </c>
      <c r="S19" s="24">
        <f t="shared" si="5"/>
        <v>6.8296470940458818</v>
      </c>
      <c r="T19" s="41">
        <f>1/12*100</f>
        <v>8.3333333333333321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8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54"/>
      <c r="O21" s="38">
        <f t="shared" si="1"/>
        <v>0</v>
      </c>
      <c r="P21" s="54">
        <f>P22+P31+P34+P39+P44+P48+P51+P54+P57+P62+P66</f>
        <v>15429200</v>
      </c>
      <c r="Q21" s="38">
        <f t="shared" si="3"/>
        <v>6.3619900248060386</v>
      </c>
      <c r="R21" s="38">
        <f t="shared" si="4"/>
        <v>15429200</v>
      </c>
      <c r="S21" s="38">
        <f t="shared" si="5"/>
        <v>6.3619900248060386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56"/>
      <c r="O22" s="24">
        <f t="shared" si="1"/>
        <v>0</v>
      </c>
      <c r="P22" s="56">
        <f>SUM(P23:P29)</f>
        <v>0</v>
      </c>
      <c r="Q22" s="24">
        <f t="shared" si="3"/>
        <v>0</v>
      </c>
      <c r="R22" s="24">
        <f t="shared" si="4"/>
        <v>0</v>
      </c>
      <c r="S22" s="24">
        <f t="shared" si="5"/>
        <v>0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56"/>
      <c r="O23" s="24"/>
      <c r="P23" s="56"/>
      <c r="Q23" s="24"/>
      <c r="R23" s="24">
        <f t="shared" si="4"/>
        <v>0</v>
      </c>
      <c r="S23" s="24"/>
      <c r="T23" s="56"/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46"/>
      <c r="O24" s="24">
        <f t="shared" si="1"/>
        <v>0</v>
      </c>
      <c r="P24" s="50"/>
      <c r="Q24" s="24">
        <f t="shared" si="3"/>
        <v>0</v>
      </c>
      <c r="R24" s="24">
        <f t="shared" si="4"/>
        <v>0</v>
      </c>
      <c r="S24" s="24">
        <f t="shared" si="5"/>
        <v>0</v>
      </c>
      <c r="T24" s="11"/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46"/>
      <c r="O25" s="24">
        <f t="shared" si="1"/>
        <v>0</v>
      </c>
      <c r="P25" s="50"/>
      <c r="Q25" s="24">
        <f t="shared" si="3"/>
        <v>0</v>
      </c>
      <c r="R25" s="24">
        <f t="shared" si="4"/>
        <v>0</v>
      </c>
      <c r="S25" s="24">
        <f t="shared" si="5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46"/>
      <c r="O26" s="24">
        <f t="shared" si="1"/>
        <v>0</v>
      </c>
      <c r="P26" s="50"/>
      <c r="Q26" s="24">
        <f t="shared" si="3"/>
        <v>0</v>
      </c>
      <c r="R26" s="24">
        <f t="shared" si="4"/>
        <v>0</v>
      </c>
      <c r="S26" s="24">
        <f t="shared" si="5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46"/>
      <c r="O27" s="24">
        <f t="shared" si="1"/>
        <v>0</v>
      </c>
      <c r="P27" s="50"/>
      <c r="Q27" s="24">
        <f t="shared" si="3"/>
        <v>0</v>
      </c>
      <c r="R27" s="24">
        <f t="shared" si="4"/>
        <v>0</v>
      </c>
      <c r="S27" s="24">
        <f t="shared" si="5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46"/>
      <c r="O28" s="24">
        <f t="shared" si="1"/>
        <v>0</v>
      </c>
      <c r="P28" s="50"/>
      <c r="Q28" s="24">
        <f t="shared" si="3"/>
        <v>0</v>
      </c>
      <c r="R28" s="24">
        <f t="shared" si="4"/>
        <v>0</v>
      </c>
      <c r="S28" s="24">
        <f t="shared" si="5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46"/>
      <c r="O29" s="24">
        <f t="shared" si="1"/>
        <v>0</v>
      </c>
      <c r="P29" s="50"/>
      <c r="Q29" s="24">
        <f t="shared" si="3"/>
        <v>0</v>
      </c>
      <c r="R29" s="24">
        <f t="shared" si="4"/>
        <v>0</v>
      </c>
      <c r="S29" s="24">
        <f t="shared" si="5"/>
        <v>0</v>
      </c>
      <c r="T29" s="11"/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46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62"/>
      <c r="O31" s="24">
        <f t="shared" si="1"/>
        <v>0</v>
      </c>
      <c r="P31" s="62">
        <v>108000</v>
      </c>
      <c r="Q31" s="24">
        <f t="shared" si="3"/>
        <v>3.7177280550774525</v>
      </c>
      <c r="R31" s="24">
        <f t="shared" si="4"/>
        <v>108000</v>
      </c>
      <c r="S31" s="24">
        <f t="shared" si="5"/>
        <v>3.7177280550774525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8"/>
      <c r="O32" s="24">
        <f t="shared" si="1"/>
        <v>0</v>
      </c>
      <c r="P32" s="50">
        <v>108000</v>
      </c>
      <c r="Q32" s="24">
        <f t="shared" si="3"/>
        <v>3.7177280550774525</v>
      </c>
      <c r="R32" s="24">
        <f t="shared" si="4"/>
        <v>108000</v>
      </c>
      <c r="S32" s="24">
        <f t="shared" si="5"/>
        <v>3.7177280550774525</v>
      </c>
      <c r="T32" s="62">
        <f>8/104*100</f>
        <v>7.6923076923076925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46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73"/>
      <c r="O34" s="24">
        <f t="shared" si="1"/>
        <v>0</v>
      </c>
      <c r="P34" s="73">
        <f>SUM(P35:P37)</f>
        <v>871200</v>
      </c>
      <c r="Q34" s="24">
        <f t="shared" si="3"/>
        <v>4.5768321513002359</v>
      </c>
      <c r="R34" s="24">
        <f t="shared" si="4"/>
        <v>871200</v>
      </c>
      <c r="S34" s="24">
        <f t="shared" si="5"/>
        <v>4.5768321513002359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46"/>
      <c r="O35" s="24">
        <f t="shared" si="1"/>
        <v>0</v>
      </c>
      <c r="P35" s="50">
        <v>867700</v>
      </c>
      <c r="Q35" s="24">
        <f t="shared" si="3"/>
        <v>7.2308333333333339</v>
      </c>
      <c r="R35" s="24">
        <f t="shared" si="4"/>
        <v>867700</v>
      </c>
      <c r="S35" s="24">
        <f t="shared" si="5"/>
        <v>7.2308333333333339</v>
      </c>
      <c r="T35" s="11">
        <f>1/12*100</f>
        <v>8.3333333333333321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46"/>
      <c r="O36" s="24">
        <f t="shared" si="1"/>
        <v>0</v>
      </c>
      <c r="P36" s="50">
        <v>3500</v>
      </c>
      <c r="Q36" s="24">
        <f t="shared" si="3"/>
        <v>0.65420560747663559</v>
      </c>
      <c r="R36" s="24">
        <f t="shared" si="4"/>
        <v>3500</v>
      </c>
      <c r="S36" s="24">
        <f t="shared" si="5"/>
        <v>0.65420560747663559</v>
      </c>
      <c r="T36" s="73">
        <f>1/12*100</f>
        <v>8.3333333333333321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46"/>
      <c r="O37" s="24">
        <f t="shared" si="1"/>
        <v>0</v>
      </c>
      <c r="P37" s="50"/>
      <c r="Q37" s="24">
        <f t="shared" si="3"/>
        <v>0</v>
      </c>
      <c r="R37" s="24">
        <f t="shared" si="4"/>
        <v>0</v>
      </c>
      <c r="S37" s="24">
        <f t="shared" si="5"/>
        <v>0</v>
      </c>
      <c r="T37" s="11"/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8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8"/>
      <c r="O39" s="24"/>
      <c r="P39" s="50">
        <f>SUM(P40:P42)</f>
        <v>0</v>
      </c>
      <c r="Q39" s="24"/>
      <c r="R39" s="24">
        <f t="shared" si="4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8"/>
      <c r="O40" s="24"/>
      <c r="P40" s="50"/>
      <c r="Q40" s="24"/>
      <c r="R40" s="24">
        <f t="shared" si="4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8"/>
      <c r="O41" s="24"/>
      <c r="P41" s="50"/>
      <c r="Q41" s="24"/>
      <c r="R41" s="24">
        <f t="shared" si="4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8"/>
      <c r="O42" s="24"/>
      <c r="P42" s="50"/>
      <c r="Q42" s="24"/>
      <c r="R42" s="24">
        <f t="shared" si="4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8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73"/>
      <c r="O44" s="24">
        <f t="shared" si="1"/>
        <v>0</v>
      </c>
      <c r="P44" s="73">
        <f>SUM(P45:P46)</f>
        <v>120000</v>
      </c>
      <c r="Q44" s="24">
        <f t="shared" si="3"/>
        <v>0.24226884775926552</v>
      </c>
      <c r="R44" s="24">
        <f t="shared" si="4"/>
        <v>120000</v>
      </c>
      <c r="S44" s="24">
        <f t="shared" si="5"/>
        <v>0.24226884775926552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46"/>
      <c r="O45" s="24">
        <f t="shared" si="1"/>
        <v>0</v>
      </c>
      <c r="P45" s="65"/>
      <c r="Q45" s="24">
        <f t="shared" si="3"/>
        <v>0</v>
      </c>
      <c r="R45" s="24">
        <f t="shared" si="4"/>
        <v>0</v>
      </c>
      <c r="S45" s="24">
        <f t="shared" si="5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46"/>
      <c r="O46" s="24">
        <f t="shared" si="1"/>
        <v>0</v>
      </c>
      <c r="P46" s="50">
        <v>120000</v>
      </c>
      <c r="Q46" s="24">
        <f t="shared" si="3"/>
        <v>8.323218311080284</v>
      </c>
      <c r="R46" s="24">
        <f t="shared" si="4"/>
        <v>120000</v>
      </c>
      <c r="S46" s="24">
        <f t="shared" si="5"/>
        <v>8.323218311080284</v>
      </c>
      <c r="T46" s="11">
        <f>480/5757*100</f>
        <v>8.3376758728504434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46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73"/>
      <c r="O48" s="24">
        <f t="shared" si="1"/>
        <v>0</v>
      </c>
      <c r="P48" s="73">
        <f>P49</f>
        <v>825000</v>
      </c>
      <c r="Q48" s="24">
        <f t="shared" si="3"/>
        <v>9.0909090909090917</v>
      </c>
      <c r="R48" s="24">
        <f t="shared" si="4"/>
        <v>825000</v>
      </c>
      <c r="S48" s="24">
        <f t="shared" si="5"/>
        <v>9.0909090909090917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46"/>
      <c r="O49" s="24">
        <f t="shared" si="1"/>
        <v>0</v>
      </c>
      <c r="P49" s="50">
        <v>825000</v>
      </c>
      <c r="Q49" s="24">
        <f t="shared" si="3"/>
        <v>9.0909090909090917</v>
      </c>
      <c r="R49" s="24">
        <f t="shared" si="4"/>
        <v>825000</v>
      </c>
      <c r="S49" s="24">
        <f t="shared" si="5"/>
        <v>9.0909090909090917</v>
      </c>
      <c r="T49" s="57">
        <f>1/11*100</f>
        <v>9.0909090909090917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46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8"/>
      <c r="O51" s="24"/>
      <c r="P51" s="65">
        <f>P52</f>
        <v>0</v>
      </c>
      <c r="Q51" s="24"/>
      <c r="R51" s="24">
        <f t="shared" si="4"/>
        <v>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8"/>
      <c r="O52" s="24"/>
      <c r="P52" s="65"/>
      <c r="Q52" s="24"/>
      <c r="R52" s="24">
        <f t="shared" si="4"/>
        <v>0</v>
      </c>
      <c r="S52" s="24"/>
      <c r="T52" s="57"/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8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73"/>
      <c r="O54" s="24">
        <f t="shared" si="1"/>
        <v>0</v>
      </c>
      <c r="P54" s="73">
        <f>P55</f>
        <v>0</v>
      </c>
      <c r="Q54" s="24">
        <f t="shared" si="3"/>
        <v>0</v>
      </c>
      <c r="R54" s="24">
        <f t="shared" si="4"/>
        <v>0</v>
      </c>
      <c r="S54" s="24">
        <f t="shared" si="5"/>
        <v>0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46"/>
      <c r="O55" s="24">
        <f t="shared" si="1"/>
        <v>0</v>
      </c>
      <c r="P55" s="50"/>
      <c r="Q55" s="24">
        <f t="shared" si="3"/>
        <v>0</v>
      </c>
      <c r="R55" s="24">
        <f t="shared" si="4"/>
        <v>0</v>
      </c>
      <c r="S55" s="24">
        <f t="shared" si="5"/>
        <v>0</v>
      </c>
      <c r="T55" s="57"/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8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73"/>
      <c r="O57" s="24">
        <f t="shared" si="1"/>
        <v>0</v>
      </c>
      <c r="P57" s="73">
        <f>SUM(P58:P60)</f>
        <v>13255000</v>
      </c>
      <c r="Q57" s="24">
        <f t="shared" si="3"/>
        <v>56.645299145299141</v>
      </c>
      <c r="R57" s="24">
        <f t="shared" si="4"/>
        <v>13255000</v>
      </c>
      <c r="S57" s="24">
        <f t="shared" si="5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8"/>
      <c r="O58" s="24">
        <f t="shared" si="1"/>
        <v>0</v>
      </c>
      <c r="P58" s="50"/>
      <c r="Q58" s="24">
        <f t="shared" si="3"/>
        <v>0</v>
      </c>
      <c r="R58" s="24">
        <f t="shared" si="4"/>
        <v>0</v>
      </c>
      <c r="S58" s="24">
        <f t="shared" si="5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46"/>
      <c r="O59" s="24">
        <f t="shared" si="1"/>
        <v>0</v>
      </c>
      <c r="P59" s="50">
        <v>13255000</v>
      </c>
      <c r="Q59" s="24">
        <f t="shared" si="3"/>
        <v>86.071428571428584</v>
      </c>
      <c r="R59" s="24">
        <f t="shared" si="4"/>
        <v>13255000</v>
      </c>
      <c r="S59" s="24">
        <f t="shared" si="5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8"/>
      <c r="O60" s="24">
        <f t="shared" si="1"/>
        <v>0</v>
      </c>
      <c r="P60" s="50"/>
      <c r="Q60" s="24">
        <f t="shared" si="3"/>
        <v>0</v>
      </c>
      <c r="R60" s="24">
        <f t="shared" si="4"/>
        <v>0</v>
      </c>
      <c r="S60" s="24">
        <f t="shared" si="5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46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73"/>
      <c r="O62" s="24">
        <f t="shared" si="1"/>
        <v>0</v>
      </c>
      <c r="P62" s="73">
        <f>SUM(P63:P64)</f>
        <v>250000</v>
      </c>
      <c r="Q62" s="24">
        <f t="shared" si="3"/>
        <v>1.9230769230769231</v>
      </c>
      <c r="R62" s="24">
        <f t="shared" si="4"/>
        <v>250000</v>
      </c>
      <c r="S62" s="24">
        <f t="shared" si="5"/>
        <v>1.9230769230769231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46"/>
      <c r="O63" s="24">
        <f t="shared" si="1"/>
        <v>0</v>
      </c>
      <c r="P63" s="50">
        <v>250000</v>
      </c>
      <c r="Q63" s="24">
        <f t="shared" si="3"/>
        <v>8.3333333333333321</v>
      </c>
      <c r="R63" s="24">
        <f t="shared" si="4"/>
        <v>250000</v>
      </c>
      <c r="S63" s="24">
        <f t="shared" si="5"/>
        <v>8.3333333333333321</v>
      </c>
      <c r="T63" s="57">
        <f>1/12*100</f>
        <v>8.3333333333333321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8"/>
      <c r="O64" s="24">
        <f t="shared" si="1"/>
        <v>0</v>
      </c>
      <c r="P64" s="65"/>
      <c r="Q64" s="24">
        <f t="shared" si="3"/>
        <v>0</v>
      </c>
      <c r="R64" s="24">
        <f t="shared" si="4"/>
        <v>0</v>
      </c>
      <c r="S64" s="24">
        <f t="shared" si="5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46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106"/>
      <c r="O66" s="24">
        <f t="shared" si="1"/>
        <v>0</v>
      </c>
      <c r="P66" s="106">
        <f>P67</f>
        <v>0</v>
      </c>
      <c r="Q66" s="24">
        <f t="shared" si="3"/>
        <v>0</v>
      </c>
      <c r="R66" s="24">
        <f t="shared" si="4"/>
        <v>0</v>
      </c>
      <c r="S66" s="24">
        <f t="shared" si="5"/>
        <v>0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8"/>
      <c r="O67" s="24">
        <f t="shared" si="1"/>
        <v>0</v>
      </c>
      <c r="P67" s="109"/>
      <c r="Q67" s="24">
        <f t="shared" si="3"/>
        <v>0</v>
      </c>
      <c r="R67" s="24">
        <f t="shared" si="4"/>
        <v>0</v>
      </c>
      <c r="S67" s="24">
        <f t="shared" si="5"/>
        <v>0</v>
      </c>
      <c r="T67" s="8"/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57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112"/>
      <c r="O69" s="38">
        <f t="shared" si="1"/>
        <v>0</v>
      </c>
      <c r="P69" s="112">
        <f>P70+P73</f>
        <v>0</v>
      </c>
      <c r="Q69" s="38">
        <f t="shared" si="3"/>
        <v>0</v>
      </c>
      <c r="R69" s="38">
        <f t="shared" si="4"/>
        <v>0</v>
      </c>
      <c r="S69" s="38">
        <f t="shared" si="5"/>
        <v>0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89"/>
      <c r="O70" s="24">
        <f t="shared" ref="O70:O75" si="8">N70/M70*100</f>
        <v>0</v>
      </c>
      <c r="P70" s="89">
        <f>P71</f>
        <v>0</v>
      </c>
      <c r="Q70" s="24">
        <f t="shared" ref="Q70:Q75" si="9">P70/M70*100</f>
        <v>0</v>
      </c>
      <c r="R70" s="24">
        <f t="shared" si="4"/>
        <v>0</v>
      </c>
      <c r="S70" s="24">
        <f t="shared" ref="S70:S75" si="10">R70/M70*100</f>
        <v>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57"/>
      <c r="O71" s="24">
        <f t="shared" si="8"/>
        <v>0</v>
      </c>
      <c r="P71" s="57"/>
      <c r="Q71" s="24">
        <f t="shared" si="9"/>
        <v>0</v>
      </c>
      <c r="R71" s="24">
        <f t="shared" si="4"/>
        <v>0</v>
      </c>
      <c r="S71" s="24">
        <f t="shared" si="10"/>
        <v>0</v>
      </c>
      <c r="T71" s="113"/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57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89"/>
      <c r="O73" s="24">
        <f t="shared" si="8"/>
        <v>0</v>
      </c>
      <c r="P73" s="89">
        <f>P74</f>
        <v>0</v>
      </c>
      <c r="Q73" s="24">
        <f t="shared" si="9"/>
        <v>0</v>
      </c>
      <c r="R73" s="24">
        <f t="shared" si="4"/>
        <v>0</v>
      </c>
      <c r="S73" s="24">
        <f t="shared" si="10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57"/>
      <c r="O74" s="24">
        <f t="shared" si="8"/>
        <v>0</v>
      </c>
      <c r="P74" s="57"/>
      <c r="Q74" s="24">
        <f t="shared" si="9"/>
        <v>0</v>
      </c>
      <c r="R74" s="24">
        <f t="shared" si="4"/>
        <v>0</v>
      </c>
      <c r="S74" s="24">
        <f t="shared" si="10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20"/>
      <c r="M75" s="121">
        <f>M12</f>
        <v>641304000</v>
      </c>
      <c r="N75" s="122">
        <f t="shared" ref="N75:V75" si="11">N12</f>
        <v>0</v>
      </c>
      <c r="O75" s="123">
        <f t="shared" si="8"/>
        <v>0</v>
      </c>
      <c r="P75" s="122">
        <f t="shared" si="11"/>
        <v>41708480</v>
      </c>
      <c r="Q75" s="123">
        <f t="shared" si="9"/>
        <v>6.5036987138704889</v>
      </c>
      <c r="R75" s="124">
        <f t="shared" ref="R75" si="12">P75+N75</f>
        <v>41708480</v>
      </c>
      <c r="S75" s="123">
        <f t="shared" si="10"/>
        <v>6.5036987138704889</v>
      </c>
      <c r="T75" s="122"/>
      <c r="U75" s="125">
        <f t="shared" si="11"/>
        <v>0</v>
      </c>
      <c r="V75" s="121">
        <f t="shared" si="11"/>
        <v>0</v>
      </c>
    </row>
    <row r="78" spans="1:22" x14ac:dyDescent="0.25">
      <c r="R78" s="189" t="s">
        <v>92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26"/>
      <c r="S80" s="126"/>
      <c r="T80" s="126"/>
      <c r="U80" s="126"/>
    </row>
    <row r="81" spans="18:21" x14ac:dyDescent="0.25">
      <c r="R81" s="126"/>
      <c r="S81" s="126"/>
      <c r="T81" s="126"/>
      <c r="U81" s="126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K1" workbookViewId="0">
      <selection activeCell="R19" sqref="R19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108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374654520</v>
      </c>
      <c r="O10" s="17">
        <v>58.420736499382507</v>
      </c>
      <c r="P10" s="8">
        <f>P12</f>
        <v>2273600</v>
      </c>
      <c r="Q10" s="17">
        <f>P10/M10*100</f>
        <v>0.35452764991330166</v>
      </c>
      <c r="R10" s="8">
        <f>R12</f>
        <v>376928120</v>
      </c>
      <c r="S10" s="17">
        <f>R10/M10*100</f>
        <v>58.775264149295815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374654520</v>
      </c>
      <c r="O12" s="24">
        <v>58.420736499382507</v>
      </c>
      <c r="P12" s="24">
        <f t="shared" ref="P12" si="0">P13+P14+P15</f>
        <v>2273600</v>
      </c>
      <c r="Q12" s="24">
        <f>P12/M12*100</f>
        <v>0.35452764991330166</v>
      </c>
      <c r="R12" s="24">
        <f>P12+N12</f>
        <v>376928120</v>
      </c>
      <c r="S12" s="24">
        <f>R12/M12*100</f>
        <v>58.775264149295815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263808720</v>
      </c>
      <c r="O13" s="24">
        <v>68.560495490438228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106245800</v>
      </c>
      <c r="O14" s="24">
        <v>43.808798886367235</v>
      </c>
      <c r="P14" s="24">
        <f>P21</f>
        <v>2273600</v>
      </c>
      <c r="Q14" s="24">
        <f t="shared" si="2"/>
        <v>0.93748350662373992</v>
      </c>
      <c r="R14" s="24">
        <f t="shared" si="3"/>
        <v>108519400</v>
      </c>
      <c r="S14" s="24">
        <f t="shared" si="4"/>
        <v>44.746282392990977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263808720</v>
      </c>
      <c r="O17" s="38">
        <v>68.560495490438228</v>
      </c>
      <c r="P17" s="37">
        <f t="shared" ref="P17:P18" si="6">P18</f>
        <v>0</v>
      </c>
      <c r="Q17" s="38">
        <f t="shared" si="2"/>
        <v>0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263808720</v>
      </c>
      <c r="O18" s="24">
        <v>68.560495490438228</v>
      </c>
      <c r="P18" s="41">
        <f t="shared" si="6"/>
        <v>0</v>
      </c>
      <c r="Q18" s="24">
        <f t="shared" si="2"/>
        <v>0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263808720</v>
      </c>
      <c r="O19" s="24">
        <v>68.560495490438228</v>
      </c>
      <c r="P19" s="150"/>
      <c r="Q19" s="24">
        <f t="shared" si="2"/>
        <v>0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106245800</v>
      </c>
      <c r="O21" s="38">
        <v>43.808798886367235</v>
      </c>
      <c r="P21" s="132">
        <f>P22+P31+P34+P39+P44+P48+P51+P54+P57+P62+P66</f>
        <v>2273600</v>
      </c>
      <c r="Q21" s="38">
        <f t="shared" si="2"/>
        <v>0.93748350662373992</v>
      </c>
      <c r="R21" s="38">
        <f t="shared" si="3"/>
        <v>108519400</v>
      </c>
      <c r="S21" s="38">
        <f t="shared" si="4"/>
        <v>44.746282392990977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3381000</v>
      </c>
      <c r="O22" s="24">
        <v>3.4925972124301747</v>
      </c>
      <c r="P22" s="56">
        <f>SUM(P23:P29)</f>
        <v>421000</v>
      </c>
      <c r="Q22" s="24">
        <f t="shared" si="2"/>
        <v>0.43489601491662339</v>
      </c>
      <c r="R22" s="24">
        <f t="shared" si="3"/>
        <v>3802000</v>
      </c>
      <c r="S22" s="24">
        <f t="shared" si="4"/>
        <v>3.9274932273467984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1193500</v>
      </c>
      <c r="O25" s="24">
        <v>21.449238897974588</v>
      </c>
      <c r="P25" s="50">
        <v>421000</v>
      </c>
      <c r="Q25" s="24">
        <f t="shared" si="2"/>
        <v>7.5660909728087988</v>
      </c>
      <c r="R25" s="24">
        <f t="shared" si="3"/>
        <v>1614500</v>
      </c>
      <c r="S25" s="24">
        <f t="shared" si="4"/>
        <v>29.015329870783386</v>
      </c>
      <c r="T25" s="11">
        <f>10/15*100</f>
        <v>66.666666666666657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880000</v>
      </c>
      <c r="O31" s="24">
        <v>30.292598967297764</v>
      </c>
      <c r="P31" s="62">
        <f>P32</f>
        <v>112000</v>
      </c>
      <c r="Q31" s="24">
        <f t="shared" si="2"/>
        <v>3.8554216867469884</v>
      </c>
      <c r="R31" s="24">
        <f t="shared" si="3"/>
        <v>992000</v>
      </c>
      <c r="S31" s="24">
        <f t="shared" si="4"/>
        <v>34.14802065404475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880000</v>
      </c>
      <c r="O32" s="24">
        <v>30.292598967297764</v>
      </c>
      <c r="P32" s="50">
        <v>112000</v>
      </c>
      <c r="Q32" s="24">
        <f t="shared" si="2"/>
        <v>3.8554216867469884</v>
      </c>
      <c r="R32" s="24">
        <f t="shared" si="3"/>
        <v>992000</v>
      </c>
      <c r="S32" s="24">
        <f t="shared" si="4"/>
        <v>34.14802065404475</v>
      </c>
      <c r="T32" s="62">
        <f>24+8+8+8+8+8+8/104*100</f>
        <v>71.692307692307693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10487800</v>
      </c>
      <c r="O34" s="24">
        <v>55.097452061991071</v>
      </c>
      <c r="P34" s="73">
        <f>SUM(P35:P37)</f>
        <v>870600</v>
      </c>
      <c r="Q34" s="24">
        <f t="shared" si="2"/>
        <v>4.5736800630417651</v>
      </c>
      <c r="R34" s="24">
        <f t="shared" si="3"/>
        <v>11358400</v>
      </c>
      <c r="S34" s="24">
        <f t="shared" si="4"/>
        <v>59.671132125032834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7769900</v>
      </c>
      <c r="O35" s="24">
        <v>64.749166666666667</v>
      </c>
      <c r="P35" s="50">
        <v>867700</v>
      </c>
      <c r="Q35" s="24">
        <f t="shared" si="2"/>
        <v>7.2308333333333339</v>
      </c>
      <c r="R35" s="24">
        <f t="shared" si="3"/>
        <v>8637600</v>
      </c>
      <c r="S35" s="24">
        <f t="shared" si="4"/>
        <v>71.98</v>
      </c>
      <c r="T35" s="11">
        <f>10/12*100</f>
        <v>83.333333333333343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67900</v>
      </c>
      <c r="O36" s="24">
        <v>12.691588785046729</v>
      </c>
      <c r="P36" s="50">
        <v>2900</v>
      </c>
      <c r="Q36" s="24">
        <f t="shared" si="2"/>
        <v>0.54205607476635509</v>
      </c>
      <c r="R36" s="24">
        <f t="shared" si="3"/>
        <v>70800</v>
      </c>
      <c r="S36" s="24">
        <f t="shared" si="4"/>
        <v>13.233644859813085</v>
      </c>
      <c r="T36" s="11">
        <f>10/12*100</f>
        <v>83.333333333333343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3/3*100</f>
        <v>100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48522000</v>
      </c>
      <c r="O44" s="24">
        <v>97.961408591459005</v>
      </c>
      <c r="P44" s="73">
        <f>SUM(P45:P46)</f>
        <v>120000</v>
      </c>
      <c r="Q44" s="24">
        <f t="shared" si="2"/>
        <v>0.24226884775926552</v>
      </c>
      <c r="R44" s="24">
        <f t="shared" si="3"/>
        <v>48642000</v>
      </c>
      <c r="S44" s="24">
        <f t="shared" si="4"/>
        <v>98.203677439218282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1022000</v>
      </c>
      <c r="O46" s="24">
        <v>70.886075949367083</v>
      </c>
      <c r="P46" s="50">
        <v>120000</v>
      </c>
      <c r="Q46" s="24">
        <f t="shared" si="2"/>
        <v>8.323218311080284</v>
      </c>
      <c r="R46" s="24">
        <f t="shared" si="3"/>
        <v>1142000</v>
      </c>
      <c r="S46" s="24">
        <f t="shared" si="4"/>
        <v>79.209294260447365</v>
      </c>
      <c r="T46" s="11">
        <f>(1320+400+448+480+480+480+480+480)/5757*100</f>
        <v>79.346882056626711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6150000</v>
      </c>
      <c r="O48" s="24">
        <v>67.768595041322314</v>
      </c>
      <c r="P48" s="73">
        <f>P49</f>
        <v>750000</v>
      </c>
      <c r="Q48" s="24">
        <f t="shared" si="2"/>
        <v>8.2644628099173563</v>
      </c>
      <c r="R48" s="24">
        <f t="shared" si="3"/>
        <v>6900000</v>
      </c>
      <c r="S48" s="24">
        <f t="shared" si="4"/>
        <v>76.033057851239676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6150000</v>
      </c>
      <c r="O49" s="24">
        <v>67.768595041322314</v>
      </c>
      <c r="P49" s="50">
        <v>750000</v>
      </c>
      <c r="Q49" s="24">
        <f t="shared" si="2"/>
        <v>8.2644628099173563</v>
      </c>
      <c r="R49" s="24">
        <f t="shared" si="3"/>
        <v>6900000</v>
      </c>
      <c r="S49" s="24">
        <f t="shared" si="4"/>
        <v>76.033057851239676</v>
      </c>
      <c r="T49" s="57">
        <f>9/11*100</f>
        <v>81.818181818181827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48"/>
      <c r="M75" s="121">
        <f>M12</f>
        <v>641304000</v>
      </c>
      <c r="N75" s="122">
        <f t="shared" ref="N75:V75" si="7">N12</f>
        <v>374654520</v>
      </c>
      <c r="O75" s="135">
        <f t="shared" ref="O75" si="8">N75/M75*100</f>
        <v>58.420736499382507</v>
      </c>
      <c r="P75" s="122">
        <f t="shared" si="7"/>
        <v>2273600</v>
      </c>
      <c r="Q75" s="123">
        <f t="shared" si="2"/>
        <v>0.35452764991330166</v>
      </c>
      <c r="R75" s="124">
        <f t="shared" si="3"/>
        <v>376928120</v>
      </c>
      <c r="S75" s="135">
        <f t="shared" si="4"/>
        <v>58.775264149295815</v>
      </c>
      <c r="T75" s="122"/>
      <c r="U75" s="125">
        <f t="shared" si="7"/>
        <v>0</v>
      </c>
      <c r="V75" s="151">
        <f t="shared" si="7"/>
        <v>0</v>
      </c>
    </row>
    <row r="78" spans="1:22" x14ac:dyDescent="0.25">
      <c r="R78" s="189" t="s">
        <v>109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49"/>
      <c r="S80" s="149"/>
      <c r="T80" s="149"/>
      <c r="U80" s="149"/>
    </row>
    <row r="81" spans="18:21" x14ac:dyDescent="0.25">
      <c r="R81" s="149"/>
      <c r="S81" s="149"/>
      <c r="T81" s="149"/>
      <c r="U81" s="149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opLeftCell="L1" workbookViewId="0">
      <selection activeCell="R10" sqref="R10:S82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110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622840571</v>
      </c>
      <c r="N10" s="8">
        <v>374654520</v>
      </c>
      <c r="O10" s="17">
        <v>58.420736499382507</v>
      </c>
      <c r="P10" s="8">
        <f>P12</f>
        <v>61866040</v>
      </c>
      <c r="Q10" s="17">
        <f>P10/M10*100</f>
        <v>9.932885377179451</v>
      </c>
      <c r="R10" s="8">
        <f>R12</f>
        <v>436520560</v>
      </c>
      <c r="S10" s="17">
        <f>R10/M10*100</f>
        <v>70.08544085353104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622840571</v>
      </c>
      <c r="N12" s="24">
        <v>374654520</v>
      </c>
      <c r="O12" s="24">
        <v>58.420736499382507</v>
      </c>
      <c r="P12" s="24">
        <f t="shared" ref="P12" si="0">P13+P14+P15</f>
        <v>61866040</v>
      </c>
      <c r="Q12" s="24">
        <f>P12/M12*100</f>
        <v>9.932885377179451</v>
      </c>
      <c r="R12" s="24">
        <f>P12+N12</f>
        <v>436520560</v>
      </c>
      <c r="S12" s="24">
        <f>R12/M12*100</f>
        <v>70.08544085353104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359659440</v>
      </c>
      <c r="N13" s="24">
        <v>263808720</v>
      </c>
      <c r="O13" s="24">
        <v>68.560495490438228</v>
      </c>
      <c r="P13" s="24">
        <f t="shared" ref="P13" si="1">P17</f>
        <v>59113440</v>
      </c>
      <c r="Q13" s="24">
        <f t="shared" ref="Q13:Q83" si="2">P13/M13*100</f>
        <v>16.435948407193205</v>
      </c>
      <c r="R13" s="24">
        <f t="shared" ref="R13:R83" si="3">P13+N13</f>
        <v>322922160</v>
      </c>
      <c r="S13" s="24">
        <f t="shared" ref="S13:S83" si="4">R13/M13*100</f>
        <v>89.785537118113737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227081131</v>
      </c>
      <c r="N14" s="24">
        <v>106245800</v>
      </c>
      <c r="O14" s="24">
        <v>43.808798886367235</v>
      </c>
      <c r="P14" s="24">
        <f>P21</f>
        <v>2752600</v>
      </c>
      <c r="Q14" s="24">
        <f t="shared" si="2"/>
        <v>1.2121658844477043</v>
      </c>
      <c r="R14" s="24">
        <f t="shared" si="3"/>
        <v>108998400</v>
      </c>
      <c r="S14" s="24">
        <f t="shared" si="4"/>
        <v>47.999760931259409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M73</f>
        <v>36100000</v>
      </c>
      <c r="N15" s="24">
        <v>4600000</v>
      </c>
      <c r="O15" s="24">
        <v>32.857142857142854</v>
      </c>
      <c r="P15" s="24">
        <f t="shared" ref="P15" si="5">P73</f>
        <v>0</v>
      </c>
      <c r="Q15" s="24">
        <f t="shared" si="2"/>
        <v>0</v>
      </c>
      <c r="R15" s="24">
        <f t="shared" si="3"/>
        <v>4600000</v>
      </c>
      <c r="S15" s="24">
        <f t="shared" si="4"/>
        <v>12.742382271468145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359659440</v>
      </c>
      <c r="N17" s="38">
        <v>263808720</v>
      </c>
      <c r="O17" s="38">
        <v>68.560495490438228</v>
      </c>
      <c r="P17" s="37">
        <f t="shared" ref="P17:P18" si="6">P18</f>
        <v>59113440</v>
      </c>
      <c r="Q17" s="38">
        <f t="shared" si="2"/>
        <v>16.435948407193205</v>
      </c>
      <c r="R17" s="38">
        <f t="shared" si="3"/>
        <v>322922160</v>
      </c>
      <c r="S17" s="38">
        <f t="shared" si="4"/>
        <v>89.785537118113737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359659440</v>
      </c>
      <c r="N18" s="24">
        <v>263808720</v>
      </c>
      <c r="O18" s="24">
        <v>68.560495490438228</v>
      </c>
      <c r="P18" s="41">
        <f t="shared" si="6"/>
        <v>59113440</v>
      </c>
      <c r="Q18" s="24">
        <f t="shared" si="2"/>
        <v>16.435948407193205</v>
      </c>
      <c r="R18" s="24">
        <f t="shared" si="3"/>
        <v>322922160</v>
      </c>
      <c r="S18" s="24">
        <f t="shared" si="4"/>
        <v>89.785537118113737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359659440</v>
      </c>
      <c r="N19" s="24">
        <v>263808720</v>
      </c>
      <c r="O19" s="24">
        <v>68.560495490438228</v>
      </c>
      <c r="P19" s="162">
        <v>59113440</v>
      </c>
      <c r="Q19" s="24">
        <f t="shared" si="2"/>
        <v>16.435948407193205</v>
      </c>
      <c r="R19" s="24">
        <f t="shared" si="3"/>
        <v>322922160</v>
      </c>
      <c r="S19" s="24">
        <f t="shared" si="4"/>
        <v>89.785537118113737</v>
      </c>
      <c r="T19" s="41">
        <f>11/12*100</f>
        <v>91.666666666666657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159"/>
      <c r="M21" s="54">
        <f>M22+M31+M34+M44+M48+M55+M58+M61+M66+M70+M39+M52</f>
        <v>227081131</v>
      </c>
      <c r="N21" s="38">
        <v>106245800</v>
      </c>
      <c r="O21" s="38">
        <v>43.808798886367235</v>
      </c>
      <c r="P21" s="163">
        <f>P22+P31+P34+P44+P52+P55+P58+P61+P66+P70+P39+P48</f>
        <v>2752600</v>
      </c>
      <c r="Q21" s="38">
        <f t="shared" si="2"/>
        <v>1.2121658844477043</v>
      </c>
      <c r="R21" s="38">
        <f t="shared" si="3"/>
        <v>108998400</v>
      </c>
      <c r="S21" s="38">
        <f t="shared" si="4"/>
        <v>47.999760931259409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88078110</v>
      </c>
      <c r="N22" s="24">
        <v>3381000</v>
      </c>
      <c r="O22" s="24">
        <v>3.4925972124301747</v>
      </c>
      <c r="P22" s="56">
        <f>SUM(P23:P29)</f>
        <v>0</v>
      </c>
      <c r="Q22" s="24">
        <f t="shared" si="2"/>
        <v>0</v>
      </c>
      <c r="R22" s="24">
        <f t="shared" si="3"/>
        <v>3381000</v>
      </c>
      <c r="S22" s="24">
        <f t="shared" si="4"/>
        <v>3.8386382269101822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1193500</v>
      </c>
      <c r="O25" s="24">
        <v>21.449238897974588</v>
      </c>
      <c r="P25" s="50"/>
      <c r="Q25" s="24">
        <f t="shared" si="2"/>
        <v>0</v>
      </c>
      <c r="R25" s="24">
        <f t="shared" si="3"/>
        <v>1193500</v>
      </c>
      <c r="S25" s="24">
        <f t="shared" si="4"/>
        <v>21.449238897974588</v>
      </c>
      <c r="T25" s="11">
        <f>10/15*100</f>
        <v>66.666666666666657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78068960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880000</v>
      </c>
      <c r="O31" s="24">
        <v>30.292598967297764</v>
      </c>
      <c r="P31" s="62">
        <f>P32</f>
        <v>112000</v>
      </c>
      <c r="Q31" s="24">
        <f t="shared" si="2"/>
        <v>3.8554216867469884</v>
      </c>
      <c r="R31" s="24">
        <f t="shared" si="3"/>
        <v>992000</v>
      </c>
      <c r="S31" s="24">
        <f t="shared" si="4"/>
        <v>34.14802065404475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880000</v>
      </c>
      <c r="O32" s="24">
        <v>30.292598967297764</v>
      </c>
      <c r="P32" s="50">
        <v>112000</v>
      </c>
      <c r="Q32" s="24">
        <f t="shared" si="2"/>
        <v>3.8554216867469884</v>
      </c>
      <c r="R32" s="24">
        <f t="shared" si="3"/>
        <v>992000</v>
      </c>
      <c r="S32" s="24">
        <f t="shared" si="4"/>
        <v>34.14802065404475</v>
      </c>
      <c r="T32" s="62">
        <f>24+8+8+8+8+8+8+8/104*100</f>
        <v>79.692307692307693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20471171</v>
      </c>
      <c r="N34" s="24">
        <v>10487800</v>
      </c>
      <c r="O34" s="24">
        <v>55.097452061991071</v>
      </c>
      <c r="P34" s="73">
        <f>SUM(P35:P37)</f>
        <v>1370600</v>
      </c>
      <c r="Q34" s="24">
        <f t="shared" si="2"/>
        <v>6.6952691665757662</v>
      </c>
      <c r="R34" s="24">
        <f t="shared" si="3"/>
        <v>11858400</v>
      </c>
      <c r="S34" s="24">
        <f t="shared" si="4"/>
        <v>57.927316419759279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7769900</v>
      </c>
      <c r="O35" s="24">
        <v>64.749166666666667</v>
      </c>
      <c r="P35" s="50">
        <v>867700</v>
      </c>
      <c r="Q35" s="24">
        <f t="shared" si="2"/>
        <v>7.2308333333333339</v>
      </c>
      <c r="R35" s="24">
        <f t="shared" si="3"/>
        <v>8637600</v>
      </c>
      <c r="S35" s="24">
        <f t="shared" si="4"/>
        <v>71.98</v>
      </c>
      <c r="T35" s="11">
        <f>11/12*100</f>
        <v>91.666666666666657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67900</v>
      </c>
      <c r="O36" s="24">
        <v>12.691588785046729</v>
      </c>
      <c r="P36" s="50">
        <v>2900</v>
      </c>
      <c r="Q36" s="24">
        <f t="shared" si="2"/>
        <v>0.54205607476635509</v>
      </c>
      <c r="R36" s="24">
        <f t="shared" si="3"/>
        <v>70800</v>
      </c>
      <c r="S36" s="24">
        <f t="shared" si="4"/>
        <v>13.233644859813085</v>
      </c>
      <c r="T36" s="11">
        <f>11/12*100</f>
        <v>91.666666666666657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7936171</v>
      </c>
      <c r="N37" s="24">
        <v>2650000</v>
      </c>
      <c r="O37" s="24">
        <v>40.769230769230766</v>
      </c>
      <c r="P37" s="50">
        <v>500000</v>
      </c>
      <c r="Q37" s="24">
        <f t="shared" si="2"/>
        <v>6.3002674715552374</v>
      </c>
      <c r="R37" s="24">
        <f t="shared" si="3"/>
        <v>3150000</v>
      </c>
      <c r="S37" s="24">
        <f t="shared" si="4"/>
        <v>39.691685070797995</v>
      </c>
      <c r="T37" s="11">
        <f>3/3*100</f>
        <v>100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/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/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/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48522000</v>
      </c>
      <c r="O44" s="24">
        <v>97.961408591459005</v>
      </c>
      <c r="P44" s="73">
        <f>SUM(P45:P46)</f>
        <v>120000</v>
      </c>
      <c r="Q44" s="24">
        <f t="shared" si="2"/>
        <v>0.24226884775926552</v>
      </c>
      <c r="R44" s="24">
        <f t="shared" si="3"/>
        <v>48642000</v>
      </c>
      <c r="S44" s="24">
        <f t="shared" si="4"/>
        <v>98.203677439218282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1022000</v>
      </c>
      <c r="O46" s="24">
        <v>70.886075949367083</v>
      </c>
      <c r="P46" s="50">
        <v>120000</v>
      </c>
      <c r="Q46" s="24">
        <f t="shared" si="2"/>
        <v>8.323218311080284</v>
      </c>
      <c r="R46" s="24">
        <f t="shared" si="3"/>
        <v>1142000</v>
      </c>
      <c r="S46" s="24">
        <f t="shared" si="4"/>
        <v>79.209294260447365</v>
      </c>
      <c r="T46" s="11">
        <f>(1320+400+448+480+480+480+480+480+480)/5757*100</f>
        <v>87.684557929477165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SUM(M49:M50)</f>
        <v>10225000</v>
      </c>
      <c r="N48" s="24">
        <v>6150000</v>
      </c>
      <c r="O48" s="24">
        <v>67.768595041322314</v>
      </c>
      <c r="P48" s="161">
        <f>SUM(P49:P50)</f>
        <v>1150000</v>
      </c>
      <c r="Q48" s="24">
        <f t="shared" si="2"/>
        <v>11.246943765281173</v>
      </c>
      <c r="R48" s="24">
        <f t="shared" si="3"/>
        <v>7300000</v>
      </c>
      <c r="S48" s="24">
        <f t="shared" si="4"/>
        <v>71.393643031784833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6150000</v>
      </c>
      <c r="O49" s="24">
        <v>67.768595041322314</v>
      </c>
      <c r="P49" s="50"/>
      <c r="Q49" s="24">
        <f t="shared" si="2"/>
        <v>0</v>
      </c>
      <c r="R49" s="24">
        <f t="shared" si="3"/>
        <v>6150000</v>
      </c>
      <c r="S49" s="24">
        <f t="shared" si="4"/>
        <v>67.768595041322314</v>
      </c>
      <c r="T49" s="57">
        <f>9/11*100</f>
        <v>81.818181818181827</v>
      </c>
      <c r="U49" s="57"/>
      <c r="V49" s="57"/>
    </row>
    <row r="50" spans="1:22" x14ac:dyDescent="0.25">
      <c r="A50" s="42">
        <v>1</v>
      </c>
      <c r="B50" s="43" t="s">
        <v>16</v>
      </c>
      <c r="C50" s="43" t="s">
        <v>17</v>
      </c>
      <c r="D50" s="20">
        <v>38</v>
      </c>
      <c r="E50" s="15" t="s">
        <v>23</v>
      </c>
      <c r="F50" s="85" t="s">
        <v>27</v>
      </c>
      <c r="G50" s="85" t="s">
        <v>28</v>
      </c>
      <c r="H50" s="85" t="s">
        <v>28</v>
      </c>
      <c r="I50" s="85" t="s">
        <v>56</v>
      </c>
      <c r="J50" s="86" t="s">
        <v>16</v>
      </c>
      <c r="K50" s="154" t="s">
        <v>111</v>
      </c>
      <c r="L50" s="155"/>
      <c r="M50" s="155">
        <v>1150000</v>
      </c>
      <c r="N50" s="24"/>
      <c r="O50" s="24"/>
      <c r="P50" s="155">
        <v>1150000</v>
      </c>
      <c r="Q50" s="24"/>
      <c r="R50" s="24">
        <f t="shared" ref="R50" si="7">P50+N50</f>
        <v>1150000</v>
      </c>
      <c r="S50" s="24">
        <f t="shared" ref="S50" si="8">R50/M50*100</f>
        <v>100</v>
      </c>
      <c r="T50" s="57">
        <v>100</v>
      </c>
      <c r="U50" s="57"/>
      <c r="V50" s="57"/>
    </row>
    <row r="51" spans="1:22" x14ac:dyDescent="0.25">
      <c r="A51" s="42"/>
      <c r="B51" s="43"/>
      <c r="C51" s="43"/>
      <c r="D51" s="44"/>
      <c r="E51" s="44"/>
      <c r="F51" s="44"/>
      <c r="G51" s="44"/>
      <c r="H51" s="44"/>
      <c r="I51" s="43"/>
      <c r="J51" s="39"/>
      <c r="K51" s="45"/>
      <c r="L51" s="88"/>
      <c r="M51" s="76"/>
      <c r="N51" s="24"/>
      <c r="O51" s="24"/>
      <c r="P51" s="50"/>
      <c r="Q51" s="24"/>
      <c r="R51" s="24"/>
      <c r="S51" s="24"/>
      <c r="T51" s="57"/>
      <c r="U51" s="57"/>
      <c r="V51" s="57"/>
    </row>
    <row r="52" spans="1:22" x14ac:dyDescent="0.25">
      <c r="A52" s="12">
        <v>1</v>
      </c>
      <c r="B52" s="13" t="s">
        <v>16</v>
      </c>
      <c r="C52" s="13" t="s">
        <v>17</v>
      </c>
      <c r="D52" s="20">
        <v>38</v>
      </c>
      <c r="E52" s="15" t="s">
        <v>23</v>
      </c>
      <c r="F52" s="82" t="s">
        <v>27</v>
      </c>
      <c r="G52" s="82" t="s">
        <v>28</v>
      </c>
      <c r="H52" s="82" t="s">
        <v>28</v>
      </c>
      <c r="I52" s="82" t="s">
        <v>115</v>
      </c>
      <c r="J52" s="83"/>
      <c r="K52" s="160" t="s">
        <v>116</v>
      </c>
      <c r="L52" s="161"/>
      <c r="M52" s="161">
        <f>SUM(M53:M53)</f>
        <v>2300000</v>
      </c>
      <c r="N52" s="24"/>
      <c r="O52" s="24"/>
      <c r="P52" s="73">
        <f>P53</f>
        <v>0</v>
      </c>
      <c r="Q52" s="24"/>
      <c r="R52" s="24"/>
      <c r="S52" s="24"/>
      <c r="T52" s="57"/>
      <c r="U52" s="57"/>
      <c r="V52" s="57"/>
    </row>
    <row r="53" spans="1:22" x14ac:dyDescent="0.25">
      <c r="A53" s="42">
        <v>1</v>
      </c>
      <c r="B53" s="43" t="s">
        <v>16</v>
      </c>
      <c r="C53" s="43" t="s">
        <v>17</v>
      </c>
      <c r="D53" s="20">
        <v>38</v>
      </c>
      <c r="E53" s="15" t="s">
        <v>23</v>
      </c>
      <c r="F53" s="85" t="s">
        <v>27</v>
      </c>
      <c r="G53" s="85" t="s">
        <v>28</v>
      </c>
      <c r="H53" s="85" t="s">
        <v>28</v>
      </c>
      <c r="I53" s="85" t="s">
        <v>115</v>
      </c>
      <c r="J53" s="94" t="s">
        <v>38</v>
      </c>
      <c r="K53" s="87" t="s">
        <v>117</v>
      </c>
      <c r="L53" s="155"/>
      <c r="M53" s="155">
        <v>2300000</v>
      </c>
      <c r="N53" s="24"/>
      <c r="O53" s="24"/>
      <c r="P53" s="50"/>
      <c r="Q53" s="24"/>
      <c r="R53" s="24"/>
      <c r="S53" s="24"/>
      <c r="T53" s="57"/>
      <c r="U53" s="57"/>
      <c r="V53" s="57"/>
    </row>
    <row r="54" spans="1:22" x14ac:dyDescent="0.25">
      <c r="A54" s="42"/>
      <c r="B54" s="43"/>
      <c r="C54" s="43"/>
      <c r="D54" s="44"/>
      <c r="E54" s="44"/>
      <c r="F54" s="44"/>
      <c r="G54" s="44"/>
      <c r="H54" s="44"/>
      <c r="I54" s="43"/>
      <c r="J54" s="39"/>
      <c r="K54" s="45"/>
      <c r="L54" s="88"/>
      <c r="M54" s="76"/>
      <c r="N54" s="24"/>
      <c r="O54" s="24"/>
      <c r="P54" s="50"/>
      <c r="Q54" s="24"/>
      <c r="R54" s="24"/>
      <c r="S54" s="24"/>
      <c r="T54" s="57"/>
      <c r="U54" s="57"/>
      <c r="V54" s="57"/>
    </row>
    <row r="55" spans="1:22" x14ac:dyDescent="0.25">
      <c r="A55" s="12">
        <v>1</v>
      </c>
      <c r="B55" s="13" t="s">
        <v>16</v>
      </c>
      <c r="C55" s="13" t="s">
        <v>17</v>
      </c>
      <c r="D55" s="20">
        <v>38</v>
      </c>
      <c r="E55" s="15" t="s">
        <v>23</v>
      </c>
      <c r="F55" s="14">
        <v>5</v>
      </c>
      <c r="G55" s="14">
        <v>2</v>
      </c>
      <c r="H55" s="14">
        <v>2</v>
      </c>
      <c r="I55" s="13">
        <v>15</v>
      </c>
      <c r="J55" s="55"/>
      <c r="K55" s="40" t="s">
        <v>59</v>
      </c>
      <c r="L55" s="91"/>
      <c r="M55" s="73">
        <f>M56</f>
        <v>7500000</v>
      </c>
      <c r="N55" s="24">
        <v>4500000</v>
      </c>
      <c r="O55" s="24"/>
      <c r="P55" s="65">
        <f>P56</f>
        <v>0</v>
      </c>
      <c r="Q55" s="24"/>
      <c r="R55" s="24">
        <f t="shared" si="3"/>
        <v>4500000</v>
      </c>
      <c r="S55" s="24">
        <f t="shared" ref="S55:S56" si="9">R55/M55*100</f>
        <v>60</v>
      </c>
      <c r="T55" s="73"/>
      <c r="U55" s="57"/>
      <c r="V55" s="57"/>
    </row>
    <row r="56" spans="1:22" x14ac:dyDescent="0.25">
      <c r="A56" s="42">
        <v>1</v>
      </c>
      <c r="B56" s="43" t="s">
        <v>16</v>
      </c>
      <c r="C56" s="43" t="s">
        <v>17</v>
      </c>
      <c r="D56" s="20">
        <v>38</v>
      </c>
      <c r="E56" s="15" t="s">
        <v>23</v>
      </c>
      <c r="F56" s="44">
        <v>5</v>
      </c>
      <c r="G56" s="44">
        <v>2</v>
      </c>
      <c r="H56" s="44">
        <v>2</v>
      </c>
      <c r="I56" s="43">
        <v>15</v>
      </c>
      <c r="J56" s="39" t="s">
        <v>16</v>
      </c>
      <c r="K56" s="45" t="s">
        <v>85</v>
      </c>
      <c r="L56" s="75"/>
      <c r="M56" s="76">
        <v>7500000</v>
      </c>
      <c r="N56" s="24">
        <v>4500000</v>
      </c>
      <c r="O56" s="24"/>
      <c r="P56" s="50"/>
      <c r="Q56" s="24"/>
      <c r="R56" s="24">
        <f t="shared" si="3"/>
        <v>4500000</v>
      </c>
      <c r="S56" s="24">
        <f t="shared" si="9"/>
        <v>60</v>
      </c>
      <c r="T56" s="57">
        <v>100</v>
      </c>
      <c r="U56" s="57"/>
      <c r="V56" s="57"/>
    </row>
    <row r="57" spans="1:22" x14ac:dyDescent="0.25">
      <c r="A57" s="42"/>
      <c r="B57" s="43"/>
      <c r="C57" s="43"/>
      <c r="D57" s="44"/>
      <c r="E57" s="44"/>
      <c r="F57" s="44"/>
      <c r="G57" s="44"/>
      <c r="H57" s="44"/>
      <c r="I57" s="43"/>
      <c r="J57" s="39"/>
      <c r="K57" s="92"/>
      <c r="L57" s="75"/>
      <c r="M57" s="76"/>
      <c r="N57" s="24"/>
      <c r="O57" s="24"/>
      <c r="P57" s="50"/>
      <c r="Q57" s="24"/>
      <c r="R57" s="24"/>
      <c r="S57" s="24"/>
      <c r="T57" s="57"/>
      <c r="U57" s="57"/>
      <c r="V57" s="57"/>
    </row>
    <row r="58" spans="1:22" ht="30" x14ac:dyDescent="0.25">
      <c r="A58" s="12">
        <v>1</v>
      </c>
      <c r="B58" s="13" t="s">
        <v>16</v>
      </c>
      <c r="C58" s="13" t="s">
        <v>17</v>
      </c>
      <c r="D58" s="20">
        <v>38</v>
      </c>
      <c r="E58" s="15" t="s">
        <v>23</v>
      </c>
      <c r="F58" s="14">
        <v>5</v>
      </c>
      <c r="G58" s="14">
        <v>2</v>
      </c>
      <c r="H58" s="14">
        <v>2</v>
      </c>
      <c r="I58" s="93">
        <v>17</v>
      </c>
      <c r="J58" s="94"/>
      <c r="K58" s="95" t="s">
        <v>60</v>
      </c>
      <c r="L58" s="75"/>
      <c r="M58" s="73">
        <f>M59</f>
        <v>15000000</v>
      </c>
      <c r="N58" s="24">
        <v>13000000</v>
      </c>
      <c r="O58" s="24">
        <v>86.666666666666671</v>
      </c>
      <c r="P58" s="73">
        <f>P59</f>
        <v>0</v>
      </c>
      <c r="Q58" s="24">
        <f t="shared" si="2"/>
        <v>0</v>
      </c>
      <c r="R58" s="24">
        <f t="shared" si="3"/>
        <v>13000000</v>
      </c>
      <c r="S58" s="24">
        <f t="shared" si="4"/>
        <v>86.666666666666671</v>
      </c>
      <c r="T58" s="73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17</v>
      </c>
      <c r="J59" s="94" t="s">
        <v>17</v>
      </c>
      <c r="K59" s="97" t="s">
        <v>61</v>
      </c>
      <c r="L59" s="90"/>
      <c r="M59" s="76">
        <v>15000000</v>
      </c>
      <c r="N59" s="24">
        <v>13000000</v>
      </c>
      <c r="O59" s="24">
        <v>86.666666666666671</v>
      </c>
      <c r="P59" s="50"/>
      <c r="Q59" s="24">
        <f t="shared" si="2"/>
        <v>0</v>
      </c>
      <c r="R59" s="24">
        <f t="shared" si="3"/>
        <v>13000000</v>
      </c>
      <c r="S59" s="24">
        <f t="shared" si="4"/>
        <v>86.666666666666671</v>
      </c>
      <c r="T59" s="57">
        <v>100</v>
      </c>
      <c r="U59" s="57"/>
      <c r="V59" s="57"/>
    </row>
    <row r="60" spans="1:22" x14ac:dyDescent="0.25">
      <c r="A60" s="42"/>
      <c r="B60" s="43"/>
      <c r="C60" s="43"/>
      <c r="D60" s="44"/>
      <c r="E60" s="44"/>
      <c r="F60" s="44"/>
      <c r="G60" s="44"/>
      <c r="H60" s="44"/>
      <c r="I60" s="43"/>
      <c r="J60" s="39"/>
      <c r="K60" s="92"/>
      <c r="L60" s="81"/>
      <c r="M60" s="73"/>
      <c r="N60" s="24"/>
      <c r="O60" s="24"/>
      <c r="P60" s="65"/>
      <c r="Q60" s="24"/>
      <c r="R60" s="24"/>
      <c r="S60" s="24"/>
      <c r="T60" s="89"/>
      <c r="U60" s="57"/>
      <c r="V60" s="57"/>
    </row>
    <row r="61" spans="1:22" x14ac:dyDescent="0.25">
      <c r="A61" s="12">
        <v>1</v>
      </c>
      <c r="B61" s="13" t="s">
        <v>16</v>
      </c>
      <c r="C61" s="13" t="s">
        <v>17</v>
      </c>
      <c r="D61" s="20">
        <v>38</v>
      </c>
      <c r="E61" s="15" t="s">
        <v>23</v>
      </c>
      <c r="F61" s="14">
        <v>5</v>
      </c>
      <c r="G61" s="14">
        <v>2</v>
      </c>
      <c r="H61" s="14">
        <v>2</v>
      </c>
      <c r="I61" s="93">
        <v>20</v>
      </c>
      <c r="J61" s="94"/>
      <c r="K61" s="95" t="s">
        <v>62</v>
      </c>
      <c r="L61" s="98"/>
      <c r="M61" s="73">
        <f>SUM(M62:M64)</f>
        <v>19500000</v>
      </c>
      <c r="N61" s="24">
        <v>13255000</v>
      </c>
      <c r="O61" s="24">
        <v>56.645299145299141</v>
      </c>
      <c r="P61" s="73">
        <f>SUM(P62:P64)</f>
        <v>0</v>
      </c>
      <c r="Q61" s="24">
        <f t="shared" si="2"/>
        <v>0</v>
      </c>
      <c r="R61" s="24">
        <f t="shared" si="3"/>
        <v>13255000</v>
      </c>
      <c r="S61" s="24">
        <f t="shared" si="4"/>
        <v>67.974358974358978</v>
      </c>
      <c r="T61" s="73"/>
      <c r="U61" s="99"/>
      <c r="V61" s="100"/>
    </row>
    <row r="62" spans="1:22" x14ac:dyDescent="0.25">
      <c r="A62" s="42">
        <v>1</v>
      </c>
      <c r="B62" s="43" t="s">
        <v>16</v>
      </c>
      <c r="C62" s="43" t="s">
        <v>17</v>
      </c>
      <c r="D62" s="20">
        <v>38</v>
      </c>
      <c r="E62" s="15" t="s">
        <v>23</v>
      </c>
      <c r="F62" s="44">
        <v>5</v>
      </c>
      <c r="G62" s="44">
        <v>2</v>
      </c>
      <c r="H62" s="44">
        <v>2</v>
      </c>
      <c r="I62" s="96">
        <v>20</v>
      </c>
      <c r="J62" s="94" t="s">
        <v>23</v>
      </c>
      <c r="K62" s="97" t="s">
        <v>63</v>
      </c>
      <c r="L62" s="81"/>
      <c r="M62" s="76">
        <v>1500000</v>
      </c>
      <c r="N62" s="33">
        <v>0</v>
      </c>
      <c r="O62" s="33">
        <v>0</v>
      </c>
      <c r="P62" s="50"/>
      <c r="Q62" s="33">
        <f t="shared" si="2"/>
        <v>0</v>
      </c>
      <c r="R62" s="33">
        <f t="shared" si="3"/>
        <v>0</v>
      </c>
      <c r="S62" s="33">
        <f t="shared" si="4"/>
        <v>0</v>
      </c>
      <c r="T62" s="57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44">
        <v>5</v>
      </c>
      <c r="G63" s="44">
        <v>2</v>
      </c>
      <c r="H63" s="44">
        <v>2</v>
      </c>
      <c r="I63" s="96">
        <v>20</v>
      </c>
      <c r="J63" s="94" t="s">
        <v>38</v>
      </c>
      <c r="K63" s="97" t="s">
        <v>64</v>
      </c>
      <c r="L63" s="101"/>
      <c r="M63" s="76">
        <v>15400000</v>
      </c>
      <c r="N63" s="33">
        <v>13255000</v>
      </c>
      <c r="O63" s="33">
        <v>86.071428571428584</v>
      </c>
      <c r="P63" s="50"/>
      <c r="Q63" s="33">
        <f t="shared" si="2"/>
        <v>0</v>
      </c>
      <c r="R63" s="33">
        <f t="shared" si="3"/>
        <v>13255000</v>
      </c>
      <c r="S63" s="33">
        <f t="shared" si="4"/>
        <v>86.071428571428584</v>
      </c>
      <c r="T63" s="57">
        <v>100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44">
        <v>5</v>
      </c>
      <c r="G64" s="44">
        <v>2</v>
      </c>
      <c r="H64" s="44">
        <v>2</v>
      </c>
      <c r="I64" s="96">
        <v>20</v>
      </c>
      <c r="J64" s="94" t="s">
        <v>65</v>
      </c>
      <c r="K64" s="97" t="s">
        <v>66</v>
      </c>
      <c r="L64" s="101"/>
      <c r="M64" s="76">
        <v>2600000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89"/>
      <c r="U64" s="100"/>
      <c r="V64" s="100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101"/>
      <c r="M65" s="76"/>
      <c r="N65" s="33"/>
      <c r="O65" s="33"/>
      <c r="P65" s="50"/>
      <c r="Q65" s="33"/>
      <c r="R65" s="33"/>
      <c r="S65" s="33"/>
      <c r="T65" s="57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67</v>
      </c>
      <c r="J66" s="94"/>
      <c r="K66" s="103" t="s">
        <v>68</v>
      </c>
      <c r="L66" s="81"/>
      <c r="M66" s="73">
        <f>SUM(M67:M68)</f>
        <v>11000000</v>
      </c>
      <c r="N66" s="24">
        <v>5500000</v>
      </c>
      <c r="O66" s="24">
        <v>42.307692307692307</v>
      </c>
      <c r="P66" s="73">
        <f>SUM(P67:P68)</f>
        <v>0</v>
      </c>
      <c r="Q66" s="24">
        <f t="shared" si="2"/>
        <v>0</v>
      </c>
      <c r="R66" s="24">
        <f t="shared" si="3"/>
        <v>5500000</v>
      </c>
      <c r="S66" s="24">
        <f t="shared" si="4"/>
        <v>50</v>
      </c>
      <c r="T66" s="73"/>
      <c r="U66" s="57"/>
      <c r="V66" s="5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67</v>
      </c>
      <c r="J67" s="94" t="s">
        <v>16</v>
      </c>
      <c r="K67" s="104" t="s">
        <v>69</v>
      </c>
      <c r="L67" s="81"/>
      <c r="M67" s="76">
        <v>1000000</v>
      </c>
      <c r="N67" s="33">
        <v>500000</v>
      </c>
      <c r="O67" s="33">
        <v>16.666666666666664</v>
      </c>
      <c r="P67" s="50"/>
      <c r="Q67" s="33">
        <f t="shared" si="2"/>
        <v>0</v>
      </c>
      <c r="R67" s="33">
        <f t="shared" si="3"/>
        <v>500000</v>
      </c>
      <c r="S67" s="33">
        <f t="shared" si="4"/>
        <v>50</v>
      </c>
      <c r="T67" s="57">
        <f>2/12*100</f>
        <v>16.666666666666664</v>
      </c>
      <c r="U67" s="57"/>
      <c r="V67" s="57"/>
    </row>
    <row r="68" spans="1:22" x14ac:dyDescent="0.25">
      <c r="A68" s="42">
        <v>1</v>
      </c>
      <c r="B68" s="43" t="s">
        <v>16</v>
      </c>
      <c r="C68" s="43" t="s">
        <v>17</v>
      </c>
      <c r="D68" s="20">
        <v>38</v>
      </c>
      <c r="E68" s="15" t="s">
        <v>23</v>
      </c>
      <c r="F68" s="85" t="s">
        <v>27</v>
      </c>
      <c r="G68" s="85" t="s">
        <v>28</v>
      </c>
      <c r="H68" s="85" t="s">
        <v>28</v>
      </c>
      <c r="I68" s="85" t="s">
        <v>67</v>
      </c>
      <c r="J68" s="94" t="s">
        <v>23</v>
      </c>
      <c r="K68" s="104" t="s">
        <v>70</v>
      </c>
      <c r="L68" s="81"/>
      <c r="M68" s="76">
        <v>10000000</v>
      </c>
      <c r="N68" s="33">
        <v>5000000</v>
      </c>
      <c r="O68" s="33">
        <v>50</v>
      </c>
      <c r="P68" s="50"/>
      <c r="Q68" s="33">
        <f t="shared" si="2"/>
        <v>0</v>
      </c>
      <c r="R68" s="33">
        <f t="shared" si="3"/>
        <v>5000000</v>
      </c>
      <c r="S68" s="33">
        <f t="shared" si="4"/>
        <v>50</v>
      </c>
      <c r="T68" s="57">
        <f>1/2*100</f>
        <v>50</v>
      </c>
      <c r="U68" s="57"/>
      <c r="V68" s="57"/>
    </row>
    <row r="69" spans="1:22" x14ac:dyDescent="0.25">
      <c r="A69" s="42"/>
      <c r="B69" s="43"/>
      <c r="C69" s="43"/>
      <c r="D69" s="44"/>
      <c r="E69" s="44"/>
      <c r="F69" s="44"/>
      <c r="G69" s="44"/>
      <c r="H69" s="44"/>
      <c r="I69" s="96"/>
      <c r="J69" s="94"/>
      <c r="K69" s="102"/>
      <c r="L69" s="81"/>
      <c r="M69" s="76"/>
      <c r="N69" s="24"/>
      <c r="O69" s="24"/>
      <c r="P69" s="50"/>
      <c r="Q69" s="24"/>
      <c r="R69" s="24"/>
      <c r="S69" s="24"/>
      <c r="T69" s="66"/>
      <c r="U69" s="57"/>
      <c r="V69" s="57"/>
    </row>
    <row r="70" spans="1:22" ht="30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82" t="s">
        <v>27</v>
      </c>
      <c r="G70" s="82" t="s">
        <v>28</v>
      </c>
      <c r="H70" s="82" t="s">
        <v>28</v>
      </c>
      <c r="I70" s="82" t="s">
        <v>86</v>
      </c>
      <c r="J70" s="94"/>
      <c r="K70" s="103" t="s">
        <v>87</v>
      </c>
      <c r="L70" s="105"/>
      <c r="M70" s="106">
        <f>M71</f>
        <v>570100</v>
      </c>
      <c r="N70" s="24">
        <v>570000</v>
      </c>
      <c r="O70" s="24">
        <v>99.982459217681111</v>
      </c>
      <c r="P70" s="106">
        <f>P71</f>
        <v>0</v>
      </c>
      <c r="Q70" s="24">
        <f t="shared" si="2"/>
        <v>0</v>
      </c>
      <c r="R70" s="24">
        <f t="shared" si="3"/>
        <v>570000</v>
      </c>
      <c r="S70" s="24">
        <f t="shared" si="4"/>
        <v>99.982459217681111</v>
      </c>
      <c r="T70" s="106"/>
      <c r="U70" s="107"/>
      <c r="V70" s="107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85" t="s">
        <v>27</v>
      </c>
      <c r="G71" s="85" t="s">
        <v>28</v>
      </c>
      <c r="H71" s="85" t="s">
        <v>28</v>
      </c>
      <c r="I71" s="85" t="s">
        <v>86</v>
      </c>
      <c r="J71" s="94" t="s">
        <v>17</v>
      </c>
      <c r="K71" s="104" t="s">
        <v>88</v>
      </c>
      <c r="L71" s="108"/>
      <c r="M71" s="66">
        <v>570100</v>
      </c>
      <c r="N71" s="33">
        <v>570000</v>
      </c>
      <c r="O71" s="33">
        <v>99.982459217681111</v>
      </c>
      <c r="P71" s="109"/>
      <c r="Q71" s="33">
        <f t="shared" si="2"/>
        <v>0</v>
      </c>
      <c r="R71" s="33">
        <f t="shared" si="3"/>
        <v>570000</v>
      </c>
      <c r="S71" s="33">
        <f t="shared" si="4"/>
        <v>99.982459217681111</v>
      </c>
      <c r="T71" s="8">
        <v>100</v>
      </c>
      <c r="U71" s="8"/>
      <c r="V71" s="8"/>
    </row>
    <row r="72" spans="1:22" x14ac:dyDescent="0.25">
      <c r="A72" s="42"/>
      <c r="B72" s="43"/>
      <c r="C72" s="43"/>
      <c r="D72" s="44"/>
      <c r="E72" s="44"/>
      <c r="F72" s="44"/>
      <c r="G72" s="44"/>
      <c r="H72" s="44"/>
      <c r="I72" s="96"/>
      <c r="J72" s="94"/>
      <c r="K72" s="102"/>
      <c r="L72" s="57"/>
      <c r="M72" s="57"/>
      <c r="N72" s="24"/>
      <c r="O72" s="24"/>
      <c r="P72" s="57"/>
      <c r="Q72" s="24"/>
      <c r="R72" s="24"/>
      <c r="S72" s="24"/>
      <c r="T72" s="57"/>
      <c r="U72" s="57"/>
      <c r="V72" s="57"/>
    </row>
    <row r="73" spans="1:22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/>
      <c r="J73" s="55"/>
      <c r="K73" s="110" t="s">
        <v>71</v>
      </c>
      <c r="L73" s="111"/>
      <c r="M73" s="112">
        <f>M74+M77+M80</f>
        <v>36100000</v>
      </c>
      <c r="N73" s="38">
        <v>4600000</v>
      </c>
      <c r="O73" s="38">
        <v>32.857142857142854</v>
      </c>
      <c r="P73" s="112">
        <f>P74+P77+P80</f>
        <v>0</v>
      </c>
      <c r="Q73" s="38">
        <f t="shared" si="2"/>
        <v>0</v>
      </c>
      <c r="R73" s="38">
        <f t="shared" si="3"/>
        <v>4600000</v>
      </c>
      <c r="S73" s="38">
        <f t="shared" si="4"/>
        <v>12.742382271468145</v>
      </c>
      <c r="T73" s="112"/>
      <c r="U73" s="89"/>
      <c r="V73" s="89"/>
    </row>
    <row r="74" spans="1:22" x14ac:dyDescent="0.25">
      <c r="A74" s="12">
        <v>1</v>
      </c>
      <c r="B74" s="13" t="s">
        <v>16</v>
      </c>
      <c r="C74" s="13" t="s">
        <v>17</v>
      </c>
      <c r="D74" s="20">
        <v>38</v>
      </c>
      <c r="E74" s="15" t="s">
        <v>23</v>
      </c>
      <c r="F74" s="14">
        <v>5</v>
      </c>
      <c r="G74" s="14">
        <v>2</v>
      </c>
      <c r="H74" s="14">
        <v>3</v>
      </c>
      <c r="I74" s="13">
        <v>16</v>
      </c>
      <c r="J74" s="55"/>
      <c r="K74" s="40" t="s">
        <v>89</v>
      </c>
      <c r="L74" s="57"/>
      <c r="M74" s="89">
        <f>SUM(M75:M75)</f>
        <v>4600000</v>
      </c>
      <c r="N74" s="24">
        <v>4600000</v>
      </c>
      <c r="O74" s="24">
        <v>100</v>
      </c>
      <c r="P74" s="89">
        <f>P75</f>
        <v>0</v>
      </c>
      <c r="Q74" s="24">
        <f t="shared" si="2"/>
        <v>0</v>
      </c>
      <c r="R74" s="24">
        <f t="shared" si="3"/>
        <v>4600000</v>
      </c>
      <c r="S74" s="24">
        <f t="shared" si="4"/>
        <v>100</v>
      </c>
      <c r="T74" s="89"/>
      <c r="U74" s="89"/>
      <c r="V74" s="89"/>
    </row>
    <row r="75" spans="1:22" x14ac:dyDescent="0.25">
      <c r="A75" s="42">
        <v>1</v>
      </c>
      <c r="B75" s="43" t="s">
        <v>16</v>
      </c>
      <c r="C75" s="43" t="s">
        <v>17</v>
      </c>
      <c r="D75" s="20">
        <v>38</v>
      </c>
      <c r="E75" s="15" t="s">
        <v>23</v>
      </c>
      <c r="F75" s="44">
        <v>5</v>
      </c>
      <c r="G75" s="44">
        <v>2</v>
      </c>
      <c r="H75" s="44">
        <v>3</v>
      </c>
      <c r="I75" s="43">
        <v>16</v>
      </c>
      <c r="J75" s="39" t="s">
        <v>40</v>
      </c>
      <c r="K75" s="45" t="s">
        <v>90</v>
      </c>
      <c r="L75" s="57"/>
      <c r="M75" s="57">
        <v>4600000</v>
      </c>
      <c r="N75" s="33">
        <v>4600000</v>
      </c>
      <c r="O75" s="33">
        <v>100</v>
      </c>
      <c r="P75" s="57"/>
      <c r="Q75" s="33">
        <f t="shared" si="2"/>
        <v>0</v>
      </c>
      <c r="R75" s="33">
        <f t="shared" si="3"/>
        <v>4600000</v>
      </c>
      <c r="S75" s="33">
        <f t="shared" si="4"/>
        <v>100</v>
      </c>
      <c r="T75" s="113">
        <v>100</v>
      </c>
      <c r="U75" s="113"/>
      <c r="V75" s="57"/>
    </row>
    <row r="76" spans="1:22" x14ac:dyDescent="0.25">
      <c r="A76" s="42"/>
      <c r="B76" s="43"/>
      <c r="C76" s="43"/>
      <c r="D76" s="20"/>
      <c r="E76" s="15"/>
      <c r="F76" s="44"/>
      <c r="G76" s="44"/>
      <c r="H76" s="44"/>
      <c r="I76" s="43"/>
      <c r="J76" s="39"/>
      <c r="K76" s="45"/>
      <c r="L76" s="57"/>
      <c r="M76" s="57"/>
      <c r="N76" s="33"/>
      <c r="O76" s="33"/>
      <c r="P76" s="57"/>
      <c r="Q76" s="33"/>
      <c r="R76" s="33"/>
      <c r="S76" s="33"/>
      <c r="T76" s="113"/>
      <c r="U76" s="113"/>
      <c r="V76" s="57"/>
    </row>
    <row r="77" spans="1:22" ht="30" x14ac:dyDescent="0.25">
      <c r="A77" s="12">
        <v>1</v>
      </c>
      <c r="B77" s="13" t="s">
        <v>16</v>
      </c>
      <c r="C77" s="13" t="s">
        <v>17</v>
      </c>
      <c r="D77" s="20">
        <v>38</v>
      </c>
      <c r="E77" s="15" t="s">
        <v>23</v>
      </c>
      <c r="F77" s="14">
        <v>5</v>
      </c>
      <c r="G77" s="14">
        <v>2</v>
      </c>
      <c r="H77" s="14">
        <v>3</v>
      </c>
      <c r="I77" s="13">
        <v>23</v>
      </c>
      <c r="J77" s="55"/>
      <c r="K77" s="117" t="s">
        <v>72</v>
      </c>
      <c r="L77" s="57"/>
      <c r="M77" s="89">
        <f>M78</f>
        <v>3000000</v>
      </c>
      <c r="N77" s="33"/>
      <c r="O77" s="33"/>
      <c r="P77" s="89">
        <f>P78</f>
        <v>0</v>
      </c>
      <c r="Q77" s="33"/>
      <c r="R77" s="33"/>
      <c r="S77" s="33"/>
      <c r="T77" s="115"/>
      <c r="U77" s="115"/>
      <c r="V77" s="57"/>
    </row>
    <row r="78" spans="1:22" x14ac:dyDescent="0.25">
      <c r="A78" s="42">
        <v>1</v>
      </c>
      <c r="B78" s="43" t="s">
        <v>16</v>
      </c>
      <c r="C78" s="43" t="s">
        <v>17</v>
      </c>
      <c r="D78" s="20">
        <v>38</v>
      </c>
      <c r="E78" s="15" t="s">
        <v>23</v>
      </c>
      <c r="F78" s="44">
        <v>5</v>
      </c>
      <c r="G78" s="44">
        <v>2</v>
      </c>
      <c r="H78" s="44">
        <v>3</v>
      </c>
      <c r="I78" s="43">
        <v>23</v>
      </c>
      <c r="J78" s="39" t="s">
        <v>17</v>
      </c>
      <c r="K78" s="114" t="s">
        <v>91</v>
      </c>
      <c r="L78" s="57"/>
      <c r="M78" s="57">
        <v>3000000</v>
      </c>
      <c r="N78" s="33"/>
      <c r="O78" s="33"/>
      <c r="P78" s="89"/>
      <c r="Q78" s="33"/>
      <c r="R78" s="33"/>
      <c r="S78" s="33"/>
      <c r="T78" s="115"/>
      <c r="U78" s="115"/>
      <c r="V78" s="57"/>
    </row>
    <row r="79" spans="1:22" x14ac:dyDescent="0.25">
      <c r="A79" s="12"/>
      <c r="B79" s="13"/>
      <c r="C79" s="13"/>
      <c r="D79" s="20"/>
      <c r="E79" s="15"/>
      <c r="F79" s="14"/>
      <c r="G79" s="14"/>
      <c r="H79" s="14"/>
      <c r="I79" s="13"/>
      <c r="J79" s="55"/>
      <c r="K79" s="116"/>
      <c r="L79" s="57"/>
      <c r="M79" s="57"/>
      <c r="N79" s="33"/>
      <c r="O79" s="33"/>
      <c r="P79" s="89"/>
      <c r="Q79" s="33"/>
      <c r="R79" s="33"/>
      <c r="S79" s="33"/>
      <c r="T79" s="115"/>
      <c r="U79" s="115"/>
      <c r="V79" s="57"/>
    </row>
    <row r="80" spans="1:22" x14ac:dyDescent="0.25">
      <c r="A80" s="12">
        <v>1</v>
      </c>
      <c r="B80" s="13" t="s">
        <v>16</v>
      </c>
      <c r="C80" s="13" t="s">
        <v>17</v>
      </c>
      <c r="D80" s="20">
        <v>38</v>
      </c>
      <c r="E80" s="15" t="s">
        <v>23</v>
      </c>
      <c r="F80" s="14">
        <v>5</v>
      </c>
      <c r="G80" s="14">
        <v>2</v>
      </c>
      <c r="H80" s="14">
        <v>3</v>
      </c>
      <c r="I80" s="13">
        <v>29</v>
      </c>
      <c r="J80" s="55"/>
      <c r="K80" s="117" t="s">
        <v>112</v>
      </c>
      <c r="L80" s="156"/>
      <c r="M80" s="156">
        <f>SUM(M81:M82)</f>
        <v>28500000</v>
      </c>
      <c r="N80" s="33"/>
      <c r="O80" s="33"/>
      <c r="P80" s="89">
        <f>SUM(P81:P82)</f>
        <v>0</v>
      </c>
      <c r="Q80" s="33"/>
      <c r="R80" s="33"/>
      <c r="S80" s="33"/>
      <c r="T80" s="115"/>
      <c r="U80" s="115"/>
      <c r="V80" s="57"/>
    </row>
    <row r="81" spans="1:22" x14ac:dyDescent="0.25">
      <c r="A81" s="42">
        <v>1</v>
      </c>
      <c r="B81" s="43" t="s">
        <v>16</v>
      </c>
      <c r="C81" s="43" t="s">
        <v>17</v>
      </c>
      <c r="D81" s="20">
        <v>38</v>
      </c>
      <c r="E81" s="15" t="s">
        <v>23</v>
      </c>
      <c r="F81" s="44">
        <v>5</v>
      </c>
      <c r="G81" s="44">
        <v>2</v>
      </c>
      <c r="H81" s="44">
        <v>3</v>
      </c>
      <c r="I81" s="43">
        <v>29</v>
      </c>
      <c r="J81" s="39" t="s">
        <v>38</v>
      </c>
      <c r="K81" s="114" t="s">
        <v>113</v>
      </c>
      <c r="L81" s="157"/>
      <c r="M81" s="157">
        <v>6000000</v>
      </c>
      <c r="N81" s="33"/>
      <c r="O81" s="33"/>
      <c r="P81" s="89"/>
      <c r="Q81" s="33"/>
      <c r="R81" s="33"/>
      <c r="S81" s="33"/>
      <c r="T81" s="115"/>
      <c r="U81" s="115"/>
      <c r="V81" s="57"/>
    </row>
    <row r="82" spans="1:22" ht="17.25" customHeight="1" thickBot="1" x14ac:dyDescent="0.3">
      <c r="A82" s="42">
        <v>1</v>
      </c>
      <c r="B82" s="43" t="s">
        <v>16</v>
      </c>
      <c r="C82" s="43" t="s">
        <v>17</v>
      </c>
      <c r="D82" s="20">
        <v>38</v>
      </c>
      <c r="E82" s="15" t="s">
        <v>23</v>
      </c>
      <c r="F82" s="44">
        <v>5</v>
      </c>
      <c r="G82" s="44">
        <v>2</v>
      </c>
      <c r="H82" s="44">
        <v>3</v>
      </c>
      <c r="I82" s="43">
        <v>29</v>
      </c>
      <c r="J82" s="39" t="s">
        <v>42</v>
      </c>
      <c r="K82" s="114" t="s">
        <v>114</v>
      </c>
      <c r="L82" s="158"/>
      <c r="M82" s="158">
        <v>22500000</v>
      </c>
      <c r="N82" s="24">
        <v>0</v>
      </c>
      <c r="O82" s="24">
        <v>0</v>
      </c>
      <c r="P82" s="89"/>
      <c r="Q82" s="24">
        <f t="shared" si="2"/>
        <v>0</v>
      </c>
      <c r="R82" s="24">
        <f t="shared" si="3"/>
        <v>0</v>
      </c>
      <c r="S82" s="24">
        <f t="shared" si="4"/>
        <v>0</v>
      </c>
      <c r="T82" s="89"/>
      <c r="U82" s="89"/>
      <c r="V82" s="89"/>
    </row>
    <row r="83" spans="1:22" ht="15.75" thickBot="1" x14ac:dyDescent="0.3">
      <c r="A83" s="186" t="s">
        <v>73</v>
      </c>
      <c r="B83" s="187"/>
      <c r="C83" s="187"/>
      <c r="D83" s="187"/>
      <c r="E83" s="187"/>
      <c r="F83" s="187"/>
      <c r="G83" s="187"/>
      <c r="H83" s="187"/>
      <c r="I83" s="187"/>
      <c r="J83" s="187"/>
      <c r="K83" s="188"/>
      <c r="L83" s="152"/>
      <c r="M83" s="121">
        <f>M12</f>
        <v>622840571</v>
      </c>
      <c r="N83" s="122">
        <f>N12</f>
        <v>374654520</v>
      </c>
      <c r="O83" s="135">
        <f t="shared" ref="O83" si="10">N83/M83*100</f>
        <v>60.152555476351587</v>
      </c>
      <c r="P83" s="122">
        <f>P12</f>
        <v>61866040</v>
      </c>
      <c r="Q83" s="123">
        <f t="shared" si="2"/>
        <v>9.932885377179451</v>
      </c>
      <c r="R83" s="124">
        <f t="shared" si="3"/>
        <v>436520560</v>
      </c>
      <c r="S83" s="135">
        <f t="shared" si="4"/>
        <v>70.08544085353104</v>
      </c>
      <c r="T83" s="122"/>
      <c r="U83" s="125">
        <f>U12</f>
        <v>0</v>
      </c>
      <c r="V83" s="151">
        <f>V12</f>
        <v>0</v>
      </c>
    </row>
    <row r="86" spans="1:22" x14ac:dyDescent="0.25">
      <c r="R86" s="189" t="s">
        <v>118</v>
      </c>
      <c r="S86" s="189"/>
      <c r="T86" s="189"/>
      <c r="U86" s="189"/>
    </row>
    <row r="87" spans="1:22" x14ac:dyDescent="0.25">
      <c r="R87" s="189" t="s">
        <v>74</v>
      </c>
      <c r="S87" s="189"/>
      <c r="T87" s="189"/>
      <c r="U87" s="189"/>
    </row>
    <row r="88" spans="1:22" x14ac:dyDescent="0.25">
      <c r="R88" s="153"/>
      <c r="S88" s="153"/>
      <c r="T88" s="153"/>
      <c r="U88" s="153"/>
    </row>
    <row r="89" spans="1:22" x14ac:dyDescent="0.25">
      <c r="R89" s="153"/>
      <c r="S89" s="153"/>
      <c r="T89" s="153"/>
      <c r="U89" s="153"/>
    </row>
    <row r="90" spans="1:22" x14ac:dyDescent="0.25">
      <c r="R90" s="127"/>
      <c r="S90" s="127"/>
      <c r="T90" s="127"/>
      <c r="U90" s="127"/>
    </row>
    <row r="91" spans="1:22" x14ac:dyDescent="0.25">
      <c r="R91" s="190" t="s">
        <v>75</v>
      </c>
      <c r="S91" s="190"/>
      <c r="T91" s="190"/>
      <c r="U91" s="190"/>
    </row>
    <row r="92" spans="1:22" x14ac:dyDescent="0.25">
      <c r="R92" s="183" t="s">
        <v>76</v>
      </c>
      <c r="S92" s="183"/>
      <c r="T92" s="183"/>
      <c r="U92" s="183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92:U92"/>
    <mergeCell ref="R8:S8"/>
    <mergeCell ref="A83:K83"/>
    <mergeCell ref="R86:U86"/>
    <mergeCell ref="R87:U87"/>
    <mergeCell ref="R91:U91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topLeftCell="H61" workbookViewId="0">
      <selection activeCell="Y37" sqref="Y37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119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622840571</v>
      </c>
      <c r="N10" s="8">
        <v>436520560</v>
      </c>
      <c r="O10" s="17">
        <v>70.08544085353104</v>
      </c>
      <c r="P10" s="8">
        <f>P12</f>
        <v>116795410</v>
      </c>
      <c r="Q10" s="17">
        <f>P10/M10*100</f>
        <v>18.752055572179483</v>
      </c>
      <c r="R10" s="8">
        <f>R12</f>
        <v>553315970</v>
      </c>
      <c r="S10" s="17">
        <f>R10/M10*100</f>
        <v>88.837496425710512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622840571</v>
      </c>
      <c r="N12" s="24">
        <v>436520560</v>
      </c>
      <c r="O12" s="24">
        <v>70.08544085353104</v>
      </c>
      <c r="P12" s="24">
        <f t="shared" ref="P12" si="0">P13+P14+P15</f>
        <v>116795410</v>
      </c>
      <c r="Q12" s="24">
        <f>P12/M12*100</f>
        <v>18.752055572179483</v>
      </c>
      <c r="R12" s="24">
        <f>P12+N12</f>
        <v>553315970</v>
      </c>
      <c r="S12" s="24">
        <f>R12/M12*100</f>
        <v>88.837496425710512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359659440</v>
      </c>
      <c r="N13" s="24">
        <v>322922160</v>
      </c>
      <c r="O13" s="24">
        <v>89.785537118113737</v>
      </c>
      <c r="P13" s="24">
        <f t="shared" ref="P13" si="1">P17</f>
        <v>29141460</v>
      </c>
      <c r="Q13" s="24">
        <f t="shared" ref="Q13:Q82" si="2">P13/M13*100</f>
        <v>8.1025149791702962</v>
      </c>
      <c r="R13" s="24">
        <f t="shared" ref="R13:R75" si="3">P13+N13</f>
        <v>352063620</v>
      </c>
      <c r="S13" s="24">
        <f t="shared" ref="S13:S82" si="4">R13/M13*100</f>
        <v>97.888052097284032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227081131</v>
      </c>
      <c r="N14" s="24">
        <v>108998400</v>
      </c>
      <c r="O14" s="24">
        <v>47.999760931259409</v>
      </c>
      <c r="P14" s="24">
        <f>P21</f>
        <v>79913950</v>
      </c>
      <c r="Q14" s="24">
        <f t="shared" si="2"/>
        <v>35.19180552258215</v>
      </c>
      <c r="R14" s="24">
        <f t="shared" si="3"/>
        <v>188912350</v>
      </c>
      <c r="S14" s="24">
        <f t="shared" si="4"/>
        <v>83.19156645384156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M73</f>
        <v>36100000</v>
      </c>
      <c r="N15" s="24">
        <v>4600000</v>
      </c>
      <c r="O15" s="24">
        <v>12.742382271468145</v>
      </c>
      <c r="P15" s="24">
        <f t="shared" ref="P15" si="5">P73</f>
        <v>7740000</v>
      </c>
      <c r="Q15" s="24">
        <f t="shared" si="2"/>
        <v>21.440443213296398</v>
      </c>
      <c r="R15" s="24">
        <f t="shared" si="3"/>
        <v>12340000</v>
      </c>
      <c r="S15" s="24">
        <f t="shared" si="4"/>
        <v>34.182825484764543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359659440</v>
      </c>
      <c r="N17" s="38">
        <v>322922160</v>
      </c>
      <c r="O17" s="38">
        <v>89.785537118113737</v>
      </c>
      <c r="P17" s="37">
        <f t="shared" ref="P17:P18" si="6">P18</f>
        <v>29141460</v>
      </c>
      <c r="Q17" s="38">
        <f t="shared" si="2"/>
        <v>8.1025149791702962</v>
      </c>
      <c r="R17" s="38">
        <f t="shared" si="3"/>
        <v>352063620</v>
      </c>
      <c r="S17" s="38">
        <f t="shared" si="4"/>
        <v>97.888052097284032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359659440</v>
      </c>
      <c r="N18" s="24">
        <v>322922160</v>
      </c>
      <c r="O18" s="24">
        <v>89.785537118113737</v>
      </c>
      <c r="P18" s="41">
        <f t="shared" si="6"/>
        <v>29141460</v>
      </c>
      <c r="Q18" s="24">
        <f t="shared" si="2"/>
        <v>8.1025149791702962</v>
      </c>
      <c r="R18" s="24">
        <f t="shared" si="3"/>
        <v>352063620</v>
      </c>
      <c r="S18" s="24">
        <f t="shared" si="4"/>
        <v>97.888052097284032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359659440</v>
      </c>
      <c r="N19" s="24">
        <v>322922160</v>
      </c>
      <c r="O19" s="24">
        <v>89.785537118113737</v>
      </c>
      <c r="P19" s="162">
        <v>29141460</v>
      </c>
      <c r="Q19" s="24">
        <f t="shared" si="2"/>
        <v>8.1025149791702962</v>
      </c>
      <c r="R19" s="24">
        <f t="shared" si="3"/>
        <v>352063620</v>
      </c>
      <c r="S19" s="24">
        <f t="shared" si="4"/>
        <v>97.888052097284032</v>
      </c>
      <c r="T19" s="41">
        <f>12/12*100</f>
        <v>100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159"/>
      <c r="M21" s="54">
        <f>M22+M31+M34+M44+M48+M55+M58+M61+M66+M70+M39+M52</f>
        <v>227081131</v>
      </c>
      <c r="N21" s="38">
        <v>108998400</v>
      </c>
      <c r="O21" s="38">
        <v>47.999760931259409</v>
      </c>
      <c r="P21" s="163">
        <f>P22+P31+P34+P44+P52+P55+P58+P61+P66+P70+P39+P48</f>
        <v>79913950</v>
      </c>
      <c r="Q21" s="38">
        <f t="shared" si="2"/>
        <v>35.19180552258215</v>
      </c>
      <c r="R21" s="38">
        <f t="shared" si="3"/>
        <v>188912350</v>
      </c>
      <c r="S21" s="38">
        <f t="shared" si="4"/>
        <v>83.19156645384156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88078110</v>
      </c>
      <c r="N22" s="24">
        <v>3381000</v>
      </c>
      <c r="O22" s="24">
        <v>3.8386382269101822</v>
      </c>
      <c r="P22" s="56">
        <f>SUM(P23:P29)</f>
        <v>77011350</v>
      </c>
      <c r="Q22" s="24">
        <f t="shared" si="2"/>
        <v>87.435288972481359</v>
      </c>
      <c r="R22" s="24">
        <f t="shared" si="3"/>
        <v>80392350</v>
      </c>
      <c r="S22" s="24">
        <f t="shared" si="4"/>
        <v>91.273927199391537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ht="30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1193500</v>
      </c>
      <c r="O25" s="24">
        <v>21.449238897974588</v>
      </c>
      <c r="P25" s="50"/>
      <c r="Q25" s="24">
        <f t="shared" si="2"/>
        <v>0</v>
      </c>
      <c r="R25" s="24">
        <f t="shared" si="3"/>
        <v>1193500</v>
      </c>
      <c r="S25" s="24">
        <f t="shared" si="4"/>
        <v>21.449238897974588</v>
      </c>
      <c r="T25" s="11">
        <f>10/15*100</f>
        <v>66.666666666666657</v>
      </c>
      <c r="U25" s="193" t="s">
        <v>125</v>
      </c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78068960</v>
      </c>
      <c r="N28" s="24">
        <v>0</v>
      </c>
      <c r="O28" s="24">
        <v>0</v>
      </c>
      <c r="P28" s="50">
        <v>77011350</v>
      </c>
      <c r="Q28" s="24">
        <f t="shared" si="2"/>
        <v>98.64528744843021</v>
      </c>
      <c r="R28" s="24">
        <f t="shared" si="3"/>
        <v>77011350</v>
      </c>
      <c r="S28" s="24">
        <f t="shared" si="4"/>
        <v>98.64528744843021</v>
      </c>
      <c r="T28" s="11">
        <v>100</v>
      </c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992000</v>
      </c>
      <c r="O31" s="24">
        <v>34.14802065404475</v>
      </c>
      <c r="P31" s="62">
        <f>P32</f>
        <v>112000</v>
      </c>
      <c r="Q31" s="24">
        <f t="shared" si="2"/>
        <v>3.8554216867469884</v>
      </c>
      <c r="R31" s="24">
        <f t="shared" si="3"/>
        <v>1104000</v>
      </c>
      <c r="S31" s="24">
        <f t="shared" si="4"/>
        <v>38.003442340791736</v>
      </c>
      <c r="T31" s="62">
        <v>80</v>
      </c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992000</v>
      </c>
      <c r="O32" s="24">
        <v>34.14802065404475</v>
      </c>
      <c r="P32" s="50">
        <v>112000</v>
      </c>
      <c r="Q32" s="24">
        <f t="shared" si="2"/>
        <v>3.8554216867469884</v>
      </c>
      <c r="R32" s="24">
        <f t="shared" si="3"/>
        <v>1104000</v>
      </c>
      <c r="S32" s="24">
        <f t="shared" si="4"/>
        <v>38.003442340791736</v>
      </c>
      <c r="T32" s="62">
        <f>24+8+8+8+8+8+8+8/104*100</f>
        <v>79.692307692307693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20471171</v>
      </c>
      <c r="N34" s="24">
        <v>11858400</v>
      </c>
      <c r="O34" s="24">
        <v>57.927316419759279</v>
      </c>
      <c r="P34" s="73">
        <f>SUM(P35:P37)</f>
        <v>2670600</v>
      </c>
      <c r="Q34" s="24">
        <f t="shared" si="2"/>
        <v>13.045663093723364</v>
      </c>
      <c r="R34" s="24">
        <f t="shared" si="3"/>
        <v>14529000</v>
      </c>
      <c r="S34" s="24">
        <f t="shared" si="4"/>
        <v>70.972979513482642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8637600</v>
      </c>
      <c r="O35" s="24">
        <v>71.98</v>
      </c>
      <c r="P35" s="50">
        <v>867700</v>
      </c>
      <c r="Q35" s="24">
        <f t="shared" si="2"/>
        <v>7.2308333333333339</v>
      </c>
      <c r="R35" s="24">
        <f t="shared" si="3"/>
        <v>9505300</v>
      </c>
      <c r="S35" s="24">
        <f t="shared" si="4"/>
        <v>79.210833333333326</v>
      </c>
      <c r="T35" s="11">
        <f>12/12*100</f>
        <v>100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70800</v>
      </c>
      <c r="O36" s="24">
        <v>13.233644859813085</v>
      </c>
      <c r="P36" s="50">
        <v>2900</v>
      </c>
      <c r="Q36" s="24">
        <f t="shared" si="2"/>
        <v>0.54205607476635509</v>
      </c>
      <c r="R36" s="24">
        <f t="shared" si="3"/>
        <v>73700</v>
      </c>
      <c r="S36" s="24">
        <f t="shared" si="4"/>
        <v>13.775700934579438</v>
      </c>
      <c r="T36" s="11">
        <f>12/12*100</f>
        <v>100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7936171</v>
      </c>
      <c r="N37" s="24">
        <v>3150000</v>
      </c>
      <c r="O37" s="24">
        <v>39.691685070797995</v>
      </c>
      <c r="P37" s="50">
        <v>1800000</v>
      </c>
      <c r="Q37" s="24">
        <f t="shared" si="2"/>
        <v>22.680962897598857</v>
      </c>
      <c r="R37" s="24">
        <f t="shared" si="3"/>
        <v>4950000</v>
      </c>
      <c r="S37" s="24">
        <f t="shared" si="4"/>
        <v>62.372647968396855</v>
      </c>
      <c r="T37" s="11">
        <f>3/3*100</f>
        <v>100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/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/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/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48642000</v>
      </c>
      <c r="O44" s="24">
        <v>98.203677439218282</v>
      </c>
      <c r="P44" s="73">
        <f>SUM(P45:P46)</f>
        <v>120000</v>
      </c>
      <c r="Q44" s="24">
        <f t="shared" si="2"/>
        <v>0.24226884775926552</v>
      </c>
      <c r="R44" s="24">
        <f t="shared" si="3"/>
        <v>48762000</v>
      </c>
      <c r="S44" s="24">
        <f t="shared" si="4"/>
        <v>98.445946286977545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1142000</v>
      </c>
      <c r="O46" s="24">
        <v>79.209294260447365</v>
      </c>
      <c r="P46" s="50">
        <v>120000</v>
      </c>
      <c r="Q46" s="24">
        <f t="shared" si="2"/>
        <v>8.323218311080284</v>
      </c>
      <c r="R46" s="24">
        <f t="shared" si="3"/>
        <v>1262000</v>
      </c>
      <c r="S46" s="24">
        <f t="shared" si="4"/>
        <v>87.532512571527661</v>
      </c>
      <c r="T46" s="11">
        <f>(1320+400+448+480+480+480+480+480+480+480)/5757*100</f>
        <v>96.022233802327605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SUM(M49:M50)</f>
        <v>10225000</v>
      </c>
      <c r="N48" s="24">
        <v>7300000</v>
      </c>
      <c r="O48" s="24">
        <v>71.393643031784833</v>
      </c>
      <c r="P48" s="161">
        <f>SUM(P49:P50)</f>
        <v>0</v>
      </c>
      <c r="Q48" s="24">
        <f t="shared" si="2"/>
        <v>0</v>
      </c>
      <c r="R48" s="24">
        <f t="shared" si="3"/>
        <v>7300000</v>
      </c>
      <c r="S48" s="24">
        <f t="shared" si="4"/>
        <v>71.393643031784833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6150000</v>
      </c>
      <c r="O49" s="24">
        <v>67.768595041322314</v>
      </c>
      <c r="P49" s="50"/>
      <c r="Q49" s="24">
        <f t="shared" si="2"/>
        <v>0</v>
      </c>
      <c r="R49" s="24">
        <f t="shared" si="3"/>
        <v>6150000</v>
      </c>
      <c r="S49" s="24">
        <f t="shared" si="4"/>
        <v>67.768595041322314</v>
      </c>
      <c r="T49" s="57">
        <f>9/11*100</f>
        <v>81.818181818181827</v>
      </c>
      <c r="U49" s="57"/>
      <c r="V49" s="57"/>
    </row>
    <row r="50" spans="1:22" x14ac:dyDescent="0.25">
      <c r="A50" s="42">
        <v>1</v>
      </c>
      <c r="B50" s="43" t="s">
        <v>16</v>
      </c>
      <c r="C50" s="43" t="s">
        <v>17</v>
      </c>
      <c r="D50" s="20">
        <v>38</v>
      </c>
      <c r="E50" s="15" t="s">
        <v>23</v>
      </c>
      <c r="F50" s="85" t="s">
        <v>27</v>
      </c>
      <c r="G50" s="85" t="s">
        <v>28</v>
      </c>
      <c r="H50" s="85" t="s">
        <v>28</v>
      </c>
      <c r="I50" s="85" t="s">
        <v>56</v>
      </c>
      <c r="J50" s="86" t="s">
        <v>16</v>
      </c>
      <c r="K50" s="154" t="s">
        <v>111</v>
      </c>
      <c r="L50" s="155"/>
      <c r="M50" s="155">
        <v>1150000</v>
      </c>
      <c r="N50" s="24">
        <v>1150000</v>
      </c>
      <c r="O50" s="24">
        <v>100</v>
      </c>
      <c r="P50" s="155"/>
      <c r="Q50" s="24"/>
      <c r="R50" s="24">
        <f t="shared" si="3"/>
        <v>1150000</v>
      </c>
      <c r="S50" s="24">
        <f t="shared" si="4"/>
        <v>100</v>
      </c>
      <c r="T50" s="57">
        <v>100</v>
      </c>
      <c r="U50" s="57"/>
      <c r="V50" s="57"/>
    </row>
    <row r="51" spans="1:22" x14ac:dyDescent="0.25">
      <c r="A51" s="42"/>
      <c r="B51" s="43"/>
      <c r="C51" s="43"/>
      <c r="D51" s="44"/>
      <c r="E51" s="44"/>
      <c r="F51" s="44"/>
      <c r="G51" s="44"/>
      <c r="H51" s="44"/>
      <c r="I51" s="43"/>
      <c r="J51" s="39"/>
      <c r="K51" s="45"/>
      <c r="L51" s="88"/>
      <c r="M51" s="76"/>
      <c r="N51" s="24"/>
      <c r="O51" s="24"/>
      <c r="P51" s="50"/>
      <c r="Q51" s="24"/>
      <c r="R51" s="24"/>
      <c r="S51" s="24"/>
      <c r="T51" s="57"/>
      <c r="U51" s="57"/>
      <c r="V51" s="57"/>
    </row>
    <row r="52" spans="1:22" x14ac:dyDescent="0.25">
      <c r="A52" s="12">
        <v>1</v>
      </c>
      <c r="B52" s="13" t="s">
        <v>16</v>
      </c>
      <c r="C52" s="13" t="s">
        <v>17</v>
      </c>
      <c r="D52" s="20">
        <v>38</v>
      </c>
      <c r="E52" s="15" t="s">
        <v>23</v>
      </c>
      <c r="F52" s="82" t="s">
        <v>27</v>
      </c>
      <c r="G52" s="82" t="s">
        <v>28</v>
      </c>
      <c r="H52" s="82" t="s">
        <v>28</v>
      </c>
      <c r="I52" s="82" t="s">
        <v>115</v>
      </c>
      <c r="J52" s="83"/>
      <c r="K52" s="160" t="s">
        <v>116</v>
      </c>
      <c r="L52" s="161"/>
      <c r="M52" s="161">
        <f>SUM(M53:M53)</f>
        <v>2300000</v>
      </c>
      <c r="N52" s="24"/>
      <c r="O52" s="24"/>
      <c r="P52" s="73">
        <f>P53</f>
        <v>0</v>
      </c>
      <c r="Q52" s="24"/>
      <c r="R52" s="24"/>
      <c r="S52" s="24"/>
      <c r="T52" s="57"/>
      <c r="U52" s="57"/>
      <c r="V52" s="57"/>
    </row>
    <row r="53" spans="1:22" x14ac:dyDescent="0.25">
      <c r="A53" s="42">
        <v>1</v>
      </c>
      <c r="B53" s="43" t="s">
        <v>16</v>
      </c>
      <c r="C53" s="43" t="s">
        <v>17</v>
      </c>
      <c r="D53" s="20">
        <v>38</v>
      </c>
      <c r="E53" s="15" t="s">
        <v>23</v>
      </c>
      <c r="F53" s="85" t="s">
        <v>27</v>
      </c>
      <c r="G53" s="85" t="s">
        <v>28</v>
      </c>
      <c r="H53" s="85" t="s">
        <v>28</v>
      </c>
      <c r="I53" s="85" t="s">
        <v>115</v>
      </c>
      <c r="J53" s="94" t="s">
        <v>38</v>
      </c>
      <c r="K53" s="87" t="s">
        <v>117</v>
      </c>
      <c r="L53" s="155"/>
      <c r="M53" s="155">
        <v>2300000</v>
      </c>
      <c r="N53" s="24"/>
      <c r="O53" s="24"/>
      <c r="P53" s="50"/>
      <c r="Q53" s="24"/>
      <c r="R53" s="24"/>
      <c r="S53" s="24"/>
      <c r="T53" s="57"/>
      <c r="U53" s="57"/>
      <c r="V53" s="57"/>
    </row>
    <row r="54" spans="1:22" x14ac:dyDescent="0.25">
      <c r="A54" s="42"/>
      <c r="B54" s="43"/>
      <c r="C54" s="43"/>
      <c r="D54" s="44"/>
      <c r="E54" s="44"/>
      <c r="F54" s="44"/>
      <c r="G54" s="44"/>
      <c r="H54" s="44"/>
      <c r="I54" s="43"/>
      <c r="J54" s="39"/>
      <c r="K54" s="45"/>
      <c r="L54" s="88"/>
      <c r="M54" s="76"/>
      <c r="N54" s="24"/>
      <c r="O54" s="24"/>
      <c r="P54" s="50"/>
      <c r="Q54" s="24"/>
      <c r="R54" s="24"/>
      <c r="S54" s="24"/>
      <c r="T54" s="57"/>
      <c r="U54" s="57"/>
      <c r="V54" s="57"/>
    </row>
    <row r="55" spans="1:22" x14ac:dyDescent="0.25">
      <c r="A55" s="12">
        <v>1</v>
      </c>
      <c r="B55" s="13" t="s">
        <v>16</v>
      </c>
      <c r="C55" s="13" t="s">
        <v>17</v>
      </c>
      <c r="D55" s="20">
        <v>38</v>
      </c>
      <c r="E55" s="15" t="s">
        <v>23</v>
      </c>
      <c r="F55" s="14">
        <v>5</v>
      </c>
      <c r="G55" s="14">
        <v>2</v>
      </c>
      <c r="H55" s="14">
        <v>2</v>
      </c>
      <c r="I55" s="13">
        <v>15</v>
      </c>
      <c r="J55" s="55"/>
      <c r="K55" s="40" t="s">
        <v>59</v>
      </c>
      <c r="L55" s="91"/>
      <c r="M55" s="73">
        <f>M56</f>
        <v>7500000</v>
      </c>
      <c r="N55" s="24">
        <v>4500000</v>
      </c>
      <c r="O55" s="24">
        <v>60</v>
      </c>
      <c r="P55" s="65">
        <f>P56</f>
        <v>0</v>
      </c>
      <c r="Q55" s="24"/>
      <c r="R55" s="24">
        <f t="shared" si="3"/>
        <v>4500000</v>
      </c>
      <c r="S55" s="24">
        <f t="shared" ref="S55:S56" si="7">R55/M55*100</f>
        <v>60</v>
      </c>
      <c r="T55" s="73"/>
      <c r="U55" s="57"/>
      <c r="V55" s="57"/>
    </row>
    <row r="56" spans="1:22" x14ac:dyDescent="0.25">
      <c r="A56" s="42">
        <v>1</v>
      </c>
      <c r="B56" s="43" t="s">
        <v>16</v>
      </c>
      <c r="C56" s="43" t="s">
        <v>17</v>
      </c>
      <c r="D56" s="20">
        <v>38</v>
      </c>
      <c r="E56" s="15" t="s">
        <v>23</v>
      </c>
      <c r="F56" s="44">
        <v>5</v>
      </c>
      <c r="G56" s="44">
        <v>2</v>
      </c>
      <c r="H56" s="44">
        <v>2</v>
      </c>
      <c r="I56" s="43">
        <v>15</v>
      </c>
      <c r="J56" s="39" t="s">
        <v>16</v>
      </c>
      <c r="K56" s="45" t="s">
        <v>85</v>
      </c>
      <c r="L56" s="75"/>
      <c r="M56" s="76">
        <v>7500000</v>
      </c>
      <c r="N56" s="24">
        <v>4500000</v>
      </c>
      <c r="O56" s="24">
        <v>60</v>
      </c>
      <c r="P56" s="50"/>
      <c r="Q56" s="24"/>
      <c r="R56" s="24">
        <f t="shared" si="3"/>
        <v>4500000</v>
      </c>
      <c r="S56" s="24">
        <f t="shared" si="7"/>
        <v>60</v>
      </c>
      <c r="T56" s="57">
        <v>100</v>
      </c>
      <c r="U56" s="57"/>
      <c r="V56" s="57"/>
    </row>
    <row r="57" spans="1:22" x14ac:dyDescent="0.25">
      <c r="A57" s="42"/>
      <c r="B57" s="43"/>
      <c r="C57" s="43"/>
      <c r="D57" s="44"/>
      <c r="E57" s="44"/>
      <c r="F57" s="44"/>
      <c r="G57" s="44"/>
      <c r="H57" s="44"/>
      <c r="I57" s="43"/>
      <c r="J57" s="39"/>
      <c r="K57" s="92"/>
      <c r="L57" s="75"/>
      <c r="M57" s="76"/>
      <c r="N57" s="24"/>
      <c r="O57" s="24"/>
      <c r="P57" s="50"/>
      <c r="Q57" s="24"/>
      <c r="R57" s="24"/>
      <c r="S57" s="24"/>
      <c r="T57" s="57"/>
      <c r="U57" s="57"/>
      <c r="V57" s="57"/>
    </row>
    <row r="58" spans="1:22" ht="30" x14ac:dyDescent="0.25">
      <c r="A58" s="12">
        <v>1</v>
      </c>
      <c r="B58" s="13" t="s">
        <v>16</v>
      </c>
      <c r="C58" s="13" t="s">
        <v>17</v>
      </c>
      <c r="D58" s="20">
        <v>38</v>
      </c>
      <c r="E58" s="15" t="s">
        <v>23</v>
      </c>
      <c r="F58" s="14">
        <v>5</v>
      </c>
      <c r="G58" s="14">
        <v>2</v>
      </c>
      <c r="H58" s="14">
        <v>2</v>
      </c>
      <c r="I58" s="93">
        <v>17</v>
      </c>
      <c r="J58" s="94"/>
      <c r="K58" s="95" t="s">
        <v>60</v>
      </c>
      <c r="L58" s="75"/>
      <c r="M58" s="73">
        <f>M59</f>
        <v>15000000</v>
      </c>
      <c r="N58" s="24">
        <v>13000000</v>
      </c>
      <c r="O58" s="24">
        <v>86.666666666666671</v>
      </c>
      <c r="P58" s="73">
        <f>P59</f>
        <v>0</v>
      </c>
      <c r="Q58" s="24">
        <f t="shared" si="2"/>
        <v>0</v>
      </c>
      <c r="R58" s="24">
        <f t="shared" si="3"/>
        <v>13000000</v>
      </c>
      <c r="S58" s="24">
        <f t="shared" si="4"/>
        <v>86.666666666666671</v>
      </c>
      <c r="T58" s="73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17</v>
      </c>
      <c r="J59" s="94" t="s">
        <v>17</v>
      </c>
      <c r="K59" s="97" t="s">
        <v>61</v>
      </c>
      <c r="L59" s="90"/>
      <c r="M59" s="76">
        <v>15000000</v>
      </c>
      <c r="N59" s="24">
        <v>13000000</v>
      </c>
      <c r="O59" s="24">
        <v>86.666666666666671</v>
      </c>
      <c r="P59" s="50"/>
      <c r="Q59" s="24">
        <f t="shared" si="2"/>
        <v>0</v>
      </c>
      <c r="R59" s="24">
        <f t="shared" si="3"/>
        <v>13000000</v>
      </c>
      <c r="S59" s="24">
        <f t="shared" si="4"/>
        <v>86.666666666666671</v>
      </c>
      <c r="T59" s="57">
        <v>100</v>
      </c>
      <c r="U59" s="57"/>
      <c r="V59" s="57"/>
    </row>
    <row r="60" spans="1:22" x14ac:dyDescent="0.25">
      <c r="A60" s="42"/>
      <c r="B60" s="43"/>
      <c r="C60" s="43"/>
      <c r="D60" s="44"/>
      <c r="E60" s="44"/>
      <c r="F60" s="44"/>
      <c r="G60" s="44"/>
      <c r="H60" s="44"/>
      <c r="I60" s="43"/>
      <c r="J60" s="39"/>
      <c r="K60" s="92"/>
      <c r="L60" s="81"/>
      <c r="M60" s="73"/>
      <c r="N60" s="24"/>
      <c r="O60" s="24"/>
      <c r="P60" s="65"/>
      <c r="Q60" s="24"/>
      <c r="R60" s="24"/>
      <c r="S60" s="24"/>
      <c r="T60" s="89"/>
      <c r="U60" s="57"/>
      <c r="V60" s="57"/>
    </row>
    <row r="61" spans="1:22" x14ac:dyDescent="0.25">
      <c r="A61" s="12">
        <v>1</v>
      </c>
      <c r="B61" s="13" t="s">
        <v>16</v>
      </c>
      <c r="C61" s="13" t="s">
        <v>17</v>
      </c>
      <c r="D61" s="20">
        <v>38</v>
      </c>
      <c r="E61" s="15" t="s">
        <v>23</v>
      </c>
      <c r="F61" s="14">
        <v>5</v>
      </c>
      <c r="G61" s="14">
        <v>2</v>
      </c>
      <c r="H61" s="14">
        <v>2</v>
      </c>
      <c r="I61" s="93">
        <v>20</v>
      </c>
      <c r="J61" s="94"/>
      <c r="K61" s="95" t="s">
        <v>62</v>
      </c>
      <c r="L61" s="98"/>
      <c r="M61" s="73">
        <f>SUM(M62:M64)</f>
        <v>19500000</v>
      </c>
      <c r="N61" s="24">
        <v>13255000</v>
      </c>
      <c r="O61" s="24">
        <v>67.974358974358978</v>
      </c>
      <c r="P61" s="73">
        <f>SUM(P62:P64)</f>
        <v>0</v>
      </c>
      <c r="Q61" s="24">
        <f t="shared" si="2"/>
        <v>0</v>
      </c>
      <c r="R61" s="24">
        <f t="shared" si="3"/>
        <v>13255000</v>
      </c>
      <c r="S61" s="24">
        <f t="shared" si="4"/>
        <v>67.974358974358978</v>
      </c>
      <c r="T61" s="73"/>
      <c r="U61" s="99"/>
      <c r="V61" s="100"/>
    </row>
    <row r="62" spans="1:22" x14ac:dyDescent="0.25">
      <c r="A62" s="42">
        <v>1</v>
      </c>
      <c r="B62" s="43" t="s">
        <v>16</v>
      </c>
      <c r="C62" s="43" t="s">
        <v>17</v>
      </c>
      <c r="D62" s="20">
        <v>38</v>
      </c>
      <c r="E62" s="15" t="s">
        <v>23</v>
      </c>
      <c r="F62" s="44">
        <v>5</v>
      </c>
      <c r="G62" s="44">
        <v>2</v>
      </c>
      <c r="H62" s="44">
        <v>2</v>
      </c>
      <c r="I62" s="96">
        <v>20</v>
      </c>
      <c r="J62" s="94" t="s">
        <v>23</v>
      </c>
      <c r="K62" s="97" t="s">
        <v>63</v>
      </c>
      <c r="L62" s="81"/>
      <c r="M62" s="76">
        <v>1500000</v>
      </c>
      <c r="N62" s="33">
        <v>0</v>
      </c>
      <c r="O62" s="33">
        <v>0</v>
      </c>
      <c r="P62" s="50"/>
      <c r="Q62" s="33">
        <f t="shared" si="2"/>
        <v>0</v>
      </c>
      <c r="R62" s="33">
        <f t="shared" si="3"/>
        <v>0</v>
      </c>
      <c r="S62" s="33">
        <f t="shared" si="4"/>
        <v>0</v>
      </c>
      <c r="T62" s="57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44">
        <v>5</v>
      </c>
      <c r="G63" s="44">
        <v>2</v>
      </c>
      <c r="H63" s="44">
        <v>2</v>
      </c>
      <c r="I63" s="96">
        <v>20</v>
      </c>
      <c r="J63" s="94" t="s">
        <v>38</v>
      </c>
      <c r="K63" s="97" t="s">
        <v>64</v>
      </c>
      <c r="L63" s="101"/>
      <c r="M63" s="76">
        <v>15400000</v>
      </c>
      <c r="N63" s="33">
        <v>13255000</v>
      </c>
      <c r="O63" s="33">
        <v>86.071428571428584</v>
      </c>
      <c r="P63" s="50"/>
      <c r="Q63" s="33">
        <f t="shared" si="2"/>
        <v>0</v>
      </c>
      <c r="R63" s="33">
        <f t="shared" si="3"/>
        <v>13255000</v>
      </c>
      <c r="S63" s="33">
        <f t="shared" si="4"/>
        <v>86.071428571428584</v>
      </c>
      <c r="T63" s="57">
        <v>100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44">
        <v>5</v>
      </c>
      <c r="G64" s="44">
        <v>2</v>
      </c>
      <c r="H64" s="44">
        <v>2</v>
      </c>
      <c r="I64" s="96">
        <v>20</v>
      </c>
      <c r="J64" s="94" t="s">
        <v>65</v>
      </c>
      <c r="K64" s="97" t="s">
        <v>66</v>
      </c>
      <c r="L64" s="101"/>
      <c r="M64" s="76">
        <v>2600000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89"/>
      <c r="U64" s="100"/>
      <c r="V64" s="100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101"/>
      <c r="M65" s="76"/>
      <c r="N65" s="33"/>
      <c r="O65" s="33"/>
      <c r="P65" s="50"/>
      <c r="Q65" s="33"/>
      <c r="R65" s="33"/>
      <c r="S65" s="33"/>
      <c r="T65" s="57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67</v>
      </c>
      <c r="J66" s="94"/>
      <c r="K66" s="103" t="s">
        <v>68</v>
      </c>
      <c r="L66" s="81"/>
      <c r="M66" s="73">
        <f>SUM(M67:M68)</f>
        <v>11000000</v>
      </c>
      <c r="N66" s="24">
        <v>5500000</v>
      </c>
      <c r="O66" s="24">
        <v>50</v>
      </c>
      <c r="P66" s="73">
        <f>SUM(P67:P68)</f>
        <v>0</v>
      </c>
      <c r="Q66" s="24">
        <f t="shared" si="2"/>
        <v>0</v>
      </c>
      <c r="R66" s="24">
        <f t="shared" si="3"/>
        <v>5500000</v>
      </c>
      <c r="S66" s="24">
        <f t="shared" si="4"/>
        <v>50</v>
      </c>
      <c r="T66" s="73"/>
      <c r="U66" s="57"/>
      <c r="V66" s="57"/>
    </row>
    <row r="67" spans="1:22" ht="30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67</v>
      </c>
      <c r="J67" s="94" t="s">
        <v>16</v>
      </c>
      <c r="K67" s="104" t="s">
        <v>69</v>
      </c>
      <c r="L67" s="81"/>
      <c r="M67" s="76">
        <v>1000000</v>
      </c>
      <c r="N67" s="33">
        <v>500000</v>
      </c>
      <c r="O67" s="33">
        <v>50</v>
      </c>
      <c r="P67" s="50"/>
      <c r="Q67" s="33">
        <f t="shared" si="2"/>
        <v>0</v>
      </c>
      <c r="R67" s="33">
        <f t="shared" si="3"/>
        <v>500000</v>
      </c>
      <c r="S67" s="33">
        <f t="shared" si="4"/>
        <v>50</v>
      </c>
      <c r="T67" s="192">
        <f>2/12*100</f>
        <v>16.666666666666664</v>
      </c>
      <c r="U67" s="191" t="s">
        <v>123</v>
      </c>
      <c r="V67" s="57"/>
    </row>
    <row r="68" spans="1:22" ht="30" x14ac:dyDescent="0.25">
      <c r="A68" s="42">
        <v>1</v>
      </c>
      <c r="B68" s="43" t="s">
        <v>16</v>
      </c>
      <c r="C68" s="43" t="s">
        <v>17</v>
      </c>
      <c r="D68" s="20">
        <v>38</v>
      </c>
      <c r="E68" s="15" t="s">
        <v>23</v>
      </c>
      <c r="F68" s="85" t="s">
        <v>27</v>
      </c>
      <c r="G68" s="85" t="s">
        <v>28</v>
      </c>
      <c r="H68" s="85" t="s">
        <v>28</v>
      </c>
      <c r="I68" s="85" t="s">
        <v>67</v>
      </c>
      <c r="J68" s="94" t="s">
        <v>23</v>
      </c>
      <c r="K68" s="104" t="s">
        <v>70</v>
      </c>
      <c r="L68" s="81"/>
      <c r="M68" s="76">
        <v>10000000</v>
      </c>
      <c r="N68" s="33">
        <v>5000000</v>
      </c>
      <c r="O68" s="33">
        <v>50</v>
      </c>
      <c r="P68" s="50"/>
      <c r="Q68" s="33">
        <f t="shared" si="2"/>
        <v>0</v>
      </c>
      <c r="R68" s="33">
        <f t="shared" si="3"/>
        <v>5000000</v>
      </c>
      <c r="S68" s="33">
        <f t="shared" si="4"/>
        <v>50</v>
      </c>
      <c r="T68" s="57">
        <f>1/2*100</f>
        <v>50</v>
      </c>
      <c r="U68" s="191" t="s">
        <v>123</v>
      </c>
      <c r="V68" s="57"/>
    </row>
    <row r="69" spans="1:22" x14ac:dyDescent="0.25">
      <c r="A69" s="42"/>
      <c r="B69" s="43"/>
      <c r="C69" s="43"/>
      <c r="D69" s="44"/>
      <c r="E69" s="44"/>
      <c r="F69" s="44"/>
      <c r="G69" s="44"/>
      <c r="H69" s="44"/>
      <c r="I69" s="96"/>
      <c r="J69" s="94"/>
      <c r="K69" s="102"/>
      <c r="L69" s="81"/>
      <c r="M69" s="76"/>
      <c r="N69" s="24"/>
      <c r="O69" s="24"/>
      <c r="P69" s="50"/>
      <c r="Q69" s="24"/>
      <c r="R69" s="24"/>
      <c r="S69" s="24"/>
      <c r="T69" s="66"/>
      <c r="U69" s="57"/>
      <c r="V69" s="57"/>
    </row>
    <row r="70" spans="1:22" ht="30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82" t="s">
        <v>27</v>
      </c>
      <c r="G70" s="82" t="s">
        <v>28</v>
      </c>
      <c r="H70" s="82" t="s">
        <v>28</v>
      </c>
      <c r="I70" s="82" t="s">
        <v>86</v>
      </c>
      <c r="J70" s="94"/>
      <c r="K70" s="103" t="s">
        <v>87</v>
      </c>
      <c r="L70" s="105"/>
      <c r="M70" s="106">
        <f>M71</f>
        <v>570100</v>
      </c>
      <c r="N70" s="24">
        <v>570000</v>
      </c>
      <c r="O70" s="24">
        <v>99.982459217681111</v>
      </c>
      <c r="P70" s="106">
        <f>P71</f>
        <v>0</v>
      </c>
      <c r="Q70" s="24">
        <f t="shared" si="2"/>
        <v>0</v>
      </c>
      <c r="R70" s="24">
        <f t="shared" si="3"/>
        <v>570000</v>
      </c>
      <c r="S70" s="24">
        <f t="shared" si="4"/>
        <v>99.982459217681111</v>
      </c>
      <c r="T70" s="106"/>
      <c r="U70" s="107"/>
      <c r="V70" s="107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85" t="s">
        <v>27</v>
      </c>
      <c r="G71" s="85" t="s">
        <v>28</v>
      </c>
      <c r="H71" s="85" t="s">
        <v>28</v>
      </c>
      <c r="I71" s="85" t="s">
        <v>86</v>
      </c>
      <c r="J71" s="94" t="s">
        <v>17</v>
      </c>
      <c r="K71" s="104" t="s">
        <v>88</v>
      </c>
      <c r="L71" s="108"/>
      <c r="M71" s="66">
        <v>570100</v>
      </c>
      <c r="N71" s="33">
        <v>570000</v>
      </c>
      <c r="O71" s="33">
        <v>99.982459217681111</v>
      </c>
      <c r="P71" s="109"/>
      <c r="Q71" s="33">
        <f t="shared" si="2"/>
        <v>0</v>
      </c>
      <c r="R71" s="33">
        <f t="shared" si="3"/>
        <v>570000</v>
      </c>
      <c r="S71" s="33">
        <f t="shared" si="4"/>
        <v>99.982459217681111</v>
      </c>
      <c r="T71" s="8">
        <v>100</v>
      </c>
      <c r="U71" s="8"/>
      <c r="V71" s="8"/>
    </row>
    <row r="72" spans="1:22" x14ac:dyDescent="0.25">
      <c r="A72" s="42"/>
      <c r="B72" s="43"/>
      <c r="C72" s="43"/>
      <c r="D72" s="44"/>
      <c r="E72" s="44"/>
      <c r="F72" s="44"/>
      <c r="G72" s="44"/>
      <c r="H72" s="44"/>
      <c r="I72" s="96"/>
      <c r="J72" s="94"/>
      <c r="K72" s="102"/>
      <c r="L72" s="57"/>
      <c r="M72" s="57"/>
      <c r="N72" s="24"/>
      <c r="O72" s="24"/>
      <c r="P72" s="57"/>
      <c r="Q72" s="24"/>
      <c r="R72" s="24"/>
      <c r="S72" s="24"/>
      <c r="T72" s="57"/>
      <c r="U72" s="57"/>
      <c r="V72" s="57"/>
    </row>
    <row r="73" spans="1:22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/>
      <c r="J73" s="55"/>
      <c r="K73" s="110" t="s">
        <v>71</v>
      </c>
      <c r="L73" s="111"/>
      <c r="M73" s="112">
        <f>M74+M77+M80</f>
        <v>36100000</v>
      </c>
      <c r="N73" s="38">
        <v>4600000</v>
      </c>
      <c r="O73" s="38">
        <v>12.742382271468145</v>
      </c>
      <c r="P73" s="112">
        <f>P74+P77+P80</f>
        <v>7740000</v>
      </c>
      <c r="Q73" s="38">
        <f t="shared" si="2"/>
        <v>21.440443213296398</v>
      </c>
      <c r="R73" s="38">
        <f t="shared" si="3"/>
        <v>12340000</v>
      </c>
      <c r="S73" s="38">
        <f t="shared" si="4"/>
        <v>34.182825484764543</v>
      </c>
      <c r="T73" s="112"/>
      <c r="U73" s="89"/>
      <c r="V73" s="89"/>
    </row>
    <row r="74" spans="1:22" x14ac:dyDescent="0.25">
      <c r="A74" s="12">
        <v>1</v>
      </c>
      <c r="B74" s="13" t="s">
        <v>16</v>
      </c>
      <c r="C74" s="13" t="s">
        <v>17</v>
      </c>
      <c r="D74" s="20">
        <v>38</v>
      </c>
      <c r="E74" s="15" t="s">
        <v>23</v>
      </c>
      <c r="F74" s="14">
        <v>5</v>
      </c>
      <c r="G74" s="14">
        <v>2</v>
      </c>
      <c r="H74" s="14">
        <v>3</v>
      </c>
      <c r="I74" s="13">
        <v>16</v>
      </c>
      <c r="J74" s="55"/>
      <c r="K74" s="40" t="s">
        <v>89</v>
      </c>
      <c r="L74" s="57"/>
      <c r="M74" s="89">
        <f>SUM(M75:M75)</f>
        <v>4600000</v>
      </c>
      <c r="N74" s="24">
        <v>4600000</v>
      </c>
      <c r="O74" s="24">
        <v>100</v>
      </c>
      <c r="P74" s="89">
        <f>P75</f>
        <v>0</v>
      </c>
      <c r="Q74" s="24">
        <f t="shared" si="2"/>
        <v>0</v>
      </c>
      <c r="R74" s="24">
        <f t="shared" si="3"/>
        <v>4600000</v>
      </c>
      <c r="S74" s="24">
        <f t="shared" si="4"/>
        <v>100</v>
      </c>
      <c r="T74" s="89"/>
      <c r="U74" s="89"/>
      <c r="V74" s="89"/>
    </row>
    <row r="75" spans="1:22" x14ac:dyDescent="0.25">
      <c r="A75" s="42">
        <v>1</v>
      </c>
      <c r="B75" s="43" t="s">
        <v>16</v>
      </c>
      <c r="C75" s="43" t="s">
        <v>17</v>
      </c>
      <c r="D75" s="20">
        <v>38</v>
      </c>
      <c r="E75" s="15" t="s">
        <v>23</v>
      </c>
      <c r="F75" s="44">
        <v>5</v>
      </c>
      <c r="G75" s="44">
        <v>2</v>
      </c>
      <c r="H75" s="44">
        <v>3</v>
      </c>
      <c r="I75" s="43">
        <v>16</v>
      </c>
      <c r="J75" s="39" t="s">
        <v>40</v>
      </c>
      <c r="K75" s="45" t="s">
        <v>90</v>
      </c>
      <c r="L75" s="57"/>
      <c r="M75" s="57">
        <v>4600000</v>
      </c>
      <c r="N75" s="33">
        <v>4600000</v>
      </c>
      <c r="O75" s="33">
        <v>100</v>
      </c>
      <c r="P75" s="57"/>
      <c r="Q75" s="33">
        <f t="shared" si="2"/>
        <v>0</v>
      </c>
      <c r="R75" s="33">
        <f t="shared" si="3"/>
        <v>4600000</v>
      </c>
      <c r="S75" s="33">
        <f t="shared" si="4"/>
        <v>100</v>
      </c>
      <c r="T75" s="113">
        <v>100</v>
      </c>
      <c r="U75" s="113"/>
      <c r="V75" s="57"/>
    </row>
    <row r="76" spans="1:22" x14ac:dyDescent="0.25">
      <c r="A76" s="42"/>
      <c r="B76" s="43"/>
      <c r="C76" s="43"/>
      <c r="D76" s="20"/>
      <c r="E76" s="15"/>
      <c r="F76" s="44"/>
      <c r="G76" s="44"/>
      <c r="H76" s="44"/>
      <c r="I76" s="43"/>
      <c r="J76" s="39"/>
      <c r="K76" s="45"/>
      <c r="L76" s="57"/>
      <c r="M76" s="57"/>
      <c r="N76" s="33"/>
      <c r="O76" s="33"/>
      <c r="P76" s="57"/>
      <c r="Q76" s="33"/>
      <c r="R76" s="33">
        <f t="shared" ref="R76:R81" si="8">P76+N76</f>
        <v>0</v>
      </c>
      <c r="S76" s="33"/>
      <c r="T76" s="113"/>
      <c r="U76" s="113"/>
      <c r="V76" s="57"/>
    </row>
    <row r="77" spans="1:22" ht="30" x14ac:dyDescent="0.25">
      <c r="A77" s="12">
        <v>1</v>
      </c>
      <c r="B77" s="13" t="s">
        <v>16</v>
      </c>
      <c r="C77" s="13" t="s">
        <v>17</v>
      </c>
      <c r="D77" s="20">
        <v>38</v>
      </c>
      <c r="E77" s="15" t="s">
        <v>23</v>
      </c>
      <c r="F77" s="14">
        <v>5</v>
      </c>
      <c r="G77" s="14">
        <v>2</v>
      </c>
      <c r="H77" s="14">
        <v>3</v>
      </c>
      <c r="I77" s="13">
        <v>23</v>
      </c>
      <c r="J77" s="55"/>
      <c r="K77" s="117" t="s">
        <v>72</v>
      </c>
      <c r="L77" s="57"/>
      <c r="M77" s="89">
        <f>M78</f>
        <v>3000000</v>
      </c>
      <c r="N77" s="33"/>
      <c r="O77" s="33"/>
      <c r="P77" s="89">
        <f>P78</f>
        <v>1800000</v>
      </c>
      <c r="Q77" s="33"/>
      <c r="R77" s="56">
        <f t="shared" si="8"/>
        <v>1800000</v>
      </c>
      <c r="S77" s="33">
        <f t="shared" ref="S77:S81" si="9">R77/M77*100</f>
        <v>60</v>
      </c>
      <c r="T77" s="115"/>
      <c r="U77" s="115"/>
      <c r="V77" s="57"/>
    </row>
    <row r="78" spans="1:22" x14ac:dyDescent="0.25">
      <c r="A78" s="42">
        <v>1</v>
      </c>
      <c r="B78" s="43" t="s">
        <v>16</v>
      </c>
      <c r="C78" s="43" t="s">
        <v>17</v>
      </c>
      <c r="D78" s="20">
        <v>38</v>
      </c>
      <c r="E78" s="15" t="s">
        <v>23</v>
      </c>
      <c r="F78" s="44">
        <v>5</v>
      </c>
      <c r="G78" s="44">
        <v>2</v>
      </c>
      <c r="H78" s="44">
        <v>3</v>
      </c>
      <c r="I78" s="43">
        <v>23</v>
      </c>
      <c r="J78" s="39" t="s">
        <v>17</v>
      </c>
      <c r="K78" s="114" t="s">
        <v>91</v>
      </c>
      <c r="L78" s="57"/>
      <c r="M78" s="57">
        <v>3000000</v>
      </c>
      <c r="N78" s="33"/>
      <c r="O78" s="33"/>
      <c r="P78" s="66">
        <v>1800000</v>
      </c>
      <c r="Q78" s="33"/>
      <c r="R78" s="33">
        <f t="shared" si="8"/>
        <v>1800000</v>
      </c>
      <c r="S78" s="33">
        <f t="shared" si="9"/>
        <v>60</v>
      </c>
      <c r="T78" s="115">
        <v>100</v>
      </c>
      <c r="U78" s="115"/>
      <c r="V78" s="57"/>
    </row>
    <row r="79" spans="1:22" x14ac:dyDescent="0.25">
      <c r="A79" s="12"/>
      <c r="B79" s="13"/>
      <c r="C79" s="13"/>
      <c r="D79" s="20"/>
      <c r="E79" s="15"/>
      <c r="F79" s="14"/>
      <c r="G79" s="14"/>
      <c r="H79" s="14"/>
      <c r="I79" s="13"/>
      <c r="J79" s="55"/>
      <c r="K79" s="116"/>
      <c r="L79" s="57"/>
      <c r="M79" s="57"/>
      <c r="N79" s="33"/>
      <c r="O79" s="33"/>
      <c r="P79" s="89"/>
      <c r="Q79" s="33"/>
      <c r="R79" s="33">
        <f t="shared" si="8"/>
        <v>0</v>
      </c>
      <c r="S79" s="33"/>
      <c r="T79" s="115"/>
      <c r="U79" s="115"/>
      <c r="V79" s="57"/>
    </row>
    <row r="80" spans="1:22" x14ac:dyDescent="0.25">
      <c r="A80" s="12">
        <v>1</v>
      </c>
      <c r="B80" s="13" t="s">
        <v>16</v>
      </c>
      <c r="C80" s="13" t="s">
        <v>17</v>
      </c>
      <c r="D80" s="20">
        <v>38</v>
      </c>
      <c r="E80" s="15" t="s">
        <v>23</v>
      </c>
      <c r="F80" s="14">
        <v>5</v>
      </c>
      <c r="G80" s="14">
        <v>2</v>
      </c>
      <c r="H80" s="14">
        <v>3</v>
      </c>
      <c r="I80" s="13">
        <v>38</v>
      </c>
      <c r="J80" s="55"/>
      <c r="K80" s="117" t="s">
        <v>121</v>
      </c>
      <c r="L80" s="156"/>
      <c r="M80" s="156">
        <f>SUM(M81:M81)</f>
        <v>28500000</v>
      </c>
      <c r="N80" s="33"/>
      <c r="O80" s="33"/>
      <c r="P80" s="89">
        <f>SUM(P81:P81)</f>
        <v>5940000</v>
      </c>
      <c r="Q80" s="33"/>
      <c r="R80" s="24">
        <f t="shared" si="8"/>
        <v>5940000</v>
      </c>
      <c r="S80" s="33">
        <f t="shared" si="9"/>
        <v>20.842105263157894</v>
      </c>
      <c r="T80" s="115"/>
      <c r="U80" s="115"/>
      <c r="V80" s="57"/>
    </row>
    <row r="81" spans="1:22" ht="15.75" thickBot="1" x14ac:dyDescent="0.3">
      <c r="A81" s="42">
        <v>1</v>
      </c>
      <c r="B81" s="43" t="s">
        <v>16</v>
      </c>
      <c r="C81" s="43" t="s">
        <v>17</v>
      </c>
      <c r="D81" s="20">
        <v>38</v>
      </c>
      <c r="E81" s="15" t="s">
        <v>23</v>
      </c>
      <c r="F81" s="44">
        <v>5</v>
      </c>
      <c r="G81" s="44">
        <v>2</v>
      </c>
      <c r="H81" s="44">
        <v>3</v>
      </c>
      <c r="I81" s="43">
        <v>38</v>
      </c>
      <c r="J81" s="39" t="s">
        <v>16</v>
      </c>
      <c r="K81" s="114" t="s">
        <v>122</v>
      </c>
      <c r="L81" s="157"/>
      <c r="M81" s="157">
        <v>28500000</v>
      </c>
      <c r="N81" s="166"/>
      <c r="O81" s="166"/>
      <c r="P81" s="167">
        <v>5940000</v>
      </c>
      <c r="Q81" s="166"/>
      <c r="R81" s="166">
        <f t="shared" si="8"/>
        <v>5940000</v>
      </c>
      <c r="S81" s="33">
        <f t="shared" si="9"/>
        <v>20.842105263157894</v>
      </c>
      <c r="T81" s="115">
        <f>2/5*100</f>
        <v>40</v>
      </c>
      <c r="U81" s="115" t="s">
        <v>124</v>
      </c>
      <c r="V81" s="57"/>
    </row>
    <row r="82" spans="1:22" ht="15.75" thickBot="1" x14ac:dyDescent="0.3">
      <c r="A82" s="186" t="s">
        <v>73</v>
      </c>
      <c r="B82" s="187"/>
      <c r="C82" s="187"/>
      <c r="D82" s="187"/>
      <c r="E82" s="187"/>
      <c r="F82" s="187"/>
      <c r="G82" s="187"/>
      <c r="H82" s="187"/>
      <c r="I82" s="187"/>
      <c r="J82" s="187"/>
      <c r="K82" s="188"/>
      <c r="L82" s="164"/>
      <c r="M82" s="121">
        <f>M12</f>
        <v>622840571</v>
      </c>
      <c r="N82" s="123">
        <f>N10</f>
        <v>436520560</v>
      </c>
      <c r="O82" s="123">
        <v>0</v>
      </c>
      <c r="P82" s="168">
        <f>P12</f>
        <v>116795410</v>
      </c>
      <c r="Q82" s="123">
        <f t="shared" si="2"/>
        <v>18.752055572179483</v>
      </c>
      <c r="R82" s="124">
        <f>P82+N82</f>
        <v>553315970</v>
      </c>
      <c r="S82" s="135">
        <f t="shared" si="4"/>
        <v>88.837496425710512</v>
      </c>
      <c r="T82" s="122"/>
      <c r="U82" s="125">
        <f>U12</f>
        <v>0</v>
      </c>
      <c r="V82" s="151">
        <f>V12</f>
        <v>0</v>
      </c>
    </row>
    <row r="85" spans="1:22" x14ac:dyDescent="0.25">
      <c r="R85" s="189" t="s">
        <v>120</v>
      </c>
      <c r="S85" s="189"/>
      <c r="T85" s="189"/>
      <c r="U85" s="189"/>
    </row>
    <row r="86" spans="1:22" x14ac:dyDescent="0.25">
      <c r="R86" s="189" t="s">
        <v>74</v>
      </c>
      <c r="S86" s="189"/>
      <c r="T86" s="189"/>
      <c r="U86" s="189"/>
    </row>
    <row r="87" spans="1:22" x14ac:dyDescent="0.25">
      <c r="R87" s="165"/>
      <c r="S87" s="165"/>
      <c r="T87" s="165"/>
      <c r="U87" s="165"/>
    </row>
    <row r="88" spans="1:22" x14ac:dyDescent="0.25">
      <c r="R88" s="165"/>
      <c r="S88" s="165"/>
      <c r="T88" s="165"/>
      <c r="U88" s="165"/>
    </row>
    <row r="89" spans="1:22" x14ac:dyDescent="0.25">
      <c r="R89" s="127"/>
      <c r="S89" s="127"/>
      <c r="T89" s="127"/>
      <c r="U89" s="127"/>
    </row>
    <row r="90" spans="1:22" x14ac:dyDescent="0.25">
      <c r="R90" s="190" t="s">
        <v>75</v>
      </c>
      <c r="S90" s="190"/>
      <c r="T90" s="190"/>
      <c r="U90" s="190"/>
    </row>
    <row r="91" spans="1:22" x14ac:dyDescent="0.25">
      <c r="R91" s="183" t="s">
        <v>76</v>
      </c>
      <c r="S91" s="183"/>
      <c r="T91" s="183"/>
      <c r="U91" s="183"/>
    </row>
  </sheetData>
  <mergeCells count="22">
    <mergeCell ref="R91:U91"/>
    <mergeCell ref="R8:S8"/>
    <mergeCell ref="A82:K82"/>
    <mergeCell ref="R85:U85"/>
    <mergeCell ref="R86:U86"/>
    <mergeCell ref="R90:U90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G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93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41708480</v>
      </c>
      <c r="O10" s="17">
        <v>6.5036987138704889</v>
      </c>
      <c r="P10" s="8">
        <f>P12</f>
        <v>4301700</v>
      </c>
      <c r="Q10" s="17">
        <f>P10/M10*100</f>
        <v>0.67077392313161932</v>
      </c>
      <c r="R10" s="8">
        <f>R12</f>
        <v>46010180</v>
      </c>
      <c r="S10" s="17">
        <f>R10/M10*100</f>
        <v>7.1744726370021077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41708480</v>
      </c>
      <c r="O12" s="24">
        <v>6.5036987138704889</v>
      </c>
      <c r="P12" s="24">
        <f t="shared" ref="P12" si="0">P13+P14+P15</f>
        <v>4301700</v>
      </c>
      <c r="Q12" s="24">
        <f>P12/M12*100</f>
        <v>0.67077392313161932</v>
      </c>
      <c r="R12" s="24">
        <f>P12+N12</f>
        <v>46010180</v>
      </c>
      <c r="S12" s="24">
        <f>R12/M12*100</f>
        <v>7.1744726370021077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26279280</v>
      </c>
      <c r="S13" s="24">
        <f t="shared" ref="S13:S75" si="4">R13/M13*100</f>
        <v>6.8296470940458818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15429200</v>
      </c>
      <c r="O14" s="24">
        <v>6.3619900248060386</v>
      </c>
      <c r="P14" s="24">
        <f>P21</f>
        <v>4301700</v>
      </c>
      <c r="Q14" s="24">
        <f t="shared" si="2"/>
        <v>1.7737389164511532</v>
      </c>
      <c r="R14" s="24">
        <f t="shared" si="3"/>
        <v>19730900</v>
      </c>
      <c r="S14" s="24">
        <f t="shared" si="4"/>
        <v>8.1357289412571898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0</v>
      </c>
      <c r="Q15" s="24">
        <f t="shared" si="2"/>
        <v>0</v>
      </c>
      <c r="R15" s="24">
        <f t="shared" si="3"/>
        <v>0</v>
      </c>
      <c r="S15" s="24">
        <f t="shared" si="4"/>
        <v>0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0</v>
      </c>
      <c r="Q17" s="38">
        <f t="shared" si="2"/>
        <v>0</v>
      </c>
      <c r="R17" s="38">
        <f t="shared" si="3"/>
        <v>26279280</v>
      </c>
      <c r="S17" s="38">
        <f t="shared" si="4"/>
        <v>6.8296470940458818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0</v>
      </c>
      <c r="Q18" s="24">
        <f t="shared" si="2"/>
        <v>0</v>
      </c>
      <c r="R18" s="24">
        <f t="shared" si="3"/>
        <v>26279280</v>
      </c>
      <c r="S18" s="24">
        <f t="shared" si="4"/>
        <v>6.8296470940458818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/>
      <c r="Q19" s="24">
        <f t="shared" si="2"/>
        <v>0</v>
      </c>
      <c r="R19" s="24">
        <f t="shared" si="3"/>
        <v>26279280</v>
      </c>
      <c r="S19" s="24">
        <f t="shared" si="4"/>
        <v>6.8296470940458818</v>
      </c>
      <c r="T19" s="41">
        <f>1/12*100</f>
        <v>8.3333333333333321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15429200</v>
      </c>
      <c r="O21" s="38">
        <v>6.3619900248060386</v>
      </c>
      <c r="P21" s="132">
        <f>P22+P31+P34+P39+P44+P48+P51+P54+P57+P62+P66</f>
        <v>4301700</v>
      </c>
      <c r="Q21" s="38">
        <f t="shared" si="2"/>
        <v>1.7737389164511532</v>
      </c>
      <c r="R21" s="38">
        <f t="shared" si="3"/>
        <v>19730900</v>
      </c>
      <c r="S21" s="38">
        <f t="shared" si="4"/>
        <v>8.1357289412571898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0</v>
      </c>
      <c r="O22" s="24">
        <v>0</v>
      </c>
      <c r="P22" s="56">
        <f>SUM(P23:P29)</f>
        <v>1587500</v>
      </c>
      <c r="Q22" s="24">
        <f t="shared" si="2"/>
        <v>1.6398988685989064</v>
      </c>
      <c r="R22" s="24">
        <f t="shared" si="3"/>
        <v>1587500</v>
      </c>
      <c r="S22" s="24">
        <f t="shared" si="4"/>
        <v>1.6398988685989064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0</v>
      </c>
      <c r="O23" s="24"/>
      <c r="P23" s="133">
        <v>989500</v>
      </c>
      <c r="Q23" s="24"/>
      <c r="R23" s="24">
        <f t="shared" si="3"/>
        <v>989500</v>
      </c>
      <c r="S23" s="24"/>
      <c r="T23" s="56"/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/>
      <c r="Q24" s="24">
        <f t="shared" si="2"/>
        <v>0</v>
      </c>
      <c r="R24" s="24">
        <f t="shared" si="3"/>
        <v>0</v>
      </c>
      <c r="S24" s="24">
        <f t="shared" si="4"/>
        <v>0</v>
      </c>
      <c r="T24" s="11"/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0</v>
      </c>
      <c r="O29" s="24">
        <v>0</v>
      </c>
      <c r="P29" s="50">
        <f>[1]feb!$F$13+[1]feb!$F$14</f>
        <v>598000</v>
      </c>
      <c r="Q29" s="24">
        <f t="shared" si="2"/>
        <v>68.264840182648399</v>
      </c>
      <c r="R29" s="24">
        <f t="shared" si="3"/>
        <v>598000</v>
      </c>
      <c r="S29" s="24">
        <f t="shared" si="4"/>
        <v>68.264840182648399</v>
      </c>
      <c r="T29" s="11"/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108000</v>
      </c>
      <c r="O31" s="24">
        <v>3.7177280550774525</v>
      </c>
      <c r="P31" s="62">
        <v>108000</v>
      </c>
      <c r="Q31" s="24">
        <f t="shared" si="2"/>
        <v>3.7177280550774525</v>
      </c>
      <c r="R31" s="24">
        <f t="shared" si="3"/>
        <v>216000</v>
      </c>
      <c r="S31" s="24">
        <f t="shared" si="4"/>
        <v>7.435456110154905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108000</v>
      </c>
      <c r="O32" s="24">
        <v>3.7177280550774525</v>
      </c>
      <c r="P32" s="50">
        <v>108000</v>
      </c>
      <c r="Q32" s="24">
        <f t="shared" si="2"/>
        <v>3.7177280550774525</v>
      </c>
      <c r="R32" s="24">
        <f t="shared" si="3"/>
        <v>216000</v>
      </c>
      <c r="S32" s="24">
        <f t="shared" si="4"/>
        <v>7.435456110154905</v>
      </c>
      <c r="T32" s="62">
        <f>8/104*100</f>
        <v>7.6923076923076925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871200</v>
      </c>
      <c r="O34" s="24">
        <v>4.5768321513002359</v>
      </c>
      <c r="P34" s="73">
        <f>SUM(P35:P37)</f>
        <v>871200</v>
      </c>
      <c r="Q34" s="24">
        <f t="shared" si="2"/>
        <v>4.5768321513002359</v>
      </c>
      <c r="R34" s="24">
        <f t="shared" si="3"/>
        <v>1742400</v>
      </c>
      <c r="S34" s="24">
        <f t="shared" si="4"/>
        <v>9.1536643026004718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867700</v>
      </c>
      <c r="O35" s="24">
        <v>7.2308333333333339</v>
      </c>
      <c r="P35" s="50">
        <v>867700</v>
      </c>
      <c r="Q35" s="24">
        <f t="shared" si="2"/>
        <v>7.2308333333333339</v>
      </c>
      <c r="R35" s="24">
        <f t="shared" si="3"/>
        <v>1735400</v>
      </c>
      <c r="S35" s="24">
        <f t="shared" si="4"/>
        <v>14.461666666666668</v>
      </c>
      <c r="T35" s="11">
        <f>1/12*100</f>
        <v>8.3333333333333321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3500</v>
      </c>
      <c r="O36" s="24">
        <v>0.65420560747663559</v>
      </c>
      <c r="P36" s="50">
        <v>3500</v>
      </c>
      <c r="Q36" s="24">
        <f t="shared" si="2"/>
        <v>0.65420560747663559</v>
      </c>
      <c r="R36" s="24">
        <f t="shared" si="3"/>
        <v>7000</v>
      </c>
      <c r="S36" s="24">
        <f t="shared" si="4"/>
        <v>1.3084112149532712</v>
      </c>
      <c r="T36" s="73">
        <f>1/12*100</f>
        <v>8.3333333333333321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/>
      <c r="Q37" s="24">
        <f t="shared" si="2"/>
        <v>0</v>
      </c>
      <c r="R37" s="24">
        <f t="shared" si="3"/>
        <v>0</v>
      </c>
      <c r="S37" s="24">
        <f t="shared" si="4"/>
        <v>0</v>
      </c>
      <c r="T37" s="11"/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120000</v>
      </c>
      <c r="O44" s="24">
        <v>0.24226884775926552</v>
      </c>
      <c r="P44" s="73">
        <f>SUM(P45:P46)</f>
        <v>90000</v>
      </c>
      <c r="Q44" s="24">
        <f t="shared" si="2"/>
        <v>0.18170163581944915</v>
      </c>
      <c r="R44" s="24">
        <f t="shared" si="3"/>
        <v>210000</v>
      </c>
      <c r="S44" s="24">
        <f t="shared" si="4"/>
        <v>0.42397048357871464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120000</v>
      </c>
      <c r="O46" s="24">
        <v>8.323218311080284</v>
      </c>
      <c r="P46" s="50">
        <v>90000</v>
      </c>
      <c r="Q46" s="24">
        <f t="shared" si="2"/>
        <v>6.2424137333102134</v>
      </c>
      <c r="R46" s="24">
        <f t="shared" si="3"/>
        <v>210000</v>
      </c>
      <c r="S46" s="24">
        <f t="shared" si="4"/>
        <v>14.565632044390497</v>
      </c>
      <c r="T46" s="11">
        <f>480/5757*100</f>
        <v>8.3376758728504434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825000</v>
      </c>
      <c r="O48" s="24">
        <v>9.0909090909090917</v>
      </c>
      <c r="P48" s="73">
        <f>P49</f>
        <v>825000</v>
      </c>
      <c r="Q48" s="24">
        <f t="shared" si="2"/>
        <v>9.0909090909090917</v>
      </c>
      <c r="R48" s="24">
        <f t="shared" si="3"/>
        <v>1650000</v>
      </c>
      <c r="S48" s="24">
        <f t="shared" si="4"/>
        <v>18.181818181818183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825000</v>
      </c>
      <c r="O49" s="24">
        <v>9.0909090909090917</v>
      </c>
      <c r="P49" s="50">
        <v>825000</v>
      </c>
      <c r="Q49" s="24">
        <f t="shared" si="2"/>
        <v>9.0909090909090917</v>
      </c>
      <c r="R49" s="24">
        <f t="shared" si="3"/>
        <v>1650000</v>
      </c>
      <c r="S49" s="24">
        <f t="shared" si="4"/>
        <v>18.181818181818183</v>
      </c>
      <c r="T49" s="57">
        <f>1/11*100</f>
        <v>9.0909090909090917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0</v>
      </c>
      <c r="Q51" s="24"/>
      <c r="R51" s="24">
        <f t="shared" si="3"/>
        <v>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65"/>
      <c r="Q52" s="24"/>
      <c r="R52" s="24">
        <f t="shared" si="3"/>
        <v>0</v>
      </c>
      <c r="S52" s="24"/>
      <c r="T52" s="57"/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0</v>
      </c>
      <c r="Q54" s="24">
        <f t="shared" si="2"/>
        <v>0</v>
      </c>
      <c r="R54" s="24">
        <f t="shared" si="3"/>
        <v>0</v>
      </c>
      <c r="S54" s="24">
        <f t="shared" si="4"/>
        <v>0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/>
      <c r="Q55" s="24">
        <f t="shared" si="2"/>
        <v>0</v>
      </c>
      <c r="R55" s="24">
        <f t="shared" si="3"/>
        <v>0</v>
      </c>
      <c r="S55" s="24">
        <f t="shared" si="4"/>
        <v>0</v>
      </c>
      <c r="T55" s="57"/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250000</v>
      </c>
      <c r="O62" s="24">
        <v>1.9230769230769231</v>
      </c>
      <c r="P62" s="73">
        <f>SUM(P63:P64)</f>
        <v>250000</v>
      </c>
      <c r="Q62" s="24">
        <f t="shared" si="2"/>
        <v>1.9230769230769231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250000</v>
      </c>
      <c r="O63" s="24">
        <v>8.3333333333333321</v>
      </c>
      <c r="P63" s="50">
        <v>250000</v>
      </c>
      <c r="Q63" s="24">
        <f t="shared" si="2"/>
        <v>8.3333333333333321</v>
      </c>
      <c r="R63" s="24">
        <f t="shared" si="3"/>
        <v>500000</v>
      </c>
      <c r="S63" s="24">
        <f t="shared" si="4"/>
        <v>16.666666666666664</v>
      </c>
      <c r="T63" s="57">
        <f>1/12*100</f>
        <v>8.3333333333333321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0</v>
      </c>
      <c r="O66" s="24">
        <v>0</v>
      </c>
      <c r="P66" s="106">
        <f>P67</f>
        <v>570000</v>
      </c>
      <c r="Q66" s="24">
        <f t="shared" si="2"/>
        <v>99.982459217681111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0</v>
      </c>
      <c r="O67" s="24">
        <v>0</v>
      </c>
      <c r="P67" s="109">
        <v>570000</v>
      </c>
      <c r="Q67" s="24">
        <f t="shared" si="2"/>
        <v>99.982459217681111</v>
      </c>
      <c r="R67" s="24">
        <f t="shared" si="3"/>
        <v>570000</v>
      </c>
      <c r="S67" s="24">
        <f t="shared" si="4"/>
        <v>99.982459217681111</v>
      </c>
      <c r="T67" s="8"/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0</v>
      </c>
      <c r="Q69" s="38">
        <f t="shared" si="2"/>
        <v>0</v>
      </c>
      <c r="R69" s="38">
        <f t="shared" si="3"/>
        <v>0</v>
      </c>
      <c r="S69" s="38">
        <f t="shared" si="4"/>
        <v>0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0</v>
      </c>
      <c r="Q70" s="24">
        <f t="shared" si="2"/>
        <v>0</v>
      </c>
      <c r="R70" s="24">
        <f t="shared" si="3"/>
        <v>0</v>
      </c>
      <c r="S70" s="24">
        <f t="shared" si="4"/>
        <v>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/>
      <c r="Q71" s="24">
        <f t="shared" si="2"/>
        <v>0</v>
      </c>
      <c r="R71" s="24">
        <f t="shared" si="3"/>
        <v>0</v>
      </c>
      <c r="S71" s="24">
        <f t="shared" si="4"/>
        <v>0</v>
      </c>
      <c r="T71" s="113"/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28"/>
      <c r="M75" s="121">
        <f>M12</f>
        <v>641304000</v>
      </c>
      <c r="N75" s="122">
        <f t="shared" ref="N75:V75" si="7">N12</f>
        <v>41708480</v>
      </c>
      <c r="O75" s="135">
        <f t="shared" ref="O75" si="8">N75/M75*100</f>
        <v>6.5036987138704889</v>
      </c>
      <c r="P75" s="122">
        <f t="shared" si="7"/>
        <v>4301700</v>
      </c>
      <c r="Q75" s="123">
        <f t="shared" si="2"/>
        <v>0.67077392313161932</v>
      </c>
      <c r="R75" s="124">
        <f t="shared" si="3"/>
        <v>46010180</v>
      </c>
      <c r="S75" s="135">
        <f t="shared" si="4"/>
        <v>7.1744726370021077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94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29"/>
      <c r="S80" s="129"/>
      <c r="T80" s="129"/>
      <c r="U80" s="129"/>
    </row>
    <row r="81" spans="18:21" x14ac:dyDescent="0.25">
      <c r="R81" s="129"/>
      <c r="S81" s="129"/>
      <c r="T81" s="129"/>
      <c r="U81" s="129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A4" sqref="A4:V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96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46010180</v>
      </c>
      <c r="O10" s="17">
        <v>7.1744726370021077</v>
      </c>
      <c r="P10" s="8">
        <f>P12</f>
        <v>87267720</v>
      </c>
      <c r="Q10" s="17">
        <f>P10/M10*100</f>
        <v>13.607855244938438</v>
      </c>
      <c r="R10" s="8">
        <f>R12</f>
        <v>133277900</v>
      </c>
      <c r="S10" s="17">
        <f>R10/M10*100</f>
        <v>20.782327881940546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46010180</v>
      </c>
      <c r="O12" s="24">
        <v>7.1744726370021077</v>
      </c>
      <c r="P12" s="24">
        <f t="shared" ref="P12" si="0">P13+P14+P15</f>
        <v>87267720</v>
      </c>
      <c r="Q12" s="24">
        <f>P12/M12*100</f>
        <v>13.607855244938438</v>
      </c>
      <c r="R12" s="24">
        <f>P12+N12</f>
        <v>133277900</v>
      </c>
      <c r="S12" s="24">
        <f>R12/M12*100</f>
        <v>20.782327881940546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26279280</v>
      </c>
      <c r="O13" s="24">
        <v>6.8296470940458818</v>
      </c>
      <c r="P13" s="24">
        <f t="shared" ref="P13" si="1">P17</f>
        <v>60068520</v>
      </c>
      <c r="Q13" s="24">
        <f t="shared" ref="Q13:Q75" si="2">P13/M13*100</f>
        <v>15.611036263612888</v>
      </c>
      <c r="R13" s="24">
        <f t="shared" ref="R13:R75" si="3">P13+N13</f>
        <v>86347800</v>
      </c>
      <c r="S13" s="24">
        <f t="shared" ref="S13:S75" si="4">R13/M13*100</f>
        <v>22.44068335765877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19730900</v>
      </c>
      <c r="O14" s="24">
        <v>8.1357289412571898</v>
      </c>
      <c r="P14" s="24">
        <f>P21</f>
        <v>22599200</v>
      </c>
      <c r="Q14" s="24">
        <f t="shared" si="2"/>
        <v>9.3184277194278788</v>
      </c>
      <c r="R14" s="24">
        <f t="shared" si="3"/>
        <v>42330100</v>
      </c>
      <c r="S14" s="24">
        <f t="shared" si="4"/>
        <v>17.454156660685069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0</v>
      </c>
      <c r="O15" s="24">
        <v>0</v>
      </c>
      <c r="P15" s="24">
        <f t="shared" ref="P15" si="5">P69</f>
        <v>4600000</v>
      </c>
      <c r="Q15" s="24">
        <f t="shared" si="2"/>
        <v>32.857142857142854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26279280</v>
      </c>
      <c r="O17" s="38">
        <v>6.8296470940458818</v>
      </c>
      <c r="P17" s="37">
        <f t="shared" ref="P17:P18" si="6">P18</f>
        <v>60068520</v>
      </c>
      <c r="Q17" s="38">
        <f t="shared" si="2"/>
        <v>15.611036263612888</v>
      </c>
      <c r="R17" s="38">
        <f t="shared" si="3"/>
        <v>86347800</v>
      </c>
      <c r="S17" s="38">
        <f t="shared" si="4"/>
        <v>22.44068335765877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26279280</v>
      </c>
      <c r="O18" s="24">
        <v>6.8296470940458818</v>
      </c>
      <c r="P18" s="41">
        <f t="shared" si="6"/>
        <v>60068520</v>
      </c>
      <c r="Q18" s="24">
        <f t="shared" si="2"/>
        <v>15.611036263612888</v>
      </c>
      <c r="R18" s="24">
        <f t="shared" si="3"/>
        <v>86347800</v>
      </c>
      <c r="S18" s="24">
        <f t="shared" si="4"/>
        <v>22.44068335765877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26279280</v>
      </c>
      <c r="O19" s="24">
        <v>6.8296470940458818</v>
      </c>
      <c r="P19" s="47">
        <v>60068520</v>
      </c>
      <c r="Q19" s="24">
        <f t="shared" si="2"/>
        <v>15.611036263612888</v>
      </c>
      <c r="R19" s="24">
        <f t="shared" si="3"/>
        <v>86347800</v>
      </c>
      <c r="S19" s="24">
        <f t="shared" si="4"/>
        <v>22.44068335765877</v>
      </c>
      <c r="T19" s="41">
        <f>3/12*100</f>
        <v>25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19730900</v>
      </c>
      <c r="O21" s="38">
        <v>8.1357289412571898</v>
      </c>
      <c r="P21" s="132">
        <f>P22+P31+P34+P39+P44+P48+P51+P54+P57+P62+P66</f>
        <v>22599200</v>
      </c>
      <c r="Q21" s="38">
        <f t="shared" si="2"/>
        <v>9.3184277194278788</v>
      </c>
      <c r="R21" s="38">
        <f t="shared" si="3"/>
        <v>42330100</v>
      </c>
      <c r="S21" s="38">
        <f t="shared" si="4"/>
        <v>17.454156660685069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1587500</v>
      </c>
      <c r="O22" s="24">
        <v>1.6398988685989064</v>
      </c>
      <c r="P22" s="56">
        <f>SUM(P23:P29)</f>
        <v>600000</v>
      </c>
      <c r="Q22" s="24">
        <f t="shared" si="2"/>
        <v>0.61980429679328752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0</v>
      </c>
      <c r="O24" s="24">
        <v>0</v>
      </c>
      <c r="P24" s="50">
        <v>600000</v>
      </c>
      <c r="Q24" s="24">
        <f t="shared" si="2"/>
        <v>100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216000</v>
      </c>
      <c r="O31" s="24">
        <v>7.435456110154905</v>
      </c>
      <c r="P31" s="62">
        <v>108000</v>
      </c>
      <c r="Q31" s="24">
        <f t="shared" si="2"/>
        <v>3.7177280550774525</v>
      </c>
      <c r="R31" s="24">
        <f t="shared" si="3"/>
        <v>324000</v>
      </c>
      <c r="S31" s="24">
        <f t="shared" si="4"/>
        <v>11.153184165232357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216000</v>
      </c>
      <c r="O32" s="24">
        <v>7.435456110154905</v>
      </c>
      <c r="P32" s="50">
        <v>108000</v>
      </c>
      <c r="Q32" s="24">
        <f t="shared" si="2"/>
        <v>3.7177280550774525</v>
      </c>
      <c r="R32" s="24">
        <f t="shared" si="3"/>
        <v>324000</v>
      </c>
      <c r="S32" s="24">
        <f t="shared" si="4"/>
        <v>11.153184165232357</v>
      </c>
      <c r="T32" s="62">
        <f>24/104*100</f>
        <v>23.076923076923077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1742400</v>
      </c>
      <c r="O34" s="24">
        <v>9.1536643026004718</v>
      </c>
      <c r="P34" s="73">
        <f>SUM(P35:P37)</f>
        <v>3521200</v>
      </c>
      <c r="Q34" s="24">
        <f t="shared" si="2"/>
        <v>18.498555292881534</v>
      </c>
      <c r="R34" s="24">
        <f t="shared" si="3"/>
        <v>5263600</v>
      </c>
      <c r="S34" s="24">
        <f t="shared" si="4"/>
        <v>27.652219595482009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1735400</v>
      </c>
      <c r="O35" s="24">
        <v>14.461666666666668</v>
      </c>
      <c r="P35" s="50">
        <v>867700</v>
      </c>
      <c r="Q35" s="24">
        <f t="shared" si="2"/>
        <v>7.2308333333333339</v>
      </c>
      <c r="R35" s="24">
        <f t="shared" si="3"/>
        <v>2603100</v>
      </c>
      <c r="S35" s="24">
        <f t="shared" si="4"/>
        <v>21.692499999999999</v>
      </c>
      <c r="T35" s="11">
        <f>3/12*100</f>
        <v>25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7000</v>
      </c>
      <c r="O36" s="24">
        <v>1.3084112149532712</v>
      </c>
      <c r="P36" s="50">
        <v>3500</v>
      </c>
      <c r="Q36" s="24">
        <f t="shared" si="2"/>
        <v>0.65420560747663559</v>
      </c>
      <c r="R36" s="24">
        <f t="shared" si="3"/>
        <v>10500</v>
      </c>
      <c r="S36" s="24">
        <f t="shared" si="4"/>
        <v>1.9626168224299065</v>
      </c>
      <c r="T36" s="73">
        <f>3/12*100</f>
        <v>25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0</v>
      </c>
      <c r="O37" s="24">
        <v>0</v>
      </c>
      <c r="P37" s="50">
        <v>2650000</v>
      </c>
      <c r="Q37" s="24">
        <f t="shared" si="2"/>
        <v>40.769230769230766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210000</v>
      </c>
      <c r="O44" s="24">
        <v>0.42397048357871464</v>
      </c>
      <c r="P44" s="73">
        <f>SUM(P45:P46)</f>
        <v>120000</v>
      </c>
      <c r="Q44" s="24">
        <f t="shared" si="2"/>
        <v>0.24226884775926552</v>
      </c>
      <c r="R44" s="24">
        <f t="shared" si="3"/>
        <v>330000</v>
      </c>
      <c r="S44" s="24">
        <f t="shared" si="4"/>
        <v>0.66623933133798019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210000</v>
      </c>
      <c r="O46" s="24">
        <v>14.565632044390497</v>
      </c>
      <c r="P46" s="50">
        <v>120000</v>
      </c>
      <c r="Q46" s="24">
        <f t="shared" si="2"/>
        <v>8.323218311080284</v>
      </c>
      <c r="R46" s="24">
        <f t="shared" si="3"/>
        <v>330000</v>
      </c>
      <c r="S46" s="24">
        <f t="shared" si="4"/>
        <v>22.888850355470783</v>
      </c>
      <c r="T46" s="11">
        <f>1320/5757*100</f>
        <v>22.92860865033872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1650000</v>
      </c>
      <c r="O48" s="24">
        <v>18.181818181818183</v>
      </c>
      <c r="P48" s="73">
        <f>P49</f>
        <v>750000</v>
      </c>
      <c r="Q48" s="24">
        <f t="shared" si="2"/>
        <v>8.2644628099173563</v>
      </c>
      <c r="R48" s="24">
        <f t="shared" si="3"/>
        <v>2400000</v>
      </c>
      <c r="S48" s="24">
        <f t="shared" si="4"/>
        <v>26.446280991735538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1650000</v>
      </c>
      <c r="O49" s="24">
        <v>18.181818181818183</v>
      </c>
      <c r="P49" s="50">
        <v>750000</v>
      </c>
      <c r="Q49" s="24">
        <f t="shared" si="2"/>
        <v>8.2644628099173563</v>
      </c>
      <c r="R49" s="24">
        <f t="shared" si="3"/>
        <v>2400000</v>
      </c>
      <c r="S49" s="24">
        <f t="shared" si="4"/>
        <v>26.446280991735538</v>
      </c>
      <c r="T49" s="57">
        <f>3/11*100</f>
        <v>27.27272727272727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0</v>
      </c>
      <c r="O51" s="24"/>
      <c r="P51" s="65">
        <f>P52</f>
        <v>4500000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0</v>
      </c>
      <c r="O52" s="24"/>
      <c r="P52" s="50">
        <v>4500000</v>
      </c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0</v>
      </c>
      <c r="O54" s="24">
        <v>0</v>
      </c>
      <c r="P54" s="73">
        <f>P55</f>
        <v>13000000</v>
      </c>
      <c r="Q54" s="24">
        <f t="shared" si="2"/>
        <v>86.666666666666671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0</v>
      </c>
      <c r="O55" s="24">
        <v>0</v>
      </c>
      <c r="P55" s="50">
        <v>13000000</v>
      </c>
      <c r="Q55" s="24">
        <f t="shared" si="2"/>
        <v>86.666666666666671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0</v>
      </c>
      <c r="O69" s="38">
        <v>0</v>
      </c>
      <c r="P69" s="134">
        <f>P70+P73</f>
        <v>4600000</v>
      </c>
      <c r="Q69" s="38">
        <f t="shared" si="2"/>
        <v>32.857142857142854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0</v>
      </c>
      <c r="O70" s="24">
        <v>0</v>
      </c>
      <c r="P70" s="89">
        <f>P71</f>
        <v>4600000</v>
      </c>
      <c r="Q70" s="24">
        <f t="shared" si="2"/>
        <v>100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0</v>
      </c>
      <c r="O71" s="24">
        <v>0</v>
      </c>
      <c r="P71" s="57">
        <v>4600000</v>
      </c>
      <c r="Q71" s="24">
        <f t="shared" si="2"/>
        <v>100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30"/>
      <c r="M75" s="121">
        <f>M12</f>
        <v>641304000</v>
      </c>
      <c r="N75" s="122">
        <f t="shared" ref="N75:V75" si="7">N12</f>
        <v>46010180</v>
      </c>
      <c r="O75" s="135">
        <f t="shared" ref="O75" si="8">N75/M75*100</f>
        <v>7.1744726370021077</v>
      </c>
      <c r="P75" s="122">
        <f t="shared" si="7"/>
        <v>87267720</v>
      </c>
      <c r="Q75" s="123">
        <f t="shared" si="2"/>
        <v>13.607855244938438</v>
      </c>
      <c r="R75" s="124">
        <f t="shared" si="3"/>
        <v>133277900</v>
      </c>
      <c r="S75" s="135">
        <f t="shared" si="4"/>
        <v>20.782327881940546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94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31"/>
      <c r="S80" s="131"/>
      <c r="T80" s="131"/>
      <c r="U80" s="131"/>
    </row>
    <row r="81" spans="18:21" x14ac:dyDescent="0.25">
      <c r="R81" s="131"/>
      <c r="S81" s="131"/>
      <c r="T81" s="131"/>
      <c r="U81" s="131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I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97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133277900</v>
      </c>
      <c r="O10" s="17">
        <v>20.782327881940546</v>
      </c>
      <c r="P10" s="8">
        <f>P12</f>
        <v>32374600</v>
      </c>
      <c r="Q10" s="17">
        <f>P10/M10*100</f>
        <v>5.0482454498958367</v>
      </c>
      <c r="R10" s="8">
        <f>R12</f>
        <v>165652500</v>
      </c>
      <c r="S10" s="17">
        <f>R10/M10*100</f>
        <v>25.830573331836383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133277900</v>
      </c>
      <c r="O12" s="24">
        <v>20.782327881940546</v>
      </c>
      <c r="P12" s="24">
        <f t="shared" ref="P12" si="0">P13+P14+P15</f>
        <v>32374600</v>
      </c>
      <c r="Q12" s="24">
        <f>P12/M12*100</f>
        <v>5.0482454498958367</v>
      </c>
      <c r="R12" s="24">
        <f>P12+N12</f>
        <v>165652500</v>
      </c>
      <c r="S12" s="24">
        <f>R12/M12*100</f>
        <v>25.830573331836383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86347800</v>
      </c>
      <c r="O13" s="24">
        <v>22.44068335765877</v>
      </c>
      <c r="P13" s="24">
        <f t="shared" ref="P13" si="1">P17</f>
        <v>30546000</v>
      </c>
      <c r="Q13" s="24">
        <f t="shared" ref="Q13:Q75" si="2">P13/M13*100</f>
        <v>7.9385127802103215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42330100</v>
      </c>
      <c r="O14" s="24">
        <v>17.454156660685069</v>
      </c>
      <c r="P14" s="24">
        <f>P21</f>
        <v>1828600</v>
      </c>
      <c r="Q14" s="24">
        <f t="shared" si="2"/>
        <v>0.75399469573019473</v>
      </c>
      <c r="R14" s="24">
        <f t="shared" si="3"/>
        <v>44158700</v>
      </c>
      <c r="S14" s="24">
        <f t="shared" si="4"/>
        <v>18.208151356415264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86347800</v>
      </c>
      <c r="O17" s="38">
        <v>22.44068335765877</v>
      </c>
      <c r="P17" s="37">
        <f t="shared" ref="P17:P18" si="6">P18</f>
        <v>30546000</v>
      </c>
      <c r="Q17" s="38">
        <f t="shared" si="2"/>
        <v>7.9385127802103215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86347800</v>
      </c>
      <c r="O18" s="24">
        <v>22.44068335765877</v>
      </c>
      <c r="P18" s="41">
        <f t="shared" si="6"/>
        <v>30546000</v>
      </c>
      <c r="Q18" s="24">
        <f t="shared" si="2"/>
        <v>7.9385127802103215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86347800</v>
      </c>
      <c r="O19" s="24">
        <v>22.44068335765877</v>
      </c>
      <c r="P19" s="47">
        <v>30546000</v>
      </c>
      <c r="Q19" s="24">
        <f t="shared" si="2"/>
        <v>7.9385127802103215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42330100</v>
      </c>
      <c r="O21" s="38">
        <v>17.454156660685069</v>
      </c>
      <c r="P21" s="132">
        <f>P22+P31+P34+P39+P44+P48+P51+P54+P57+P62+P66</f>
        <v>1828600</v>
      </c>
      <c r="Q21" s="38">
        <f t="shared" si="2"/>
        <v>0.75399469573019473</v>
      </c>
      <c r="R21" s="38">
        <f t="shared" si="3"/>
        <v>44158700</v>
      </c>
      <c r="S21" s="38">
        <f t="shared" si="4"/>
        <v>18.208151356415264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324000</v>
      </c>
      <c r="O31" s="24">
        <v>11.153184165232357</v>
      </c>
      <c r="P31" s="62">
        <v>108000</v>
      </c>
      <c r="Q31" s="24">
        <f t="shared" si="2"/>
        <v>3.7177280550774525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324000</v>
      </c>
      <c r="O32" s="24">
        <v>11.153184165232357</v>
      </c>
      <c r="P32" s="50">
        <v>108000</v>
      </c>
      <c r="Q32" s="24">
        <f t="shared" si="2"/>
        <v>3.7177280550774525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5263600</v>
      </c>
      <c r="O34" s="24">
        <v>27.652219595482009</v>
      </c>
      <c r="P34" s="73">
        <f>SUM(P35:P37)</f>
        <v>870600</v>
      </c>
      <c r="Q34" s="24">
        <f t="shared" si="2"/>
        <v>4.5736800630417651</v>
      </c>
      <c r="R34" s="24">
        <f t="shared" si="3"/>
        <v>6134200</v>
      </c>
      <c r="S34" s="24">
        <f t="shared" si="4"/>
        <v>32.225899658523772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2603100</v>
      </c>
      <c r="O35" s="24">
        <v>21.692499999999999</v>
      </c>
      <c r="P35" s="50">
        <v>867700</v>
      </c>
      <c r="Q35" s="24">
        <f t="shared" si="2"/>
        <v>7.2308333333333339</v>
      </c>
      <c r="R35" s="24">
        <f t="shared" si="3"/>
        <v>3470800</v>
      </c>
      <c r="S35" s="24">
        <f t="shared" si="4"/>
        <v>28.923333333333336</v>
      </c>
      <c r="T35" s="11">
        <f>4/12*100</f>
        <v>33.333333333333329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10500</v>
      </c>
      <c r="O36" s="24">
        <v>1.9626168224299065</v>
      </c>
      <c r="P36" s="50">
        <v>2900</v>
      </c>
      <c r="Q36" s="24">
        <f t="shared" si="2"/>
        <v>0.54205607476635509</v>
      </c>
      <c r="R36" s="24">
        <f t="shared" si="3"/>
        <v>13400</v>
      </c>
      <c r="S36" s="24">
        <f t="shared" si="4"/>
        <v>2.5046728971962615</v>
      </c>
      <c r="T36" s="73">
        <f>4/12*100</f>
        <v>33.333333333333329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330000</v>
      </c>
      <c r="O44" s="24">
        <v>0.66623933133798019</v>
      </c>
      <c r="P44" s="73">
        <f>SUM(P45:P46)</f>
        <v>100000</v>
      </c>
      <c r="Q44" s="24">
        <f t="shared" si="2"/>
        <v>0.20189070646605459</v>
      </c>
      <c r="R44" s="24">
        <f t="shared" si="3"/>
        <v>430000</v>
      </c>
      <c r="S44" s="24">
        <f t="shared" si="4"/>
        <v>0.86813003780403486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330000</v>
      </c>
      <c r="O46" s="24">
        <v>22.888850355470783</v>
      </c>
      <c r="P46" s="50">
        <v>100000</v>
      </c>
      <c r="Q46" s="24">
        <f t="shared" si="2"/>
        <v>6.93601525923357</v>
      </c>
      <c r="R46" s="24">
        <f t="shared" si="3"/>
        <v>430000</v>
      </c>
      <c r="S46" s="24">
        <f t="shared" si="4"/>
        <v>29.824865614704354</v>
      </c>
      <c r="T46" s="11">
        <f>(1320+400)/5757*100</f>
        <v>29.876671877714088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2400000</v>
      </c>
      <c r="O48" s="24">
        <v>26.446280991735538</v>
      </c>
      <c r="P48" s="73">
        <f>P49</f>
        <v>750000</v>
      </c>
      <c r="Q48" s="24">
        <f t="shared" si="2"/>
        <v>8.2644628099173563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2400000</v>
      </c>
      <c r="O49" s="24">
        <v>26.446280991735538</v>
      </c>
      <c r="P49" s="50">
        <v>750000</v>
      </c>
      <c r="Q49" s="24">
        <f t="shared" si="2"/>
        <v>8.2644628099173563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f>SUM(P63:P64)</f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36"/>
      <c r="M75" s="121">
        <f>M12</f>
        <v>641304000</v>
      </c>
      <c r="N75" s="122">
        <f t="shared" ref="N75:V75" si="7">N12</f>
        <v>133277900</v>
      </c>
      <c r="O75" s="135">
        <f t="shared" ref="O75" si="8">N75/M75*100</f>
        <v>20.782327881940546</v>
      </c>
      <c r="P75" s="122">
        <f t="shared" si="7"/>
        <v>32374600</v>
      </c>
      <c r="Q75" s="123">
        <f t="shared" si="2"/>
        <v>5.0482454498958367</v>
      </c>
      <c r="R75" s="124">
        <f t="shared" si="3"/>
        <v>165652500</v>
      </c>
      <c r="S75" s="135">
        <f t="shared" si="4"/>
        <v>25.830573331836383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95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37"/>
      <c r="S80" s="137"/>
      <c r="T80" s="137"/>
      <c r="U80" s="137"/>
    </row>
    <row r="81" spans="18:21" x14ac:dyDescent="0.25">
      <c r="R81" s="137"/>
      <c r="S81" s="137"/>
      <c r="T81" s="137"/>
      <c r="U81" s="137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K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98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165652500</v>
      </c>
      <c r="O10" s="17">
        <v>25.830573331836383</v>
      </c>
      <c r="P10" s="8">
        <f>P12</f>
        <v>982600</v>
      </c>
      <c r="Q10" s="17">
        <f>P10/M10*100</f>
        <v>0.15321906615271386</v>
      </c>
      <c r="R10" s="8">
        <f>R12</f>
        <v>166635100</v>
      </c>
      <c r="S10" s="17">
        <f>R10/M10*100</f>
        <v>25.983792397989099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165652500</v>
      </c>
      <c r="O12" s="24">
        <v>25.830573331836383</v>
      </c>
      <c r="P12" s="24">
        <f t="shared" ref="P12" si="0">P13+P14+P15</f>
        <v>982600</v>
      </c>
      <c r="Q12" s="24">
        <f>P12/M12*100</f>
        <v>0.15321906615271386</v>
      </c>
      <c r="R12" s="24">
        <f>P12+N12</f>
        <v>166635100</v>
      </c>
      <c r="S12" s="24">
        <f>R12/M12*100</f>
        <v>25.983792397989099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0</v>
      </c>
      <c r="Q13" s="24">
        <f t="shared" ref="Q13:Q75" si="2">P13/M13*100</f>
        <v>0</v>
      </c>
      <c r="R13" s="24">
        <f t="shared" ref="R13:R75" si="3">P13+N13</f>
        <v>116893800</v>
      </c>
      <c r="S13" s="24">
        <f t="shared" ref="S13:S75" si="4">R13/M13*100</f>
        <v>30.379196137869091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44158700</v>
      </c>
      <c r="O14" s="24">
        <v>18.208151356415264</v>
      </c>
      <c r="P14" s="24">
        <f>P21</f>
        <v>982600</v>
      </c>
      <c r="Q14" s="24">
        <f t="shared" si="2"/>
        <v>0.40515978782920775</v>
      </c>
      <c r="R14" s="24">
        <f t="shared" si="3"/>
        <v>45141300</v>
      </c>
      <c r="S14" s="24">
        <f t="shared" si="4"/>
        <v>18.61331114424447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0</v>
      </c>
      <c r="Q17" s="38">
        <f t="shared" si="2"/>
        <v>0</v>
      </c>
      <c r="R17" s="38">
        <f t="shared" si="3"/>
        <v>116893800</v>
      </c>
      <c r="S17" s="38">
        <f t="shared" si="4"/>
        <v>30.379196137869091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0</v>
      </c>
      <c r="Q18" s="24">
        <f t="shared" si="2"/>
        <v>0</v>
      </c>
      <c r="R18" s="24">
        <f t="shared" si="3"/>
        <v>116893800</v>
      </c>
      <c r="S18" s="24">
        <f t="shared" si="4"/>
        <v>30.379196137869091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/>
      <c r="Q19" s="24">
        <f t="shared" si="2"/>
        <v>0</v>
      </c>
      <c r="R19" s="24">
        <f t="shared" si="3"/>
        <v>116893800</v>
      </c>
      <c r="S19" s="24">
        <f t="shared" si="4"/>
        <v>30.379196137869091</v>
      </c>
      <c r="T19" s="41">
        <f>4/12*100</f>
        <v>33.333333333333329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44158700</v>
      </c>
      <c r="O21" s="38">
        <v>18.208151356415264</v>
      </c>
      <c r="P21" s="132">
        <v>982600</v>
      </c>
      <c r="Q21" s="38">
        <f t="shared" si="2"/>
        <v>0.40515978782920775</v>
      </c>
      <c r="R21" s="38">
        <f t="shared" si="3"/>
        <v>45141300</v>
      </c>
      <c r="S21" s="38">
        <f t="shared" si="4"/>
        <v>18.61331114424447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0</v>
      </c>
      <c r="Q31" s="24">
        <f t="shared" si="2"/>
        <v>0</v>
      </c>
      <c r="R31" s="24">
        <f t="shared" si="3"/>
        <v>432000</v>
      </c>
      <c r="S31" s="24">
        <f t="shared" si="4"/>
        <v>14.87091222030981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/>
      <c r="Q32" s="24">
        <f t="shared" si="2"/>
        <v>0</v>
      </c>
      <c r="R32" s="24">
        <f t="shared" si="3"/>
        <v>432000</v>
      </c>
      <c r="S32" s="24">
        <f t="shared" si="4"/>
        <v>14.87091222030981</v>
      </c>
      <c r="T32" s="62">
        <f>24+8/104*100</f>
        <v>31.692307692307693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6134200</v>
      </c>
      <c r="O34" s="24">
        <v>32.225899658523772</v>
      </c>
      <c r="P34" s="73">
        <v>870600</v>
      </c>
      <c r="Q34" s="24">
        <f t="shared" si="2"/>
        <v>4.5736800630417651</v>
      </c>
      <c r="R34" s="24">
        <f t="shared" si="3"/>
        <v>7004800</v>
      </c>
      <c r="S34" s="24">
        <f t="shared" si="4"/>
        <v>36.799579721565543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3470800</v>
      </c>
      <c r="O35" s="24">
        <v>28.923333333333336</v>
      </c>
      <c r="P35" s="50">
        <v>867700</v>
      </c>
      <c r="Q35" s="24">
        <f t="shared" si="2"/>
        <v>7.2308333333333339</v>
      </c>
      <c r="R35" s="24">
        <f t="shared" si="3"/>
        <v>4338500</v>
      </c>
      <c r="S35" s="24">
        <f t="shared" si="4"/>
        <v>36.154166666666669</v>
      </c>
      <c r="T35" s="11">
        <f>5/12*100</f>
        <v>41.666666666666671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13400</v>
      </c>
      <c r="O36" s="24">
        <v>2.5046728971962615</v>
      </c>
      <c r="P36" s="50">
        <v>2900</v>
      </c>
      <c r="Q36" s="24">
        <f t="shared" si="2"/>
        <v>0.54205607476635509</v>
      </c>
      <c r="R36" s="24">
        <f t="shared" si="3"/>
        <v>16300</v>
      </c>
      <c r="S36" s="24">
        <f t="shared" si="4"/>
        <v>3.0467289719626169</v>
      </c>
      <c r="T36" s="73">
        <f>5/12*100</f>
        <v>41.666666666666671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430000</v>
      </c>
      <c r="O44" s="24">
        <v>0.86813003780403486</v>
      </c>
      <c r="P44" s="73">
        <v>112000</v>
      </c>
      <c r="Q44" s="24">
        <f t="shared" si="2"/>
        <v>0.22611759124198114</v>
      </c>
      <c r="R44" s="24">
        <f t="shared" si="3"/>
        <v>542000</v>
      </c>
      <c r="S44" s="24">
        <f t="shared" si="4"/>
        <v>1.0942476290460159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/>
      <c r="Q45" s="24">
        <f t="shared" si="2"/>
        <v>0</v>
      </c>
      <c r="R45" s="24">
        <f t="shared" si="3"/>
        <v>0</v>
      </c>
      <c r="S45" s="24">
        <f t="shared" si="4"/>
        <v>0</v>
      </c>
      <c r="T45" s="11"/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430000</v>
      </c>
      <c r="O46" s="24">
        <v>29.824865614704354</v>
      </c>
      <c r="P46" s="50">
        <v>112000</v>
      </c>
      <c r="Q46" s="24">
        <f t="shared" si="2"/>
        <v>7.768337090341598</v>
      </c>
      <c r="R46" s="24">
        <f t="shared" si="3"/>
        <v>542000</v>
      </c>
      <c r="S46" s="24">
        <f t="shared" si="4"/>
        <v>37.593202705045954</v>
      </c>
      <c r="T46" s="11">
        <f>(1320+400+448)/5757*100</f>
        <v>37.658502692374505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0</v>
      </c>
      <c r="Q48" s="24">
        <f t="shared" si="2"/>
        <v>0</v>
      </c>
      <c r="R48" s="24">
        <f t="shared" si="3"/>
        <v>3150000</v>
      </c>
      <c r="S48" s="24">
        <f t="shared" si="4"/>
        <v>34.710743801652896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/>
      <c r="Q49" s="24">
        <f t="shared" si="2"/>
        <v>0</v>
      </c>
      <c r="R49" s="24">
        <f t="shared" si="3"/>
        <v>3150000</v>
      </c>
      <c r="S49" s="24">
        <f t="shared" si="4"/>
        <v>34.710743801652896</v>
      </c>
      <c r="T49" s="57">
        <f>4/11*100</f>
        <v>36.363636363636367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24">
        <v>0</v>
      </c>
      <c r="O58" s="24">
        <v>0</v>
      </c>
      <c r="P58" s="50"/>
      <c r="Q58" s="24">
        <f t="shared" si="2"/>
        <v>0</v>
      </c>
      <c r="R58" s="24">
        <f t="shared" si="3"/>
        <v>0</v>
      </c>
      <c r="S58" s="24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24">
        <v>13255000</v>
      </c>
      <c r="O59" s="24">
        <v>86.071428571428584</v>
      </c>
      <c r="P59" s="50"/>
      <c r="Q59" s="24">
        <f t="shared" si="2"/>
        <v>0</v>
      </c>
      <c r="R59" s="24">
        <f t="shared" si="3"/>
        <v>13255000</v>
      </c>
      <c r="S59" s="24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24">
        <v>0</v>
      </c>
      <c r="O60" s="24">
        <v>0</v>
      </c>
      <c r="P60" s="50"/>
      <c r="Q60" s="24">
        <f t="shared" si="2"/>
        <v>0</v>
      </c>
      <c r="R60" s="24">
        <f t="shared" si="3"/>
        <v>0</v>
      </c>
      <c r="S60" s="24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24"/>
      <c r="O61" s="24"/>
      <c r="P61" s="50"/>
      <c r="Q61" s="24"/>
      <c r="R61" s="24"/>
      <c r="S61" s="24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24">
        <v>500000</v>
      </c>
      <c r="O63" s="24">
        <v>16.666666666666664</v>
      </c>
      <c r="P63" s="50"/>
      <c r="Q63" s="24">
        <f t="shared" si="2"/>
        <v>0</v>
      </c>
      <c r="R63" s="24">
        <f t="shared" si="3"/>
        <v>500000</v>
      </c>
      <c r="S63" s="24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24">
        <v>0</v>
      </c>
      <c r="O64" s="24">
        <v>0</v>
      </c>
      <c r="P64" s="65"/>
      <c r="Q64" s="24">
        <f t="shared" si="2"/>
        <v>0</v>
      </c>
      <c r="R64" s="24">
        <f t="shared" si="3"/>
        <v>0</v>
      </c>
      <c r="S64" s="24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24">
        <v>99.982459217681111</v>
      </c>
      <c r="P67" s="109"/>
      <c r="Q67" s="24">
        <f t="shared" si="2"/>
        <v>0</v>
      </c>
      <c r="R67" s="24">
        <f t="shared" si="3"/>
        <v>570000</v>
      </c>
      <c r="S67" s="24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24">
        <v>100</v>
      </c>
      <c r="P71" s="57"/>
      <c r="Q71" s="24">
        <f t="shared" si="2"/>
        <v>0</v>
      </c>
      <c r="R71" s="24">
        <f t="shared" si="3"/>
        <v>4600000</v>
      </c>
      <c r="S71" s="24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24"/>
      <c r="P72" s="57"/>
      <c r="Q72" s="24"/>
      <c r="R72" s="24"/>
      <c r="S72" s="24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38"/>
      <c r="M75" s="121">
        <f>M12</f>
        <v>641304000</v>
      </c>
      <c r="N75" s="122">
        <f t="shared" ref="N75:V75" si="7">N12</f>
        <v>165652500</v>
      </c>
      <c r="O75" s="135">
        <f t="shared" ref="O75" si="8">N75/M75*100</f>
        <v>25.830573331836383</v>
      </c>
      <c r="P75" s="122">
        <f t="shared" si="7"/>
        <v>982600</v>
      </c>
      <c r="Q75" s="123">
        <f t="shared" si="2"/>
        <v>0.15321906615271386</v>
      </c>
      <c r="R75" s="124">
        <f t="shared" si="3"/>
        <v>166635100</v>
      </c>
      <c r="S75" s="135">
        <f t="shared" si="4"/>
        <v>25.983792397989099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99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39"/>
      <c r="S80" s="139"/>
      <c r="T80" s="139"/>
      <c r="U80" s="139"/>
    </row>
    <row r="81" spans="18:21" x14ac:dyDescent="0.25">
      <c r="R81" s="139"/>
      <c r="S81" s="139"/>
      <c r="T81" s="139"/>
      <c r="U81" s="139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I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100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166635100</v>
      </c>
      <c r="O10" s="17">
        <v>25.983792397989099</v>
      </c>
      <c r="P10" s="8">
        <f>P12</f>
        <v>108007400</v>
      </c>
      <c r="Q10" s="17">
        <f>P10/M10*100</f>
        <v>16.84184099896461</v>
      </c>
      <c r="R10" s="8">
        <f>R12</f>
        <v>274642500</v>
      </c>
      <c r="S10" s="17">
        <f>R10/M10*100</f>
        <v>42.825633396953705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166635100</v>
      </c>
      <c r="O12" s="24">
        <v>25.983792397989099</v>
      </c>
      <c r="P12" s="24">
        <f t="shared" ref="P12" si="0">P13+P14+P15</f>
        <v>108007400</v>
      </c>
      <c r="Q12" s="24">
        <f>P12/M12*100</f>
        <v>16.84184099896461</v>
      </c>
      <c r="R12" s="24">
        <f>P12+N12</f>
        <v>274642500</v>
      </c>
      <c r="S12" s="24">
        <f>R12/M12*100</f>
        <v>42.825633396953705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116893800</v>
      </c>
      <c r="O13" s="24">
        <v>30.379196137869091</v>
      </c>
      <c r="P13" s="24">
        <f t="shared" ref="P13" si="1">P17</f>
        <v>58654800</v>
      </c>
      <c r="Q13" s="24">
        <f t="shared" ref="Q13:Q75" si="2">P13/M13*100</f>
        <v>15.243628606713822</v>
      </c>
      <c r="R13" s="24">
        <f t="shared" ref="R13:R75" si="3">P13+N13</f>
        <v>175548600</v>
      </c>
      <c r="S13" s="24">
        <f t="shared" ref="S13:S75" si="4">R13/M13*100</f>
        <v>45.622824744582914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45141300</v>
      </c>
      <c r="O14" s="24">
        <v>18.61331114424447</v>
      </c>
      <c r="P14" s="24">
        <f>P21</f>
        <v>49352600</v>
      </c>
      <c r="Q14" s="24">
        <f t="shared" si="2"/>
        <v>20.349775030347814</v>
      </c>
      <c r="R14" s="24">
        <f t="shared" si="3"/>
        <v>94493900</v>
      </c>
      <c r="S14" s="24">
        <f t="shared" si="4"/>
        <v>38.963086174592284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116893800</v>
      </c>
      <c r="O17" s="38">
        <v>30.379196137869091</v>
      </c>
      <c r="P17" s="37">
        <f t="shared" ref="P17:P18" si="6">P18</f>
        <v>58654800</v>
      </c>
      <c r="Q17" s="38">
        <f t="shared" si="2"/>
        <v>15.243628606713822</v>
      </c>
      <c r="R17" s="38">
        <f t="shared" si="3"/>
        <v>175548600</v>
      </c>
      <c r="S17" s="38">
        <f t="shared" si="4"/>
        <v>45.622824744582914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116893800</v>
      </c>
      <c r="O18" s="24">
        <v>30.379196137869091</v>
      </c>
      <c r="P18" s="41">
        <f t="shared" si="6"/>
        <v>58654800</v>
      </c>
      <c r="Q18" s="24">
        <f t="shared" si="2"/>
        <v>15.243628606713822</v>
      </c>
      <c r="R18" s="24">
        <f t="shared" si="3"/>
        <v>175548600</v>
      </c>
      <c r="S18" s="24">
        <f t="shared" si="4"/>
        <v>45.622824744582914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116893800</v>
      </c>
      <c r="O19" s="24">
        <v>30.379196137869091</v>
      </c>
      <c r="P19" s="47">
        <v>58654800</v>
      </c>
      <c r="Q19" s="24">
        <f t="shared" si="2"/>
        <v>15.243628606713822</v>
      </c>
      <c r="R19" s="24">
        <f t="shared" si="3"/>
        <v>175548600</v>
      </c>
      <c r="S19" s="24">
        <f t="shared" si="4"/>
        <v>45.622824744582914</v>
      </c>
      <c r="T19" s="41">
        <f>6/12*100</f>
        <v>50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45141300</v>
      </c>
      <c r="O21" s="38">
        <v>18.61331114424447</v>
      </c>
      <c r="P21" s="132">
        <v>49352600</v>
      </c>
      <c r="Q21" s="38">
        <f t="shared" si="2"/>
        <v>20.349775030347814</v>
      </c>
      <c r="R21" s="38">
        <f t="shared" si="3"/>
        <v>94493900</v>
      </c>
      <c r="S21" s="38">
        <f t="shared" si="4"/>
        <v>38.963086174592284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432000</v>
      </c>
      <c r="O31" s="24">
        <v>14.87091222030981</v>
      </c>
      <c r="P31" s="62">
        <v>112000</v>
      </c>
      <c r="Q31" s="24">
        <f t="shared" si="2"/>
        <v>3.8554216867469884</v>
      </c>
      <c r="R31" s="24">
        <f t="shared" si="3"/>
        <v>544000</v>
      </c>
      <c r="S31" s="24">
        <f t="shared" si="4"/>
        <v>18.726333907056798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432000</v>
      </c>
      <c r="O32" s="24">
        <v>14.87091222030981</v>
      </c>
      <c r="P32" s="50">
        <v>112000</v>
      </c>
      <c r="Q32" s="24">
        <f t="shared" si="2"/>
        <v>3.8554216867469884</v>
      </c>
      <c r="R32" s="24">
        <f t="shared" si="3"/>
        <v>544000</v>
      </c>
      <c r="S32" s="24">
        <f t="shared" si="4"/>
        <v>18.726333907056798</v>
      </c>
      <c r="T32" s="62">
        <f>24+8+8/104*100</f>
        <v>39.692307692307693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7004800</v>
      </c>
      <c r="O34" s="24">
        <v>36.799579721565543</v>
      </c>
      <c r="P34" s="73">
        <v>870600</v>
      </c>
      <c r="Q34" s="24">
        <f t="shared" si="2"/>
        <v>4.5736800630417651</v>
      </c>
      <c r="R34" s="24">
        <f t="shared" si="3"/>
        <v>7875400</v>
      </c>
      <c r="S34" s="24">
        <f t="shared" si="4"/>
        <v>41.373259784607299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4338500</v>
      </c>
      <c r="O35" s="24">
        <v>36.154166666666669</v>
      </c>
      <c r="P35" s="50">
        <v>867700</v>
      </c>
      <c r="Q35" s="24">
        <f t="shared" si="2"/>
        <v>7.2308333333333339</v>
      </c>
      <c r="R35" s="24">
        <f t="shared" si="3"/>
        <v>5206200</v>
      </c>
      <c r="S35" s="24">
        <f t="shared" si="4"/>
        <v>43.384999999999998</v>
      </c>
      <c r="T35" s="11">
        <f>6/12*100</f>
        <v>50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16300</v>
      </c>
      <c r="O36" s="24">
        <v>3.0467289719626169</v>
      </c>
      <c r="P36" s="50">
        <v>2900</v>
      </c>
      <c r="Q36" s="24">
        <f t="shared" si="2"/>
        <v>0.54205607476635509</v>
      </c>
      <c r="R36" s="24">
        <f t="shared" si="3"/>
        <v>19200</v>
      </c>
      <c r="S36" s="24">
        <f t="shared" si="4"/>
        <v>3.5887850467289719</v>
      </c>
      <c r="T36" s="73">
        <f>6/12*100</f>
        <v>50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542000</v>
      </c>
      <c r="O44" s="24">
        <v>1.0942476290460159</v>
      </c>
      <c r="P44" s="73">
        <v>47620000</v>
      </c>
      <c r="Q44" s="24">
        <f t="shared" si="2"/>
        <v>96.140354419135193</v>
      </c>
      <c r="R44" s="24">
        <f t="shared" si="3"/>
        <v>48162000</v>
      </c>
      <c r="S44" s="24">
        <f t="shared" si="4"/>
        <v>97.234602048181216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0</v>
      </c>
      <c r="O45" s="24">
        <v>0</v>
      </c>
      <c r="P45" s="65">
        <v>47500000</v>
      </c>
      <c r="Q45" s="24">
        <f t="shared" si="2"/>
        <v>98.773133707631516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542000</v>
      </c>
      <c r="O46" s="24">
        <v>37.593202705045954</v>
      </c>
      <c r="P46" s="50">
        <v>120000</v>
      </c>
      <c r="Q46" s="24">
        <f t="shared" si="2"/>
        <v>8.323218311080284</v>
      </c>
      <c r="R46" s="24">
        <f t="shared" si="3"/>
        <v>662000</v>
      </c>
      <c r="S46" s="24">
        <f t="shared" si="4"/>
        <v>45.916421016126236</v>
      </c>
      <c r="T46" s="11">
        <f>(1320+400+448+480)/5757*100</f>
        <v>45.996178565224945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3150000</v>
      </c>
      <c r="O48" s="24">
        <v>34.710743801652896</v>
      </c>
      <c r="P48" s="73">
        <v>750000</v>
      </c>
      <c r="Q48" s="24">
        <f t="shared" si="2"/>
        <v>8.2644628099173563</v>
      </c>
      <c r="R48" s="24">
        <f t="shared" si="3"/>
        <v>3900000</v>
      </c>
      <c r="S48" s="24">
        <f t="shared" si="4"/>
        <v>42.97520661157025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3150000</v>
      </c>
      <c r="O49" s="24">
        <v>34.710743801652896</v>
      </c>
      <c r="P49" s="50">
        <v>750000</v>
      </c>
      <c r="Q49" s="24">
        <f t="shared" si="2"/>
        <v>8.2644628099173563</v>
      </c>
      <c r="R49" s="24">
        <f t="shared" si="3"/>
        <v>3900000</v>
      </c>
      <c r="S49" s="24">
        <f t="shared" si="4"/>
        <v>42.97520661157025</v>
      </c>
      <c r="T49" s="57">
        <f>5/11*100</f>
        <v>45.454545454545453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0</v>
      </c>
      <c r="Q62" s="24">
        <f t="shared" si="2"/>
        <v>0</v>
      </c>
      <c r="R62" s="24">
        <f t="shared" si="3"/>
        <v>500000</v>
      </c>
      <c r="S62" s="24">
        <f t="shared" si="4"/>
        <v>3.8461538461538463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/>
      <c r="Q64" s="33">
        <f t="shared" si="2"/>
        <v>0</v>
      </c>
      <c r="R64" s="33">
        <f t="shared" si="3"/>
        <v>0</v>
      </c>
      <c r="S64" s="33">
        <f t="shared" si="4"/>
        <v>0</v>
      </c>
      <c r="T64" s="57"/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40"/>
      <c r="M75" s="121">
        <f>M12</f>
        <v>641304000</v>
      </c>
      <c r="N75" s="122">
        <f t="shared" ref="N75:V75" si="7">N12</f>
        <v>166635100</v>
      </c>
      <c r="O75" s="135">
        <f t="shared" ref="O75" si="8">N75/M75*100</f>
        <v>25.983792397989099</v>
      </c>
      <c r="P75" s="122">
        <f t="shared" si="7"/>
        <v>108007400</v>
      </c>
      <c r="Q75" s="123">
        <f t="shared" si="2"/>
        <v>16.84184099896461</v>
      </c>
      <c r="R75" s="124">
        <f t="shared" si="3"/>
        <v>274642500</v>
      </c>
      <c r="S75" s="135">
        <f t="shared" si="4"/>
        <v>42.825633396953705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101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41"/>
      <c r="S80" s="141"/>
      <c r="T80" s="141"/>
      <c r="U80" s="141"/>
    </row>
    <row r="81" spans="18:21" x14ac:dyDescent="0.25">
      <c r="R81" s="141"/>
      <c r="S81" s="141"/>
      <c r="T81" s="141"/>
      <c r="U81" s="141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L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102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274642500</v>
      </c>
      <c r="O10" s="17">
        <v>42.825633396953705</v>
      </c>
      <c r="P10" s="8">
        <f>P12</f>
        <v>37143000</v>
      </c>
      <c r="Q10" s="17">
        <f>P10/M10*100</f>
        <v>5.791792971819917</v>
      </c>
      <c r="R10" s="8">
        <f>R12</f>
        <v>311785500</v>
      </c>
      <c r="S10" s="17">
        <f>R10/M10*100</f>
        <v>48.617426368773629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274642500</v>
      </c>
      <c r="O12" s="24">
        <v>42.825633396953705</v>
      </c>
      <c r="P12" s="24">
        <f t="shared" ref="P12" si="0">P13+P14+P15</f>
        <v>37143000</v>
      </c>
      <c r="Q12" s="24">
        <f>P12/M12*100</f>
        <v>5.791792971819917</v>
      </c>
      <c r="R12" s="24">
        <f>P12+N12</f>
        <v>311785500</v>
      </c>
      <c r="S12" s="24">
        <f>R12/M12*100</f>
        <v>48.617426368773629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175548600</v>
      </c>
      <c r="O13" s="24">
        <v>45.622824744582914</v>
      </c>
      <c r="P13" s="24">
        <f t="shared" ref="P13" si="1">P17</f>
        <v>30290400</v>
      </c>
      <c r="Q13" s="24">
        <f t="shared" ref="Q13:Q75" si="2">P13/M13*100</f>
        <v>7.8720856255379665</v>
      </c>
      <c r="R13" s="24">
        <f t="shared" ref="R13:R75" si="3">P13+N13</f>
        <v>205839000</v>
      </c>
      <c r="S13" s="24">
        <f t="shared" ref="S13:S75" si="4">R13/M13*100</f>
        <v>53.494910370120877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94493900</v>
      </c>
      <c r="O14" s="24">
        <v>38.963086174592284</v>
      </c>
      <c r="P14" s="24">
        <f>P21</f>
        <v>6852600</v>
      </c>
      <c r="Q14" s="24">
        <f t="shared" si="2"/>
        <v>2.8255627539979944</v>
      </c>
      <c r="R14" s="24">
        <f t="shared" si="3"/>
        <v>101346500</v>
      </c>
      <c r="S14" s="24">
        <f t="shared" si="4"/>
        <v>41.788648928590277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175548600</v>
      </c>
      <c r="O17" s="38">
        <v>45.622824744582914</v>
      </c>
      <c r="P17" s="37">
        <f t="shared" ref="P17:P18" si="6">P18</f>
        <v>30290400</v>
      </c>
      <c r="Q17" s="38">
        <f t="shared" si="2"/>
        <v>7.8720856255379665</v>
      </c>
      <c r="R17" s="38">
        <f t="shared" si="3"/>
        <v>205839000</v>
      </c>
      <c r="S17" s="38">
        <f t="shared" si="4"/>
        <v>53.494910370120877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175548600</v>
      </c>
      <c r="O18" s="24">
        <v>45.622824744582914</v>
      </c>
      <c r="P18" s="41">
        <f t="shared" si="6"/>
        <v>30290400</v>
      </c>
      <c r="Q18" s="24">
        <f t="shared" si="2"/>
        <v>7.8720856255379665</v>
      </c>
      <c r="R18" s="24">
        <f t="shared" si="3"/>
        <v>205839000</v>
      </c>
      <c r="S18" s="24">
        <f t="shared" si="4"/>
        <v>53.494910370120877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175548600</v>
      </c>
      <c r="O19" s="24">
        <v>45.622824744582914</v>
      </c>
      <c r="P19" s="47">
        <v>30290400</v>
      </c>
      <c r="Q19" s="24">
        <f t="shared" si="2"/>
        <v>7.8720856255379665</v>
      </c>
      <c r="R19" s="24">
        <f t="shared" si="3"/>
        <v>205839000</v>
      </c>
      <c r="S19" s="24">
        <f t="shared" si="4"/>
        <v>53.494910370120877</v>
      </c>
      <c r="T19" s="41">
        <f>7/12*100</f>
        <v>58.333333333333336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94493900</v>
      </c>
      <c r="O21" s="38">
        <v>38.963086174592284</v>
      </c>
      <c r="P21" s="132">
        <v>6852600</v>
      </c>
      <c r="Q21" s="38">
        <f t="shared" si="2"/>
        <v>2.8255627539979944</v>
      </c>
      <c r="R21" s="38">
        <f t="shared" si="3"/>
        <v>101346500</v>
      </c>
      <c r="S21" s="38">
        <f t="shared" si="4"/>
        <v>41.788648928590277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v>0</v>
      </c>
      <c r="Q22" s="24">
        <f t="shared" si="2"/>
        <v>0</v>
      </c>
      <c r="R22" s="24">
        <f t="shared" si="3"/>
        <v>2187500</v>
      </c>
      <c r="S22" s="24">
        <f t="shared" si="4"/>
        <v>2.2597031653921942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/>
      <c r="Q25" s="24">
        <f t="shared" si="2"/>
        <v>0</v>
      </c>
      <c r="R25" s="24">
        <f t="shared" si="3"/>
        <v>0</v>
      </c>
      <c r="S25" s="24">
        <f t="shared" si="4"/>
        <v>0</v>
      </c>
      <c r="T25" s="11"/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544000</v>
      </c>
      <c r="O31" s="24">
        <v>18.726333907056798</v>
      </c>
      <c r="P31" s="62">
        <v>112000</v>
      </c>
      <c r="Q31" s="24">
        <f t="shared" si="2"/>
        <v>3.8554216867469884</v>
      </c>
      <c r="R31" s="24">
        <f t="shared" si="3"/>
        <v>656000</v>
      </c>
      <c r="S31" s="24">
        <f t="shared" si="4"/>
        <v>22.581755593803788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544000</v>
      </c>
      <c r="O32" s="24">
        <v>18.726333907056798</v>
      </c>
      <c r="P32" s="50">
        <v>112000</v>
      </c>
      <c r="Q32" s="24">
        <f t="shared" si="2"/>
        <v>3.8554216867469884</v>
      </c>
      <c r="R32" s="24">
        <f t="shared" si="3"/>
        <v>656000</v>
      </c>
      <c r="S32" s="24">
        <f t="shared" si="4"/>
        <v>22.581755593803788</v>
      </c>
      <c r="T32" s="62">
        <f>24+8+8+8/104*100</f>
        <v>47.692307692307693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7875400</v>
      </c>
      <c r="O34" s="24">
        <v>41.373259784607299</v>
      </c>
      <c r="P34" s="73">
        <v>870600</v>
      </c>
      <c r="Q34" s="24">
        <f t="shared" si="2"/>
        <v>4.5736800630417651</v>
      </c>
      <c r="R34" s="24">
        <f t="shared" si="3"/>
        <v>8746000</v>
      </c>
      <c r="S34" s="24">
        <f t="shared" si="4"/>
        <v>45.946939847649062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5206200</v>
      </c>
      <c r="O35" s="24">
        <v>43.384999999999998</v>
      </c>
      <c r="P35" s="50">
        <v>867700</v>
      </c>
      <c r="Q35" s="24">
        <f t="shared" si="2"/>
        <v>7.2308333333333339</v>
      </c>
      <c r="R35" s="24">
        <f t="shared" si="3"/>
        <v>6073900</v>
      </c>
      <c r="S35" s="24">
        <f t="shared" si="4"/>
        <v>50.615833333333335</v>
      </c>
      <c r="T35" s="11">
        <f>7/12*100</f>
        <v>58.333333333333336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19200</v>
      </c>
      <c r="O36" s="24">
        <v>3.5887850467289719</v>
      </c>
      <c r="P36" s="50">
        <v>2900</v>
      </c>
      <c r="Q36" s="24">
        <f t="shared" si="2"/>
        <v>0.54205607476635509</v>
      </c>
      <c r="R36" s="24">
        <f t="shared" si="3"/>
        <v>22100</v>
      </c>
      <c r="S36" s="24">
        <f t="shared" si="4"/>
        <v>4.1308411214953278</v>
      </c>
      <c r="T36" s="73">
        <f>7/12*100</f>
        <v>58.333333333333336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48162000</v>
      </c>
      <c r="O44" s="24">
        <v>97.234602048181216</v>
      </c>
      <c r="P44" s="73">
        <v>120000</v>
      </c>
      <c r="Q44" s="24">
        <f t="shared" si="2"/>
        <v>0.24226884775926552</v>
      </c>
      <c r="R44" s="24">
        <f t="shared" si="3"/>
        <v>48282000</v>
      </c>
      <c r="S44" s="24">
        <f t="shared" si="4"/>
        <v>97.476870895940479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65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662000</v>
      </c>
      <c r="O46" s="24">
        <v>45.916421016126236</v>
      </c>
      <c r="P46" s="50">
        <v>120000</v>
      </c>
      <c r="Q46" s="24">
        <f t="shared" si="2"/>
        <v>8.323218311080284</v>
      </c>
      <c r="R46" s="24">
        <f t="shared" si="3"/>
        <v>782000</v>
      </c>
      <c r="S46" s="24">
        <f t="shared" si="4"/>
        <v>54.239639327206525</v>
      </c>
      <c r="T46" s="11">
        <f>(1320+400+448+480+480)/5757*100</f>
        <v>54.333854438075392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3900000</v>
      </c>
      <c r="O48" s="24">
        <v>42.97520661157025</v>
      </c>
      <c r="P48" s="73">
        <v>750000</v>
      </c>
      <c r="Q48" s="24">
        <f t="shared" si="2"/>
        <v>8.2644628099173563</v>
      </c>
      <c r="R48" s="24">
        <f t="shared" si="3"/>
        <v>4650000</v>
      </c>
      <c r="S48" s="24">
        <f t="shared" si="4"/>
        <v>51.239669421487598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3900000</v>
      </c>
      <c r="O49" s="24">
        <v>42.97520661157025</v>
      </c>
      <c r="P49" s="50">
        <v>750000</v>
      </c>
      <c r="Q49" s="24">
        <f t="shared" si="2"/>
        <v>8.2644628099173563</v>
      </c>
      <c r="R49" s="24">
        <f t="shared" si="3"/>
        <v>4650000</v>
      </c>
      <c r="S49" s="24">
        <f t="shared" si="4"/>
        <v>51.239669421487598</v>
      </c>
      <c r="T49" s="57">
        <f>6/11*100</f>
        <v>54.54545454545454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500000</v>
      </c>
      <c r="O62" s="24">
        <v>3.8461538461538463</v>
      </c>
      <c r="P62" s="73">
        <v>5000000</v>
      </c>
      <c r="Q62" s="24">
        <f t="shared" si="2"/>
        <v>38.461538461538467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0</v>
      </c>
      <c r="O64" s="33">
        <v>0</v>
      </c>
      <c r="P64" s="50">
        <v>5000000</v>
      </c>
      <c r="Q64" s="33">
        <f t="shared" si="2"/>
        <v>50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24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24">
        <v>4600000</v>
      </c>
      <c r="O71" s="33">
        <v>100</v>
      </c>
      <c r="P71" s="66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24"/>
      <c r="O72" s="33"/>
      <c r="P72" s="66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42"/>
      <c r="M75" s="121">
        <f>M12</f>
        <v>641304000</v>
      </c>
      <c r="N75" s="122">
        <f t="shared" ref="N75:V75" si="7">N12</f>
        <v>274642500</v>
      </c>
      <c r="O75" s="135">
        <f t="shared" ref="O75" si="8">N75/M75*100</f>
        <v>42.825633396953705</v>
      </c>
      <c r="P75" s="122">
        <f t="shared" si="7"/>
        <v>37143000</v>
      </c>
      <c r="Q75" s="123">
        <f t="shared" si="2"/>
        <v>5.791792971819917</v>
      </c>
      <c r="R75" s="124">
        <f t="shared" si="3"/>
        <v>311785500</v>
      </c>
      <c r="S75" s="135">
        <f t="shared" si="4"/>
        <v>48.617426368773629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103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43"/>
      <c r="S80" s="143"/>
      <c r="T80" s="143"/>
      <c r="U80" s="143"/>
    </row>
    <row r="81" spans="18:21" x14ac:dyDescent="0.25">
      <c r="R81" s="143"/>
      <c r="S81" s="143"/>
      <c r="T81" s="143"/>
      <c r="U81" s="143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M1"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104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311785500</v>
      </c>
      <c r="O10" s="17">
        <v>48.617426368773629</v>
      </c>
      <c r="P10" s="8">
        <f>P12</f>
        <v>32613200</v>
      </c>
      <c r="Q10" s="17">
        <f>P10/M10*100</f>
        <v>5.0854508938038743</v>
      </c>
      <c r="R10" s="8">
        <f>R12</f>
        <v>344398700</v>
      </c>
      <c r="S10" s="17">
        <f>R10/M10*100</f>
        <v>53.702877262577495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311785500</v>
      </c>
      <c r="O12" s="24">
        <v>48.617426368773629</v>
      </c>
      <c r="P12" s="24">
        <f t="shared" ref="P12" si="0">P13+P14+P15</f>
        <v>32613200</v>
      </c>
      <c r="Q12" s="24">
        <f>P12/M12*100</f>
        <v>5.0854508938038743</v>
      </c>
      <c r="R12" s="24">
        <f>P12+N12</f>
        <v>344398700</v>
      </c>
      <c r="S12" s="24">
        <f>R12/M12*100</f>
        <v>53.702877262577495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205839000</v>
      </c>
      <c r="O13" s="24">
        <v>53.494910370120877</v>
      </c>
      <c r="P13" s="24">
        <f t="shared" ref="P13" si="1">P17</f>
        <v>30240000</v>
      </c>
      <c r="Q13" s="24">
        <f t="shared" ref="Q13:Q75" si="2">P13/M13*100</f>
        <v>7.8589873133490515</v>
      </c>
      <c r="R13" s="24">
        <f t="shared" ref="R13:R75" si="3">P13+N13</f>
        <v>236079000</v>
      </c>
      <c r="S13" s="24">
        <f t="shared" ref="S13:S75" si="4">R13/M13*100</f>
        <v>61.353897683469924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101346500</v>
      </c>
      <c r="O14" s="24">
        <v>41.788648928590277</v>
      </c>
      <c r="P14" s="24">
        <f>P21</f>
        <v>2373200</v>
      </c>
      <c r="Q14" s="24">
        <f t="shared" si="2"/>
        <v>0.97855201351137389</v>
      </c>
      <c r="R14" s="24">
        <f t="shared" si="3"/>
        <v>103719700</v>
      </c>
      <c r="S14" s="24">
        <f t="shared" si="4"/>
        <v>42.767200942101653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205839000</v>
      </c>
      <c r="O17" s="38">
        <v>53.494910370120877</v>
      </c>
      <c r="P17" s="37">
        <f t="shared" ref="P17:P18" si="6">P18</f>
        <v>30240000</v>
      </c>
      <c r="Q17" s="38">
        <f t="shared" si="2"/>
        <v>7.8589873133490515</v>
      </c>
      <c r="R17" s="38">
        <f t="shared" si="3"/>
        <v>236079000</v>
      </c>
      <c r="S17" s="38">
        <f t="shared" si="4"/>
        <v>61.353897683469924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205839000</v>
      </c>
      <c r="O18" s="24">
        <v>53.494910370120877</v>
      </c>
      <c r="P18" s="41">
        <f t="shared" si="6"/>
        <v>30240000</v>
      </c>
      <c r="Q18" s="24">
        <f t="shared" si="2"/>
        <v>7.8589873133490515</v>
      </c>
      <c r="R18" s="24">
        <f t="shared" si="3"/>
        <v>236079000</v>
      </c>
      <c r="S18" s="24">
        <f t="shared" si="4"/>
        <v>61.353897683469924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205839000</v>
      </c>
      <c r="O19" s="24">
        <v>53.494910370120877</v>
      </c>
      <c r="P19" s="47">
        <f>30222000+18000</f>
        <v>30240000</v>
      </c>
      <c r="Q19" s="24">
        <f t="shared" si="2"/>
        <v>7.8589873133490515</v>
      </c>
      <c r="R19" s="24">
        <f t="shared" si="3"/>
        <v>236079000</v>
      </c>
      <c r="S19" s="24">
        <f t="shared" si="4"/>
        <v>61.353897683469924</v>
      </c>
      <c r="T19" s="41">
        <f>8/12*100</f>
        <v>66.666666666666657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101346500</v>
      </c>
      <c r="O21" s="38">
        <v>41.788648928590277</v>
      </c>
      <c r="P21" s="132">
        <f>P22+P31+P34+P39+P44+P48+P51+P54+P57+P62+P66</f>
        <v>2373200</v>
      </c>
      <c r="Q21" s="38">
        <f t="shared" si="2"/>
        <v>0.97855201351137389</v>
      </c>
      <c r="R21" s="38">
        <f t="shared" si="3"/>
        <v>103719700</v>
      </c>
      <c r="S21" s="38">
        <f t="shared" si="4"/>
        <v>42.767200942101653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2187500</v>
      </c>
      <c r="O22" s="24">
        <v>2.2597031653921942</v>
      </c>
      <c r="P22" s="56">
        <f>SUM(P23:P29)</f>
        <v>560000</v>
      </c>
      <c r="Q22" s="24">
        <f t="shared" si="2"/>
        <v>0.57848401034040164</v>
      </c>
      <c r="R22" s="24">
        <f t="shared" si="3"/>
        <v>2747500</v>
      </c>
      <c r="S22" s="24">
        <f t="shared" si="4"/>
        <v>2.838187175732596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0</v>
      </c>
      <c r="O25" s="24">
        <v>0</v>
      </c>
      <c r="P25" s="50">
        <v>560000</v>
      </c>
      <c r="Q25" s="24">
        <f t="shared" si="2"/>
        <v>10.064159013712416</v>
      </c>
      <c r="R25" s="24">
        <f t="shared" si="3"/>
        <v>560000</v>
      </c>
      <c r="S25" s="24">
        <f t="shared" si="4"/>
        <v>10.064159013712416</v>
      </c>
      <c r="T25" s="11">
        <f>2/15*100</f>
        <v>13.333333333333334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656000</v>
      </c>
      <c r="O31" s="24">
        <v>22.581755593803788</v>
      </c>
      <c r="P31" s="62">
        <f>P32</f>
        <v>112000</v>
      </c>
      <c r="Q31" s="24">
        <f t="shared" si="2"/>
        <v>3.8554216867469884</v>
      </c>
      <c r="R31" s="24">
        <f t="shared" si="3"/>
        <v>768000</v>
      </c>
      <c r="S31" s="24">
        <f t="shared" si="4"/>
        <v>26.43717728055077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656000</v>
      </c>
      <c r="O32" s="24">
        <v>22.581755593803788</v>
      </c>
      <c r="P32" s="50">
        <v>112000</v>
      </c>
      <c r="Q32" s="24">
        <f t="shared" si="2"/>
        <v>3.8554216867469884</v>
      </c>
      <c r="R32" s="24">
        <f t="shared" si="3"/>
        <v>768000</v>
      </c>
      <c r="S32" s="24">
        <f t="shared" si="4"/>
        <v>26.43717728055077</v>
      </c>
      <c r="T32" s="62">
        <f>24+8+8+8+8/104*100</f>
        <v>55.692307692307693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8746000</v>
      </c>
      <c r="O34" s="24">
        <v>45.946939847649062</v>
      </c>
      <c r="P34" s="73">
        <f>SUM(P35:P37)</f>
        <v>831200</v>
      </c>
      <c r="Q34" s="24">
        <f t="shared" si="2"/>
        <v>4.366692934068821</v>
      </c>
      <c r="R34" s="24">
        <f t="shared" si="3"/>
        <v>9577200</v>
      </c>
      <c r="S34" s="24">
        <f t="shared" si="4"/>
        <v>50.313632781717885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6073900</v>
      </c>
      <c r="O35" s="24">
        <v>50.615833333333335</v>
      </c>
      <c r="P35" s="50">
        <v>828300</v>
      </c>
      <c r="Q35" s="24">
        <f t="shared" si="2"/>
        <v>6.9024999999999999</v>
      </c>
      <c r="R35" s="24">
        <f t="shared" si="3"/>
        <v>6902200</v>
      </c>
      <c r="S35" s="24">
        <f t="shared" si="4"/>
        <v>57.518333333333338</v>
      </c>
      <c r="T35" s="11">
        <f>8/12*100</f>
        <v>66.666666666666657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22100</v>
      </c>
      <c r="O36" s="24">
        <v>4.1308411214953278</v>
      </c>
      <c r="P36" s="50">
        <v>2900</v>
      </c>
      <c r="Q36" s="24">
        <f t="shared" si="2"/>
        <v>0.54205607476635509</v>
      </c>
      <c r="R36" s="24">
        <f t="shared" si="3"/>
        <v>25000</v>
      </c>
      <c r="S36" s="24">
        <f t="shared" si="4"/>
        <v>4.6728971962616823</v>
      </c>
      <c r="T36" s="73">
        <f>8/12*100</f>
        <v>66.666666666666657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48282000</v>
      </c>
      <c r="O44" s="24">
        <v>97.476870895940479</v>
      </c>
      <c r="P44" s="73">
        <f>SUM(P45:P46)</f>
        <v>120000</v>
      </c>
      <c r="Q44" s="24">
        <f t="shared" si="2"/>
        <v>0.24226884775926552</v>
      </c>
      <c r="R44" s="24">
        <f t="shared" si="3"/>
        <v>48402000</v>
      </c>
      <c r="S44" s="24">
        <f t="shared" si="4"/>
        <v>97.719139743699742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782000</v>
      </c>
      <c r="O46" s="24">
        <v>54.239639327206525</v>
      </c>
      <c r="P46" s="50">
        <v>120000</v>
      </c>
      <c r="Q46" s="24">
        <f t="shared" si="2"/>
        <v>8.323218311080284</v>
      </c>
      <c r="R46" s="24">
        <f t="shared" si="3"/>
        <v>902000</v>
      </c>
      <c r="S46" s="24">
        <f t="shared" si="4"/>
        <v>62.562857638286808</v>
      </c>
      <c r="T46" s="11">
        <f>(1320+400+448+480+480+480)/5757*100</f>
        <v>62.671530310925824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4650000</v>
      </c>
      <c r="O48" s="24">
        <v>51.239669421487598</v>
      </c>
      <c r="P48" s="73">
        <f>P49</f>
        <v>750000</v>
      </c>
      <c r="Q48" s="24">
        <f t="shared" si="2"/>
        <v>8.2644628099173563</v>
      </c>
      <c r="R48" s="24">
        <f t="shared" si="3"/>
        <v>5400000</v>
      </c>
      <c r="S48" s="24">
        <f t="shared" si="4"/>
        <v>59.504132231404959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4650000</v>
      </c>
      <c r="O49" s="24">
        <v>51.239669421487598</v>
      </c>
      <c r="P49" s="50">
        <v>750000</v>
      </c>
      <c r="Q49" s="24">
        <f t="shared" si="2"/>
        <v>8.2644628099173563</v>
      </c>
      <c r="R49" s="24">
        <f t="shared" si="3"/>
        <v>5400000</v>
      </c>
      <c r="S49" s="24">
        <f t="shared" si="4"/>
        <v>59.504132231404959</v>
      </c>
      <c r="T49" s="57">
        <f>7/11*100</f>
        <v>63.636363636363633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44"/>
      <c r="M75" s="121">
        <f>M12</f>
        <v>641304000</v>
      </c>
      <c r="N75" s="122">
        <f t="shared" ref="N75:V75" si="7">N12</f>
        <v>311785500</v>
      </c>
      <c r="O75" s="135">
        <f t="shared" ref="O75" si="8">N75/M75*100</f>
        <v>48.617426368773629</v>
      </c>
      <c r="P75" s="122">
        <f t="shared" si="7"/>
        <v>32613200</v>
      </c>
      <c r="Q75" s="123">
        <f t="shared" si="2"/>
        <v>5.0854508938038743</v>
      </c>
      <c r="R75" s="124">
        <f t="shared" si="3"/>
        <v>344398700</v>
      </c>
      <c r="S75" s="135">
        <f t="shared" si="4"/>
        <v>53.702877262577495</v>
      </c>
      <c r="T75" s="122"/>
      <c r="U75" s="125">
        <f t="shared" si="7"/>
        <v>0</v>
      </c>
      <c r="V75" s="121">
        <f t="shared" si="7"/>
        <v>0</v>
      </c>
    </row>
    <row r="78" spans="1:22" x14ac:dyDescent="0.25">
      <c r="R78" s="189" t="s">
        <v>105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45"/>
      <c r="S80" s="145"/>
      <c r="T80" s="145"/>
      <c r="U80" s="145"/>
    </row>
    <row r="81" spans="18:21" x14ac:dyDescent="0.25">
      <c r="R81" s="145"/>
      <c r="S81" s="145"/>
      <c r="T81" s="145"/>
      <c r="U81" s="145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R84:U84"/>
    <mergeCell ref="R8:S8"/>
    <mergeCell ref="A75:K75"/>
    <mergeCell ref="R78:U78"/>
    <mergeCell ref="R79:U79"/>
    <mergeCell ref="R83:U83"/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R10" sqref="R10:S74"/>
    </sheetView>
  </sheetViews>
  <sheetFormatPr defaultRowHeight="15" x14ac:dyDescent="0.25"/>
  <cols>
    <col min="1" max="10" width="4" customWidth="1"/>
    <col min="11" max="11" width="48.5703125" customWidth="1"/>
    <col min="12" max="12" width="11.85546875" customWidth="1"/>
    <col min="13" max="13" width="16.28515625" customWidth="1"/>
    <col min="14" max="14" width="16.42578125" customWidth="1"/>
    <col min="15" max="15" width="12.7109375" customWidth="1"/>
    <col min="16" max="16" width="15.7109375" customWidth="1"/>
    <col min="17" max="17" width="12.7109375" customWidth="1"/>
    <col min="18" max="18" width="19.140625" customWidth="1"/>
    <col min="19" max="19" width="14.140625" customWidth="1"/>
    <col min="20" max="20" width="14.85546875" customWidth="1"/>
    <col min="21" max="21" width="19.85546875" customWidth="1"/>
    <col min="22" max="22" width="19" customWidth="1"/>
  </cols>
  <sheetData>
    <row r="1" spans="1:22" x14ac:dyDescent="0.25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</row>
    <row r="2" spans="1:22" x14ac:dyDescent="0.25">
      <c r="A2" s="169" t="s">
        <v>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</row>
    <row r="3" spans="1:22" x14ac:dyDescent="0.25">
      <c r="A3" s="169" t="s">
        <v>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</row>
    <row r="4" spans="1:22" x14ac:dyDescent="0.25">
      <c r="A4" s="169" t="s">
        <v>107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A6" s="170" t="s">
        <v>3</v>
      </c>
      <c r="B6" s="170"/>
      <c r="C6" s="170"/>
      <c r="D6" s="170"/>
      <c r="E6" s="170"/>
      <c r="F6" s="170"/>
      <c r="G6" s="170"/>
      <c r="H6" s="170"/>
      <c r="I6" s="170"/>
      <c r="J6" s="170"/>
      <c r="K6" s="170" t="s">
        <v>4</v>
      </c>
      <c r="L6" s="171" t="s">
        <v>5</v>
      </c>
      <c r="M6" s="174" t="s">
        <v>6</v>
      </c>
      <c r="N6" s="177" t="s">
        <v>7</v>
      </c>
      <c r="O6" s="178"/>
      <c r="P6" s="178"/>
      <c r="Q6" s="178"/>
      <c r="R6" s="178"/>
      <c r="S6" s="178"/>
      <c r="T6" s="179"/>
      <c r="U6" s="180" t="s">
        <v>8</v>
      </c>
      <c r="V6" s="180" t="s">
        <v>9</v>
      </c>
    </row>
    <row r="7" spans="1:22" ht="15.75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2"/>
      <c r="M7" s="175"/>
      <c r="N7" s="181" t="s">
        <v>10</v>
      </c>
      <c r="O7" s="182"/>
      <c r="P7" s="181" t="s">
        <v>11</v>
      </c>
      <c r="Q7" s="182"/>
      <c r="R7" s="177" t="s">
        <v>12</v>
      </c>
      <c r="S7" s="178"/>
      <c r="T7" s="179"/>
      <c r="U7" s="180"/>
      <c r="V7" s="180"/>
    </row>
    <row r="8" spans="1:22" ht="15.75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3"/>
      <c r="M8" s="176"/>
      <c r="N8" s="181" t="s">
        <v>13</v>
      </c>
      <c r="O8" s="182"/>
      <c r="P8" s="181" t="s">
        <v>13</v>
      </c>
      <c r="Q8" s="182"/>
      <c r="R8" s="184" t="s">
        <v>13</v>
      </c>
      <c r="S8" s="185"/>
      <c r="T8" s="2" t="s">
        <v>14</v>
      </c>
      <c r="U8" s="180"/>
      <c r="V8" s="180"/>
    </row>
    <row r="9" spans="1:22" ht="30" x14ac:dyDescent="0.25">
      <c r="A9" s="3" t="s">
        <v>15</v>
      </c>
      <c r="B9" s="4" t="s">
        <v>16</v>
      </c>
      <c r="C9" s="4" t="s">
        <v>17</v>
      </c>
      <c r="D9" s="5" t="s">
        <v>18</v>
      </c>
      <c r="E9" s="6"/>
      <c r="F9" s="6"/>
      <c r="G9" s="6"/>
      <c r="H9" s="6"/>
      <c r="I9" s="6"/>
      <c r="J9" s="7"/>
      <c r="K9" s="8" t="s">
        <v>1</v>
      </c>
      <c r="L9" s="9" t="s">
        <v>19</v>
      </c>
      <c r="M9" s="10"/>
      <c r="N9" s="2" t="s">
        <v>20</v>
      </c>
      <c r="O9" s="2" t="s">
        <v>21</v>
      </c>
      <c r="P9" s="2" t="s">
        <v>20</v>
      </c>
      <c r="Q9" s="2" t="s">
        <v>21</v>
      </c>
      <c r="R9" s="2" t="s">
        <v>22</v>
      </c>
      <c r="S9" s="2" t="s">
        <v>21</v>
      </c>
      <c r="T9" s="2" t="s">
        <v>21</v>
      </c>
      <c r="U9" s="11"/>
      <c r="V9" s="11"/>
    </row>
    <row r="10" spans="1:22" ht="45" x14ac:dyDescent="0.25">
      <c r="A10" s="12">
        <v>1</v>
      </c>
      <c r="B10" s="13" t="s">
        <v>16</v>
      </c>
      <c r="C10" s="13" t="s">
        <v>17</v>
      </c>
      <c r="D10" s="14">
        <v>38</v>
      </c>
      <c r="E10" s="15" t="s">
        <v>23</v>
      </c>
      <c r="F10" s="6"/>
      <c r="G10" s="6"/>
      <c r="H10" s="6"/>
      <c r="I10" s="6"/>
      <c r="J10" s="7"/>
      <c r="K10" s="16" t="s">
        <v>24</v>
      </c>
      <c r="L10" s="16"/>
      <c r="M10" s="8">
        <f>M12</f>
        <v>641304000</v>
      </c>
      <c r="N10" s="8">
        <v>344398700</v>
      </c>
      <c r="O10" s="17">
        <v>53.702877262577495</v>
      </c>
      <c r="P10" s="8">
        <f>P12</f>
        <v>30255820</v>
      </c>
      <c r="Q10" s="17">
        <f>P10/M10*100</f>
        <v>4.7178592368050092</v>
      </c>
      <c r="R10" s="8">
        <f>R12</f>
        <v>374654520</v>
      </c>
      <c r="S10" s="17">
        <f>R10/M10*100</f>
        <v>58.420736499382507</v>
      </c>
      <c r="T10" s="8"/>
      <c r="U10" s="11"/>
      <c r="V10" s="11"/>
    </row>
    <row r="11" spans="1:22" x14ac:dyDescent="0.25">
      <c r="A11" s="18"/>
      <c r="B11" s="6"/>
      <c r="C11" s="6"/>
      <c r="D11" s="6"/>
      <c r="E11" s="6"/>
      <c r="F11" s="6"/>
      <c r="G11" s="6"/>
      <c r="H11" s="6"/>
      <c r="I11" s="6"/>
      <c r="J11" s="7"/>
      <c r="K11" s="8"/>
      <c r="L11" s="8"/>
      <c r="M11" s="8"/>
      <c r="N11" s="8"/>
      <c r="O11" s="17"/>
      <c r="P11" s="8"/>
      <c r="Q11" s="17"/>
      <c r="R11" s="8"/>
      <c r="S11" s="17"/>
      <c r="T11" s="11"/>
      <c r="U11" s="11"/>
      <c r="V11" s="11"/>
    </row>
    <row r="12" spans="1:22" x14ac:dyDescent="0.25">
      <c r="A12" s="19">
        <v>1</v>
      </c>
      <c r="B12" s="15" t="s">
        <v>16</v>
      </c>
      <c r="C12" s="15" t="s">
        <v>17</v>
      </c>
      <c r="D12" s="20">
        <v>38</v>
      </c>
      <c r="E12" s="15" t="s">
        <v>23</v>
      </c>
      <c r="F12" s="20">
        <v>5</v>
      </c>
      <c r="G12" s="20">
        <v>2</v>
      </c>
      <c r="H12" s="20"/>
      <c r="I12" s="20"/>
      <c r="J12" s="21"/>
      <c r="K12" s="22" t="s">
        <v>25</v>
      </c>
      <c r="L12" s="23"/>
      <c r="M12" s="24">
        <f>M13+M14+M15</f>
        <v>641304000</v>
      </c>
      <c r="N12" s="24">
        <v>344398700</v>
      </c>
      <c r="O12" s="24">
        <v>53.702877262577495</v>
      </c>
      <c r="P12" s="24">
        <f t="shared" ref="P12" si="0">P13+P14+P15</f>
        <v>30255820</v>
      </c>
      <c r="Q12" s="24">
        <f>P12/M12*100</f>
        <v>4.7178592368050092</v>
      </c>
      <c r="R12" s="24">
        <f>P12+N12</f>
        <v>374654520</v>
      </c>
      <c r="S12" s="24">
        <f>R12/M12*100</f>
        <v>58.420736499382507</v>
      </c>
      <c r="T12" s="24"/>
      <c r="U12" s="11"/>
      <c r="V12" s="11"/>
    </row>
    <row r="13" spans="1:22" x14ac:dyDescent="0.25">
      <c r="A13" s="19">
        <v>1</v>
      </c>
      <c r="B13" s="15" t="s">
        <v>16</v>
      </c>
      <c r="C13" s="15" t="s">
        <v>17</v>
      </c>
      <c r="D13" s="20">
        <v>38</v>
      </c>
      <c r="E13" s="15" t="s">
        <v>23</v>
      </c>
      <c r="F13" s="20">
        <v>5</v>
      </c>
      <c r="G13" s="20">
        <v>2</v>
      </c>
      <c r="H13" s="15">
        <v>1</v>
      </c>
      <c r="I13" s="20"/>
      <c r="J13" s="21"/>
      <c r="K13" s="22" t="s">
        <v>26</v>
      </c>
      <c r="L13" s="25"/>
      <c r="M13" s="24">
        <f>M17</f>
        <v>384782400</v>
      </c>
      <c r="N13" s="24">
        <v>236079000</v>
      </c>
      <c r="O13" s="24">
        <v>61.353897683469924</v>
      </c>
      <c r="P13" s="24">
        <f t="shared" ref="P13" si="1">P17</f>
        <v>27729720</v>
      </c>
      <c r="Q13" s="24">
        <f t="shared" ref="Q13:Q75" si="2">P13/M13*100</f>
        <v>7.2065978069683023</v>
      </c>
      <c r="R13" s="24">
        <f t="shared" ref="R13:R75" si="3">P13+N13</f>
        <v>263808720</v>
      </c>
      <c r="S13" s="24">
        <f t="shared" ref="S13:S75" si="4">R13/M13*100</f>
        <v>68.560495490438228</v>
      </c>
      <c r="T13" s="24"/>
      <c r="U13" s="11"/>
      <c r="V13" s="11"/>
    </row>
    <row r="14" spans="1:22" x14ac:dyDescent="0.25">
      <c r="A14" s="26" t="s">
        <v>15</v>
      </c>
      <c r="B14" s="27" t="s">
        <v>16</v>
      </c>
      <c r="C14" s="27" t="s">
        <v>17</v>
      </c>
      <c r="D14" s="20">
        <v>38</v>
      </c>
      <c r="E14" s="15" t="s">
        <v>23</v>
      </c>
      <c r="F14" s="28" t="s">
        <v>27</v>
      </c>
      <c r="G14" s="28" t="s">
        <v>28</v>
      </c>
      <c r="H14" s="28" t="s">
        <v>28</v>
      </c>
      <c r="I14" s="29"/>
      <c r="J14" s="30"/>
      <c r="K14" s="31" t="s">
        <v>29</v>
      </c>
      <c r="L14" s="32"/>
      <c r="M14" s="24">
        <f>M21</f>
        <v>242521600</v>
      </c>
      <c r="N14" s="24">
        <v>103719700</v>
      </c>
      <c r="O14" s="24">
        <v>42.767200942101653</v>
      </c>
      <c r="P14" s="24">
        <f>P21</f>
        <v>2526100</v>
      </c>
      <c r="Q14" s="24">
        <f t="shared" si="2"/>
        <v>1.0415979442655829</v>
      </c>
      <c r="R14" s="24">
        <f t="shared" si="3"/>
        <v>106245800</v>
      </c>
      <c r="S14" s="24">
        <f t="shared" si="4"/>
        <v>43.808798886367235</v>
      </c>
      <c r="T14" s="24"/>
      <c r="U14" s="11"/>
      <c r="V14" s="11"/>
    </row>
    <row r="15" spans="1:22" x14ac:dyDescent="0.25">
      <c r="A15" s="26" t="s">
        <v>15</v>
      </c>
      <c r="B15" s="27" t="s">
        <v>16</v>
      </c>
      <c r="C15" s="27" t="s">
        <v>17</v>
      </c>
      <c r="D15" s="20">
        <v>38</v>
      </c>
      <c r="E15" s="15" t="s">
        <v>23</v>
      </c>
      <c r="F15" s="28" t="s">
        <v>27</v>
      </c>
      <c r="G15" s="28" t="s">
        <v>28</v>
      </c>
      <c r="H15" s="28" t="s">
        <v>30</v>
      </c>
      <c r="I15" s="29"/>
      <c r="J15" s="30"/>
      <c r="K15" s="31" t="s">
        <v>31</v>
      </c>
      <c r="L15" s="32"/>
      <c r="M15" s="24">
        <f>M69</f>
        <v>14000000</v>
      </c>
      <c r="N15" s="24">
        <v>4600000</v>
      </c>
      <c r="O15" s="24">
        <v>32.857142857142854</v>
      </c>
      <c r="P15" s="24">
        <f t="shared" ref="P15" si="5">P69</f>
        <v>0</v>
      </c>
      <c r="Q15" s="24">
        <f t="shared" si="2"/>
        <v>0</v>
      </c>
      <c r="R15" s="24">
        <f t="shared" si="3"/>
        <v>4600000</v>
      </c>
      <c r="S15" s="24">
        <f t="shared" si="4"/>
        <v>32.857142857142854</v>
      </c>
      <c r="T15" s="24"/>
      <c r="U15" s="11"/>
      <c r="V15" s="11"/>
    </row>
    <row r="16" spans="1:22" x14ac:dyDescent="0.25">
      <c r="A16" s="18"/>
      <c r="B16" s="6"/>
      <c r="C16" s="6"/>
      <c r="D16" s="6"/>
      <c r="E16" s="6"/>
      <c r="F16" s="6"/>
      <c r="G16" s="6"/>
      <c r="H16" s="6"/>
      <c r="I16" s="6"/>
      <c r="J16" s="7"/>
      <c r="K16" s="8"/>
      <c r="L16" s="32"/>
      <c r="M16" s="33"/>
      <c r="N16" s="24"/>
      <c r="O16" s="24"/>
      <c r="P16" s="11"/>
      <c r="Q16" s="24"/>
      <c r="R16" s="24"/>
      <c r="S16" s="24"/>
      <c r="T16" s="11"/>
      <c r="U16" s="11"/>
      <c r="V16" s="11"/>
    </row>
    <row r="17" spans="1:22" x14ac:dyDescent="0.25">
      <c r="A17" s="26" t="s">
        <v>15</v>
      </c>
      <c r="B17" s="27" t="s">
        <v>16</v>
      </c>
      <c r="C17" s="27" t="s">
        <v>17</v>
      </c>
      <c r="D17" s="20">
        <v>38</v>
      </c>
      <c r="E17" s="15" t="s">
        <v>23</v>
      </c>
      <c r="F17" s="28" t="s">
        <v>27</v>
      </c>
      <c r="G17" s="28" t="s">
        <v>28</v>
      </c>
      <c r="H17" s="28" t="s">
        <v>15</v>
      </c>
      <c r="I17" s="28"/>
      <c r="J17" s="34"/>
      <c r="K17" s="35" t="s">
        <v>32</v>
      </c>
      <c r="L17" s="36"/>
      <c r="M17" s="37">
        <f>M18</f>
        <v>384782400</v>
      </c>
      <c r="N17" s="38">
        <v>236079000</v>
      </c>
      <c r="O17" s="38">
        <v>61.353897683469924</v>
      </c>
      <c r="P17" s="37">
        <f t="shared" ref="P17:P18" si="6">P18</f>
        <v>27729720</v>
      </c>
      <c r="Q17" s="38">
        <f t="shared" si="2"/>
        <v>7.2065978069683023</v>
      </c>
      <c r="R17" s="38">
        <f t="shared" si="3"/>
        <v>263808720</v>
      </c>
      <c r="S17" s="38">
        <f t="shared" si="4"/>
        <v>68.560495490438228</v>
      </c>
      <c r="T17" s="37"/>
      <c r="U17" s="11"/>
      <c r="V17" s="11"/>
    </row>
    <row r="18" spans="1:22" x14ac:dyDescent="0.25">
      <c r="A18" s="12">
        <v>1</v>
      </c>
      <c r="B18" s="13" t="s">
        <v>16</v>
      </c>
      <c r="C18" s="13" t="s">
        <v>17</v>
      </c>
      <c r="D18" s="20">
        <v>38</v>
      </c>
      <c r="E18" s="15" t="s">
        <v>23</v>
      </c>
      <c r="F18" s="14">
        <v>5</v>
      </c>
      <c r="G18" s="14">
        <v>2</v>
      </c>
      <c r="H18" s="14">
        <v>1</v>
      </c>
      <c r="I18" s="13" t="s">
        <v>33</v>
      </c>
      <c r="J18" s="39"/>
      <c r="K18" s="40" t="s">
        <v>34</v>
      </c>
      <c r="L18" s="32"/>
      <c r="M18" s="41">
        <f>M19</f>
        <v>384782400</v>
      </c>
      <c r="N18" s="24">
        <v>236079000</v>
      </c>
      <c r="O18" s="24">
        <v>61.353897683469924</v>
      </c>
      <c r="P18" s="41">
        <f t="shared" si="6"/>
        <v>27729720</v>
      </c>
      <c r="Q18" s="24">
        <f t="shared" si="2"/>
        <v>7.2065978069683023</v>
      </c>
      <c r="R18" s="24">
        <f t="shared" si="3"/>
        <v>263808720</v>
      </c>
      <c r="S18" s="24">
        <f t="shared" si="4"/>
        <v>68.560495490438228</v>
      </c>
      <c r="T18" s="41"/>
      <c r="U18" s="11"/>
      <c r="V18" s="11"/>
    </row>
    <row r="19" spans="1:22" x14ac:dyDescent="0.25">
      <c r="A19" s="42">
        <v>1</v>
      </c>
      <c r="B19" s="43" t="s">
        <v>16</v>
      </c>
      <c r="C19" s="43" t="s">
        <v>17</v>
      </c>
      <c r="D19" s="20">
        <v>38</v>
      </c>
      <c r="E19" s="15" t="s">
        <v>23</v>
      </c>
      <c r="F19" s="44">
        <v>5</v>
      </c>
      <c r="G19" s="44">
        <v>2</v>
      </c>
      <c r="H19" s="44">
        <v>1</v>
      </c>
      <c r="I19" s="43" t="s">
        <v>33</v>
      </c>
      <c r="J19" s="39" t="s">
        <v>17</v>
      </c>
      <c r="K19" s="45" t="s">
        <v>35</v>
      </c>
      <c r="L19" s="25"/>
      <c r="M19" s="76">
        <v>384782400</v>
      </c>
      <c r="N19" s="24">
        <v>236079000</v>
      </c>
      <c r="O19" s="24">
        <v>61.353897683469924</v>
      </c>
      <c r="P19" s="150">
        <v>27729720</v>
      </c>
      <c r="Q19" s="24">
        <f t="shared" si="2"/>
        <v>7.2065978069683023</v>
      </c>
      <c r="R19" s="24">
        <f t="shared" si="3"/>
        <v>263808720</v>
      </c>
      <c r="S19" s="24">
        <f t="shared" si="4"/>
        <v>68.560495490438228</v>
      </c>
      <c r="T19" s="41">
        <f>9/12*100</f>
        <v>75</v>
      </c>
      <c r="U19" s="11"/>
      <c r="V19" s="11"/>
    </row>
    <row r="20" spans="1:22" x14ac:dyDescent="0.25">
      <c r="A20" s="42"/>
      <c r="B20" s="43"/>
      <c r="C20" s="43"/>
      <c r="D20" s="44"/>
      <c r="E20" s="44"/>
      <c r="F20" s="44"/>
      <c r="G20" s="44"/>
      <c r="H20" s="44"/>
      <c r="I20" s="43"/>
      <c r="J20" s="39"/>
      <c r="K20" s="45"/>
      <c r="L20" s="48"/>
      <c r="M20" s="49"/>
      <c r="N20" s="24"/>
      <c r="O20" s="24"/>
      <c r="P20" s="50"/>
      <c r="Q20" s="24"/>
      <c r="R20" s="24"/>
      <c r="S20" s="24"/>
      <c r="T20" s="11"/>
      <c r="U20" s="11"/>
      <c r="V20" s="11"/>
    </row>
    <row r="21" spans="1:22" ht="30" x14ac:dyDescent="0.25">
      <c r="A21" s="12">
        <v>1</v>
      </c>
      <c r="B21" s="13" t="s">
        <v>16</v>
      </c>
      <c r="C21" s="13" t="s">
        <v>17</v>
      </c>
      <c r="D21" s="20">
        <v>38</v>
      </c>
      <c r="E21" s="15" t="s">
        <v>23</v>
      </c>
      <c r="F21" s="14">
        <v>5</v>
      </c>
      <c r="G21" s="14">
        <v>2</v>
      </c>
      <c r="H21" s="14">
        <v>2</v>
      </c>
      <c r="I21" s="14"/>
      <c r="J21" s="51"/>
      <c r="K21" s="52" t="s">
        <v>36</v>
      </c>
      <c r="L21" s="53"/>
      <c r="M21" s="54">
        <f>M22+M31+M34+M44+M48+M51+M54+M57+M62+M66+M39</f>
        <v>242521600</v>
      </c>
      <c r="N21" s="38">
        <v>103719700</v>
      </c>
      <c r="O21" s="38">
        <v>42.767200942101653</v>
      </c>
      <c r="P21" s="132">
        <f>P22+P31+P34+P39+P44+P48+P51+P54+P57+P62+P66</f>
        <v>2526100</v>
      </c>
      <c r="Q21" s="38">
        <f t="shared" si="2"/>
        <v>1.0415979442655829</v>
      </c>
      <c r="R21" s="38">
        <f t="shared" si="3"/>
        <v>106245800</v>
      </c>
      <c r="S21" s="38">
        <f t="shared" si="4"/>
        <v>43.808798886367235</v>
      </c>
      <c r="T21" s="54"/>
      <c r="U21" s="11"/>
      <c r="V21" s="11"/>
    </row>
    <row r="22" spans="1:22" x14ac:dyDescent="0.25">
      <c r="A22" s="12">
        <v>1</v>
      </c>
      <c r="B22" s="13" t="s">
        <v>16</v>
      </c>
      <c r="C22" s="13" t="s">
        <v>17</v>
      </c>
      <c r="D22" s="20">
        <v>38</v>
      </c>
      <c r="E22" s="15" t="s">
        <v>23</v>
      </c>
      <c r="F22" s="14">
        <v>5</v>
      </c>
      <c r="G22" s="14">
        <v>2</v>
      </c>
      <c r="H22" s="14">
        <v>2</v>
      </c>
      <c r="I22" s="13" t="s">
        <v>17</v>
      </c>
      <c r="J22" s="55"/>
      <c r="K22" s="40" t="s">
        <v>37</v>
      </c>
      <c r="L22" s="48"/>
      <c r="M22" s="56">
        <f>SUM(M23:M29)</f>
        <v>96804750</v>
      </c>
      <c r="N22" s="24">
        <v>2747500</v>
      </c>
      <c r="O22" s="24">
        <v>2.838187175732596</v>
      </c>
      <c r="P22" s="56">
        <f>SUM(P23:P29)</f>
        <v>633500</v>
      </c>
      <c r="Q22" s="24">
        <f t="shared" si="2"/>
        <v>0.65441003669757936</v>
      </c>
      <c r="R22" s="24">
        <f t="shared" si="3"/>
        <v>3381000</v>
      </c>
      <c r="S22" s="24">
        <f t="shared" si="4"/>
        <v>3.4925972124301747</v>
      </c>
      <c r="T22" s="56"/>
      <c r="U22" s="11"/>
      <c r="V22" s="11"/>
    </row>
    <row r="23" spans="1:22" x14ac:dyDescent="0.25">
      <c r="A23" s="42">
        <v>1</v>
      </c>
      <c r="B23" s="43" t="s">
        <v>16</v>
      </c>
      <c r="C23" s="43" t="s">
        <v>17</v>
      </c>
      <c r="D23" s="20">
        <v>38</v>
      </c>
      <c r="E23" s="15" t="s">
        <v>23</v>
      </c>
      <c r="F23" s="44">
        <v>5</v>
      </c>
      <c r="G23" s="44">
        <v>2</v>
      </c>
      <c r="H23" s="44">
        <v>2</v>
      </c>
      <c r="I23" s="43" t="s">
        <v>17</v>
      </c>
      <c r="J23" s="39" t="s">
        <v>23</v>
      </c>
      <c r="K23" s="45" t="s">
        <v>78</v>
      </c>
      <c r="L23" s="48"/>
      <c r="M23" s="49">
        <v>2379850</v>
      </c>
      <c r="N23" s="24">
        <v>989500</v>
      </c>
      <c r="O23" s="24"/>
      <c r="P23" s="133"/>
      <c r="Q23" s="24"/>
      <c r="R23" s="24">
        <f t="shared" si="3"/>
        <v>989500</v>
      </c>
      <c r="S23" s="24"/>
      <c r="T23" s="56">
        <v>100</v>
      </c>
      <c r="U23" s="11"/>
      <c r="V23" s="11"/>
    </row>
    <row r="24" spans="1:22" x14ac:dyDescent="0.25">
      <c r="A24" s="42">
        <v>1</v>
      </c>
      <c r="B24" s="43" t="s">
        <v>16</v>
      </c>
      <c r="C24" s="43" t="s">
        <v>17</v>
      </c>
      <c r="D24" s="20">
        <v>38</v>
      </c>
      <c r="E24" s="15" t="s">
        <v>23</v>
      </c>
      <c r="F24" s="44">
        <v>5</v>
      </c>
      <c r="G24" s="44">
        <v>2</v>
      </c>
      <c r="H24" s="44">
        <v>2</v>
      </c>
      <c r="I24" s="43" t="s">
        <v>17</v>
      </c>
      <c r="J24" s="39" t="s">
        <v>38</v>
      </c>
      <c r="K24" s="45" t="s">
        <v>39</v>
      </c>
      <c r="L24" s="48"/>
      <c r="M24" s="49">
        <v>600000</v>
      </c>
      <c r="N24" s="24">
        <v>600000</v>
      </c>
      <c r="O24" s="24">
        <v>100</v>
      </c>
      <c r="P24" s="50"/>
      <c r="Q24" s="24">
        <f t="shared" si="2"/>
        <v>0</v>
      </c>
      <c r="R24" s="24">
        <f t="shared" si="3"/>
        <v>600000</v>
      </c>
      <c r="S24" s="24">
        <f t="shared" si="4"/>
        <v>100</v>
      </c>
      <c r="T24" s="11">
        <v>100</v>
      </c>
      <c r="U24" s="57"/>
      <c r="V24" s="11"/>
    </row>
    <row r="25" spans="1:22" x14ac:dyDescent="0.25">
      <c r="A25" s="42">
        <v>1</v>
      </c>
      <c r="B25" s="43" t="s">
        <v>16</v>
      </c>
      <c r="C25" s="43" t="s">
        <v>17</v>
      </c>
      <c r="D25" s="20">
        <v>38</v>
      </c>
      <c r="E25" s="15" t="s">
        <v>23</v>
      </c>
      <c r="F25" s="44">
        <v>5</v>
      </c>
      <c r="G25" s="44">
        <v>2</v>
      </c>
      <c r="H25" s="44">
        <v>2</v>
      </c>
      <c r="I25" s="43" t="s">
        <v>17</v>
      </c>
      <c r="J25" s="39" t="s">
        <v>40</v>
      </c>
      <c r="K25" s="58" t="s">
        <v>41</v>
      </c>
      <c r="L25" s="32"/>
      <c r="M25" s="59">
        <v>5564300</v>
      </c>
      <c r="N25" s="24">
        <v>560000</v>
      </c>
      <c r="O25" s="24">
        <v>10.064159013712416</v>
      </c>
      <c r="P25" s="50">
        <v>633500</v>
      </c>
      <c r="Q25" s="24">
        <f t="shared" si="2"/>
        <v>11.38507988426217</v>
      </c>
      <c r="R25" s="24">
        <f t="shared" si="3"/>
        <v>1193500</v>
      </c>
      <c r="S25" s="24">
        <f t="shared" si="4"/>
        <v>21.449238897974588</v>
      </c>
      <c r="T25" s="11">
        <f>9/15*100</f>
        <v>60</v>
      </c>
      <c r="U25" s="60"/>
      <c r="V25" s="11"/>
    </row>
    <row r="26" spans="1:22" x14ac:dyDescent="0.25">
      <c r="A26" s="42">
        <v>1</v>
      </c>
      <c r="B26" s="43" t="s">
        <v>16</v>
      </c>
      <c r="C26" s="43" t="s">
        <v>17</v>
      </c>
      <c r="D26" s="20">
        <v>38</v>
      </c>
      <c r="E26" s="15" t="s">
        <v>23</v>
      </c>
      <c r="F26" s="44">
        <v>5</v>
      </c>
      <c r="G26" s="44">
        <v>2</v>
      </c>
      <c r="H26" s="44">
        <v>2</v>
      </c>
      <c r="I26" s="43" t="s">
        <v>17</v>
      </c>
      <c r="J26" s="61" t="s">
        <v>43</v>
      </c>
      <c r="K26" s="58" t="s">
        <v>44</v>
      </c>
      <c r="L26" s="48"/>
      <c r="M26" s="49">
        <v>304000</v>
      </c>
      <c r="N26" s="24">
        <v>0</v>
      </c>
      <c r="O26" s="24">
        <v>0</v>
      </c>
      <c r="P26" s="50"/>
      <c r="Q26" s="24">
        <f t="shared" si="2"/>
        <v>0</v>
      </c>
      <c r="R26" s="24">
        <f t="shared" si="3"/>
        <v>0</v>
      </c>
      <c r="S26" s="24">
        <f t="shared" si="4"/>
        <v>0</v>
      </c>
      <c r="T26" s="11"/>
      <c r="U26" s="11"/>
      <c r="V26" s="11"/>
    </row>
    <row r="27" spans="1:22" x14ac:dyDescent="0.25">
      <c r="A27" s="42">
        <v>1</v>
      </c>
      <c r="B27" s="43" t="s">
        <v>16</v>
      </c>
      <c r="C27" s="43" t="s">
        <v>17</v>
      </c>
      <c r="D27" s="20">
        <v>38</v>
      </c>
      <c r="E27" s="15" t="s">
        <v>23</v>
      </c>
      <c r="F27" s="44">
        <v>5</v>
      </c>
      <c r="G27" s="44">
        <v>2</v>
      </c>
      <c r="H27" s="44">
        <v>2</v>
      </c>
      <c r="I27" s="43" t="s">
        <v>17</v>
      </c>
      <c r="J27" s="61" t="s">
        <v>33</v>
      </c>
      <c r="K27" s="58" t="s">
        <v>45</v>
      </c>
      <c r="L27" s="48"/>
      <c r="M27" s="49">
        <v>285000</v>
      </c>
      <c r="N27" s="24">
        <v>0</v>
      </c>
      <c r="O27" s="24">
        <v>0</v>
      </c>
      <c r="P27" s="50"/>
      <c r="Q27" s="24">
        <f t="shared" si="2"/>
        <v>0</v>
      </c>
      <c r="R27" s="24">
        <f t="shared" si="3"/>
        <v>0</v>
      </c>
      <c r="S27" s="24">
        <f t="shared" si="4"/>
        <v>0</v>
      </c>
      <c r="T27" s="11"/>
      <c r="U27" s="11"/>
      <c r="V27" s="11"/>
    </row>
    <row r="28" spans="1:22" x14ac:dyDescent="0.25">
      <c r="A28" s="42">
        <v>1</v>
      </c>
      <c r="B28" s="43" t="s">
        <v>16</v>
      </c>
      <c r="C28" s="43" t="s">
        <v>17</v>
      </c>
      <c r="D28" s="20">
        <v>38</v>
      </c>
      <c r="E28" s="15" t="s">
        <v>23</v>
      </c>
      <c r="F28" s="44">
        <v>5</v>
      </c>
      <c r="G28" s="44">
        <v>2</v>
      </c>
      <c r="H28" s="44">
        <v>2</v>
      </c>
      <c r="I28" s="43" t="s">
        <v>17</v>
      </c>
      <c r="J28" s="39">
        <v>11</v>
      </c>
      <c r="K28" s="58" t="s">
        <v>79</v>
      </c>
      <c r="L28" s="48"/>
      <c r="M28" s="49">
        <v>86795600</v>
      </c>
      <c r="N28" s="24">
        <v>0</v>
      </c>
      <c r="O28" s="24">
        <v>0</v>
      </c>
      <c r="P28" s="50"/>
      <c r="Q28" s="24">
        <f t="shared" si="2"/>
        <v>0</v>
      </c>
      <c r="R28" s="24">
        <f t="shared" si="3"/>
        <v>0</v>
      </c>
      <c r="S28" s="24">
        <f t="shared" si="4"/>
        <v>0</v>
      </c>
      <c r="T28" s="11"/>
      <c r="U28" s="11"/>
      <c r="V28" s="11"/>
    </row>
    <row r="29" spans="1:22" x14ac:dyDescent="0.25">
      <c r="A29" s="42">
        <v>1</v>
      </c>
      <c r="B29" s="43" t="s">
        <v>16</v>
      </c>
      <c r="C29" s="43" t="s">
        <v>17</v>
      </c>
      <c r="D29" s="20">
        <v>38</v>
      </c>
      <c r="E29" s="15" t="s">
        <v>23</v>
      </c>
      <c r="F29" s="63" t="s">
        <v>27</v>
      </c>
      <c r="G29" s="63" t="s">
        <v>28</v>
      </c>
      <c r="H29" s="63" t="s">
        <v>28</v>
      </c>
      <c r="I29" s="63" t="s">
        <v>17</v>
      </c>
      <c r="J29" s="64">
        <v>12</v>
      </c>
      <c r="K29" s="58" t="s">
        <v>46</v>
      </c>
      <c r="L29" s="48"/>
      <c r="M29" s="49">
        <v>876000</v>
      </c>
      <c r="N29" s="24">
        <v>598000</v>
      </c>
      <c r="O29" s="24">
        <v>68.264840182648399</v>
      </c>
      <c r="P29" s="50"/>
      <c r="Q29" s="24">
        <f t="shared" si="2"/>
        <v>0</v>
      </c>
      <c r="R29" s="24">
        <f t="shared" si="3"/>
        <v>598000</v>
      </c>
      <c r="S29" s="24">
        <f t="shared" si="4"/>
        <v>68.264840182648399</v>
      </c>
      <c r="T29" s="11">
        <v>100</v>
      </c>
      <c r="U29" s="11"/>
      <c r="V29" s="11"/>
    </row>
    <row r="30" spans="1:22" x14ac:dyDescent="0.25">
      <c r="A30" s="42"/>
      <c r="B30" s="43"/>
      <c r="C30" s="43"/>
      <c r="D30" s="44"/>
      <c r="E30" s="44"/>
      <c r="F30" s="44"/>
      <c r="G30" s="44"/>
      <c r="H30" s="44"/>
      <c r="I30" s="43"/>
      <c r="J30" s="39"/>
      <c r="K30" s="45"/>
      <c r="L30" s="32"/>
      <c r="M30" s="59"/>
      <c r="N30" s="24"/>
      <c r="O30" s="24"/>
      <c r="P30" s="50"/>
      <c r="Q30" s="24"/>
      <c r="R30" s="24"/>
      <c r="S30" s="24"/>
      <c r="T30" s="11"/>
      <c r="U30" s="57"/>
      <c r="V30" s="11"/>
    </row>
    <row r="31" spans="1:22" x14ac:dyDescent="0.25">
      <c r="A31" s="12">
        <v>1</v>
      </c>
      <c r="B31" s="13" t="s">
        <v>16</v>
      </c>
      <c r="C31" s="13" t="s">
        <v>17</v>
      </c>
      <c r="D31" s="20">
        <v>38</v>
      </c>
      <c r="E31" s="15" t="s">
        <v>23</v>
      </c>
      <c r="F31" s="14">
        <v>5</v>
      </c>
      <c r="G31" s="14">
        <v>2</v>
      </c>
      <c r="H31" s="14">
        <v>2</v>
      </c>
      <c r="I31" s="13" t="s">
        <v>16</v>
      </c>
      <c r="J31" s="39"/>
      <c r="K31" s="40" t="s">
        <v>47</v>
      </c>
      <c r="L31" s="25"/>
      <c r="M31" s="62">
        <f>SUM(M32:M32)</f>
        <v>2905000</v>
      </c>
      <c r="N31" s="24">
        <v>768000</v>
      </c>
      <c r="O31" s="24">
        <v>26.43717728055077</v>
      </c>
      <c r="P31" s="62">
        <f>P32</f>
        <v>112000</v>
      </c>
      <c r="Q31" s="24">
        <f t="shared" si="2"/>
        <v>3.8554216867469884</v>
      </c>
      <c r="R31" s="24">
        <f t="shared" si="3"/>
        <v>880000</v>
      </c>
      <c r="S31" s="24">
        <f t="shared" si="4"/>
        <v>30.292598967297764</v>
      </c>
      <c r="T31" s="62"/>
      <c r="U31" s="11"/>
      <c r="V31" s="11"/>
    </row>
    <row r="32" spans="1:22" x14ac:dyDescent="0.25">
      <c r="A32" s="42">
        <v>1</v>
      </c>
      <c r="B32" s="43" t="s">
        <v>16</v>
      </c>
      <c r="C32" s="43" t="s">
        <v>17</v>
      </c>
      <c r="D32" s="20">
        <v>38</v>
      </c>
      <c r="E32" s="15" t="s">
        <v>23</v>
      </c>
      <c r="F32" s="44">
        <v>5</v>
      </c>
      <c r="G32" s="44">
        <v>2</v>
      </c>
      <c r="H32" s="44">
        <v>2</v>
      </c>
      <c r="I32" s="67" t="s">
        <v>16</v>
      </c>
      <c r="J32" s="61" t="s">
        <v>42</v>
      </c>
      <c r="K32" s="68" t="s">
        <v>48</v>
      </c>
      <c r="L32" s="69"/>
      <c r="M32" s="49">
        <v>2905000</v>
      </c>
      <c r="N32" s="24">
        <v>768000</v>
      </c>
      <c r="O32" s="24">
        <v>26.43717728055077</v>
      </c>
      <c r="P32" s="50">
        <v>112000</v>
      </c>
      <c r="Q32" s="24">
        <f t="shared" si="2"/>
        <v>3.8554216867469884</v>
      </c>
      <c r="R32" s="24">
        <f t="shared" si="3"/>
        <v>880000</v>
      </c>
      <c r="S32" s="24">
        <f t="shared" si="4"/>
        <v>30.292598967297764</v>
      </c>
      <c r="T32" s="62">
        <f>24+8+8+8+8+8/104*100</f>
        <v>63.692307692307693</v>
      </c>
      <c r="U32" s="70"/>
      <c r="V32" s="11"/>
    </row>
    <row r="33" spans="1:22" x14ac:dyDescent="0.25">
      <c r="A33" s="42"/>
      <c r="B33" s="43"/>
      <c r="C33" s="43"/>
      <c r="D33" s="44"/>
      <c r="E33" s="44"/>
      <c r="F33" s="44"/>
      <c r="G33" s="44"/>
      <c r="H33" s="44"/>
      <c r="I33" s="67"/>
      <c r="J33" s="39"/>
      <c r="K33" s="71"/>
      <c r="L33" s="48"/>
      <c r="M33" s="49"/>
      <c r="N33" s="24"/>
      <c r="O33" s="24"/>
      <c r="P33" s="50"/>
      <c r="Q33" s="24"/>
      <c r="R33" s="24"/>
      <c r="S33" s="24"/>
      <c r="T33" s="11"/>
      <c r="U33" s="72"/>
      <c r="V33" s="11"/>
    </row>
    <row r="34" spans="1:22" x14ac:dyDescent="0.25">
      <c r="A34" s="12">
        <v>1</v>
      </c>
      <c r="B34" s="13" t="s">
        <v>16</v>
      </c>
      <c r="C34" s="13" t="s">
        <v>17</v>
      </c>
      <c r="D34" s="20">
        <v>38</v>
      </c>
      <c r="E34" s="15" t="s">
        <v>23</v>
      </c>
      <c r="F34" s="14">
        <v>5</v>
      </c>
      <c r="G34" s="14">
        <v>2</v>
      </c>
      <c r="H34" s="14">
        <v>2</v>
      </c>
      <c r="I34" s="13" t="s">
        <v>23</v>
      </c>
      <c r="J34" s="55"/>
      <c r="K34" s="40" t="s">
        <v>49</v>
      </c>
      <c r="L34" s="25"/>
      <c r="M34" s="73">
        <f>SUM(M35:M37)</f>
        <v>19035000</v>
      </c>
      <c r="N34" s="24">
        <v>9577200</v>
      </c>
      <c r="O34" s="24">
        <v>50.313632781717885</v>
      </c>
      <c r="P34" s="73">
        <f>SUM(P35:P37)</f>
        <v>910600</v>
      </c>
      <c r="Q34" s="24">
        <f t="shared" si="2"/>
        <v>4.7838192802731809</v>
      </c>
      <c r="R34" s="24">
        <f t="shared" si="3"/>
        <v>10487800</v>
      </c>
      <c r="S34" s="24">
        <f t="shared" si="4"/>
        <v>55.097452061991071</v>
      </c>
      <c r="T34" s="73"/>
      <c r="U34" s="11"/>
      <c r="V34" s="11"/>
    </row>
    <row r="35" spans="1:22" x14ac:dyDescent="0.25">
      <c r="A35" s="42">
        <v>1</v>
      </c>
      <c r="B35" s="43" t="s">
        <v>16</v>
      </c>
      <c r="C35" s="43" t="s">
        <v>17</v>
      </c>
      <c r="D35" s="20">
        <v>38</v>
      </c>
      <c r="E35" s="15" t="s">
        <v>23</v>
      </c>
      <c r="F35" s="44">
        <v>5</v>
      </c>
      <c r="G35" s="44">
        <v>2</v>
      </c>
      <c r="H35" s="44">
        <v>2</v>
      </c>
      <c r="I35" s="43" t="s">
        <v>23</v>
      </c>
      <c r="J35" s="74" t="s">
        <v>42</v>
      </c>
      <c r="K35" s="75" t="s">
        <v>50</v>
      </c>
      <c r="L35" s="25"/>
      <c r="M35" s="76">
        <v>12000000</v>
      </c>
      <c r="N35" s="24">
        <v>6902200</v>
      </c>
      <c r="O35" s="24">
        <v>57.518333333333338</v>
      </c>
      <c r="P35" s="50">
        <v>867700</v>
      </c>
      <c r="Q35" s="24">
        <f t="shared" si="2"/>
        <v>7.2308333333333339</v>
      </c>
      <c r="R35" s="24">
        <f t="shared" si="3"/>
        <v>7769900</v>
      </c>
      <c r="S35" s="24">
        <f t="shared" si="4"/>
        <v>64.749166666666667</v>
      </c>
      <c r="T35" s="11">
        <f>9/12*100</f>
        <v>75</v>
      </c>
      <c r="U35" s="11"/>
      <c r="V35" s="11"/>
    </row>
    <row r="36" spans="1:22" x14ac:dyDescent="0.25">
      <c r="A36" s="42">
        <v>1</v>
      </c>
      <c r="B36" s="43" t="s">
        <v>16</v>
      </c>
      <c r="C36" s="43" t="s">
        <v>17</v>
      </c>
      <c r="D36" s="20">
        <v>38</v>
      </c>
      <c r="E36" s="15" t="s">
        <v>23</v>
      </c>
      <c r="F36" s="44">
        <v>5</v>
      </c>
      <c r="G36" s="44">
        <v>2</v>
      </c>
      <c r="H36" s="44">
        <v>2</v>
      </c>
      <c r="I36" s="67" t="s">
        <v>23</v>
      </c>
      <c r="J36" s="61" t="s">
        <v>51</v>
      </c>
      <c r="K36" s="68" t="s">
        <v>52</v>
      </c>
      <c r="L36" s="77"/>
      <c r="M36" s="76">
        <v>535000</v>
      </c>
      <c r="N36" s="24">
        <v>25000</v>
      </c>
      <c r="O36" s="24">
        <v>4.6728971962616823</v>
      </c>
      <c r="P36" s="50">
        <v>42900</v>
      </c>
      <c r="Q36" s="24">
        <f t="shared" si="2"/>
        <v>8.0186915887850478</v>
      </c>
      <c r="R36" s="24">
        <f t="shared" si="3"/>
        <v>67900</v>
      </c>
      <c r="S36" s="24">
        <f t="shared" si="4"/>
        <v>12.691588785046729</v>
      </c>
      <c r="T36" s="73">
        <v>9</v>
      </c>
      <c r="U36" s="11"/>
      <c r="V36" s="11"/>
    </row>
    <row r="37" spans="1:22" ht="30" x14ac:dyDescent="0.25">
      <c r="A37" s="42">
        <v>1</v>
      </c>
      <c r="B37" s="43" t="s">
        <v>16</v>
      </c>
      <c r="C37" s="43" t="s">
        <v>17</v>
      </c>
      <c r="D37" s="20">
        <v>38</v>
      </c>
      <c r="E37" s="15" t="s">
        <v>23</v>
      </c>
      <c r="F37" s="44">
        <v>5</v>
      </c>
      <c r="G37" s="44">
        <v>2</v>
      </c>
      <c r="H37" s="44">
        <v>2</v>
      </c>
      <c r="I37" s="67" t="s">
        <v>23</v>
      </c>
      <c r="J37" s="61">
        <v>12</v>
      </c>
      <c r="K37" s="68" t="s">
        <v>80</v>
      </c>
      <c r="L37" s="77"/>
      <c r="M37" s="76">
        <v>6500000</v>
      </c>
      <c r="N37" s="24">
        <v>2650000</v>
      </c>
      <c r="O37" s="24">
        <v>40.769230769230766</v>
      </c>
      <c r="P37" s="50"/>
      <c r="Q37" s="24">
        <f t="shared" si="2"/>
        <v>0</v>
      </c>
      <c r="R37" s="24">
        <f t="shared" si="3"/>
        <v>2650000</v>
      </c>
      <c r="S37" s="24">
        <f t="shared" si="4"/>
        <v>40.769230769230766</v>
      </c>
      <c r="T37" s="11">
        <f>1/3*100</f>
        <v>33.333333333333329</v>
      </c>
      <c r="U37" s="11"/>
      <c r="V37" s="11"/>
    </row>
    <row r="38" spans="1:22" x14ac:dyDescent="0.25">
      <c r="A38" s="42"/>
      <c r="B38" s="43"/>
      <c r="C38" s="43"/>
      <c r="D38" s="44"/>
      <c r="E38" s="44"/>
      <c r="F38" s="44"/>
      <c r="G38" s="44"/>
      <c r="H38" s="44"/>
      <c r="I38" s="43"/>
      <c r="J38" s="39"/>
      <c r="K38" s="45"/>
      <c r="L38" s="32"/>
      <c r="M38" s="78"/>
      <c r="N38" s="24"/>
      <c r="O38" s="24"/>
      <c r="P38" s="50"/>
      <c r="Q38" s="24"/>
      <c r="R38" s="24"/>
      <c r="S38" s="24"/>
      <c r="T38" s="79"/>
      <c r="U38" s="11"/>
      <c r="V38" s="11"/>
    </row>
    <row r="39" spans="1:22" x14ac:dyDescent="0.25">
      <c r="A39" s="12">
        <v>1</v>
      </c>
      <c r="B39" s="13" t="s">
        <v>16</v>
      </c>
      <c r="C39" s="13" t="s">
        <v>17</v>
      </c>
      <c r="D39" s="20">
        <v>38</v>
      </c>
      <c r="E39" s="15" t="s">
        <v>23</v>
      </c>
      <c r="F39" s="14">
        <v>5</v>
      </c>
      <c r="G39" s="14">
        <v>2</v>
      </c>
      <c r="H39" s="14">
        <v>2</v>
      </c>
      <c r="I39" s="13" t="s">
        <v>40</v>
      </c>
      <c r="J39" s="55"/>
      <c r="K39" s="40" t="s">
        <v>81</v>
      </c>
      <c r="L39" s="32"/>
      <c r="M39" s="79">
        <f>SUM(M40:M42)</f>
        <v>4600000</v>
      </c>
      <c r="N39" s="24">
        <v>0</v>
      </c>
      <c r="O39" s="24"/>
      <c r="P39" s="50">
        <f>SUM(P40:P42)</f>
        <v>0</v>
      </c>
      <c r="Q39" s="24"/>
      <c r="R39" s="24">
        <f t="shared" si="3"/>
        <v>0</v>
      </c>
      <c r="S39" s="24"/>
      <c r="T39" s="79"/>
      <c r="U39" s="11"/>
      <c r="V39" s="11"/>
    </row>
    <row r="40" spans="1:22" x14ac:dyDescent="0.25">
      <c r="A40" s="42">
        <v>1</v>
      </c>
      <c r="B40" s="43" t="s">
        <v>16</v>
      </c>
      <c r="C40" s="43" t="s">
        <v>17</v>
      </c>
      <c r="D40" s="20">
        <v>38</v>
      </c>
      <c r="E40" s="15" t="s">
        <v>23</v>
      </c>
      <c r="F40" s="44">
        <v>5</v>
      </c>
      <c r="G40" s="44">
        <v>2</v>
      </c>
      <c r="H40" s="44">
        <v>2</v>
      </c>
      <c r="I40" s="43" t="s">
        <v>40</v>
      </c>
      <c r="J40" s="39" t="s">
        <v>17</v>
      </c>
      <c r="K40" s="45" t="s">
        <v>82</v>
      </c>
      <c r="L40" s="32"/>
      <c r="M40" s="78">
        <v>2400000</v>
      </c>
      <c r="N40" s="24">
        <v>0</v>
      </c>
      <c r="O40" s="24"/>
      <c r="P40" s="50"/>
      <c r="Q40" s="24"/>
      <c r="R40" s="24">
        <f t="shared" si="3"/>
        <v>0</v>
      </c>
      <c r="S40" s="24"/>
      <c r="T40" s="79"/>
      <c r="U40" s="11"/>
      <c r="V40" s="11"/>
    </row>
    <row r="41" spans="1:22" x14ac:dyDescent="0.25">
      <c r="A41" s="42">
        <v>1</v>
      </c>
      <c r="B41" s="43" t="s">
        <v>16</v>
      </c>
      <c r="C41" s="43" t="s">
        <v>17</v>
      </c>
      <c r="D41" s="20">
        <v>38</v>
      </c>
      <c r="E41" s="15" t="s">
        <v>23</v>
      </c>
      <c r="F41" s="44">
        <v>5</v>
      </c>
      <c r="G41" s="44">
        <v>2</v>
      </c>
      <c r="H41" s="44">
        <v>2</v>
      </c>
      <c r="I41" s="43" t="s">
        <v>40</v>
      </c>
      <c r="J41" s="39" t="s">
        <v>16</v>
      </c>
      <c r="K41" s="45" t="s">
        <v>83</v>
      </c>
      <c r="L41" s="32"/>
      <c r="M41" s="78">
        <v>1800000</v>
      </c>
      <c r="N41" s="24">
        <v>0</v>
      </c>
      <c r="O41" s="24"/>
      <c r="P41" s="50"/>
      <c r="Q41" s="24"/>
      <c r="R41" s="24">
        <f t="shared" si="3"/>
        <v>0</v>
      </c>
      <c r="S41" s="24"/>
      <c r="T41" s="79"/>
      <c r="U41" s="11"/>
      <c r="V41" s="11"/>
    </row>
    <row r="42" spans="1:22" x14ac:dyDescent="0.25">
      <c r="A42" s="42">
        <v>1</v>
      </c>
      <c r="B42" s="43" t="s">
        <v>16</v>
      </c>
      <c r="C42" s="43" t="s">
        <v>17</v>
      </c>
      <c r="D42" s="20">
        <v>38</v>
      </c>
      <c r="E42" s="15" t="s">
        <v>23</v>
      </c>
      <c r="F42" s="44">
        <v>5</v>
      </c>
      <c r="G42" s="44">
        <v>2</v>
      </c>
      <c r="H42" s="44">
        <v>2</v>
      </c>
      <c r="I42" s="43" t="s">
        <v>40</v>
      </c>
      <c r="J42" s="39" t="s">
        <v>38</v>
      </c>
      <c r="K42" s="45" t="s">
        <v>84</v>
      </c>
      <c r="L42" s="32"/>
      <c r="M42" s="78">
        <v>400000</v>
      </c>
      <c r="N42" s="24">
        <v>0</v>
      </c>
      <c r="O42" s="24"/>
      <c r="P42" s="50"/>
      <c r="Q42" s="24"/>
      <c r="R42" s="24">
        <f t="shared" si="3"/>
        <v>0</v>
      </c>
      <c r="S42" s="24"/>
      <c r="T42" s="79"/>
      <c r="U42" s="11"/>
      <c r="V42" s="11"/>
    </row>
    <row r="43" spans="1:22" x14ac:dyDescent="0.25">
      <c r="A43" s="42"/>
      <c r="B43" s="43"/>
      <c r="C43" s="43"/>
      <c r="D43" s="44"/>
      <c r="E43" s="44"/>
      <c r="F43" s="44"/>
      <c r="G43" s="44"/>
      <c r="H43" s="44"/>
      <c r="I43" s="43"/>
      <c r="J43" s="39"/>
      <c r="K43" s="45"/>
      <c r="L43" s="32"/>
      <c r="M43" s="78"/>
      <c r="N43" s="24"/>
      <c r="O43" s="24"/>
      <c r="P43" s="50"/>
      <c r="Q43" s="24"/>
      <c r="R43" s="24"/>
      <c r="S43" s="24"/>
      <c r="T43" s="79"/>
      <c r="U43" s="11"/>
      <c r="V43" s="11"/>
    </row>
    <row r="44" spans="1:22" x14ac:dyDescent="0.25">
      <c r="A44" s="12">
        <v>1</v>
      </c>
      <c r="B44" s="13" t="s">
        <v>16</v>
      </c>
      <c r="C44" s="13" t="s">
        <v>17</v>
      </c>
      <c r="D44" s="20">
        <v>38</v>
      </c>
      <c r="E44" s="15" t="s">
        <v>23</v>
      </c>
      <c r="F44" s="14">
        <v>5</v>
      </c>
      <c r="G44" s="14">
        <v>2</v>
      </c>
      <c r="H44" s="14">
        <v>2</v>
      </c>
      <c r="I44" s="13" t="s">
        <v>42</v>
      </c>
      <c r="J44" s="55"/>
      <c r="K44" s="40" t="s">
        <v>53</v>
      </c>
      <c r="L44" s="32"/>
      <c r="M44" s="73">
        <f>SUM(M45:M46)</f>
        <v>49531750</v>
      </c>
      <c r="N44" s="24">
        <v>48402000</v>
      </c>
      <c r="O44" s="24">
        <v>97.719139743699742</v>
      </c>
      <c r="P44" s="73">
        <f>SUM(P45:P46)</f>
        <v>120000</v>
      </c>
      <c r="Q44" s="24">
        <f t="shared" si="2"/>
        <v>0.24226884775926552</v>
      </c>
      <c r="R44" s="24">
        <f t="shared" si="3"/>
        <v>48522000</v>
      </c>
      <c r="S44" s="24">
        <f t="shared" si="4"/>
        <v>97.961408591459005</v>
      </c>
      <c r="T44" s="73"/>
      <c r="U44" s="11"/>
      <c r="V44" s="11"/>
    </row>
    <row r="45" spans="1:22" x14ac:dyDescent="0.25">
      <c r="A45" s="42">
        <v>1</v>
      </c>
      <c r="B45" s="43" t="s">
        <v>16</v>
      </c>
      <c r="C45" s="43" t="s">
        <v>17</v>
      </c>
      <c r="D45" s="20">
        <v>38</v>
      </c>
      <c r="E45" s="15" t="s">
        <v>23</v>
      </c>
      <c r="F45" s="44">
        <v>5</v>
      </c>
      <c r="G45" s="44">
        <v>2</v>
      </c>
      <c r="H45" s="44">
        <v>2</v>
      </c>
      <c r="I45" s="43" t="s">
        <v>42</v>
      </c>
      <c r="J45" s="39" t="s">
        <v>17</v>
      </c>
      <c r="K45" s="45" t="s">
        <v>54</v>
      </c>
      <c r="L45" s="80"/>
      <c r="M45" s="76">
        <v>48090000</v>
      </c>
      <c r="N45" s="24">
        <v>47500000</v>
      </c>
      <c r="O45" s="24">
        <v>98.773133707631516</v>
      </c>
      <c r="P45" s="50"/>
      <c r="Q45" s="24">
        <f t="shared" si="2"/>
        <v>0</v>
      </c>
      <c r="R45" s="24">
        <f t="shared" si="3"/>
        <v>47500000</v>
      </c>
      <c r="S45" s="24">
        <f t="shared" si="4"/>
        <v>98.773133707631516</v>
      </c>
      <c r="T45" s="11">
        <v>100</v>
      </c>
      <c r="U45" s="11"/>
      <c r="V45" s="11"/>
    </row>
    <row r="46" spans="1:22" x14ac:dyDescent="0.25">
      <c r="A46" s="42">
        <v>1</v>
      </c>
      <c r="B46" s="43" t="s">
        <v>16</v>
      </c>
      <c r="C46" s="43" t="s">
        <v>17</v>
      </c>
      <c r="D46" s="20">
        <v>38</v>
      </c>
      <c r="E46" s="15" t="s">
        <v>23</v>
      </c>
      <c r="F46" s="44">
        <v>5</v>
      </c>
      <c r="G46" s="44">
        <v>2</v>
      </c>
      <c r="H46" s="44">
        <v>2</v>
      </c>
      <c r="I46" s="43" t="s">
        <v>42</v>
      </c>
      <c r="J46" s="39" t="s">
        <v>16</v>
      </c>
      <c r="K46" s="45" t="s">
        <v>55</v>
      </c>
      <c r="L46" s="81"/>
      <c r="M46" s="78">
        <v>1441750</v>
      </c>
      <c r="N46" s="24">
        <v>902000</v>
      </c>
      <c r="O46" s="24">
        <v>62.562857638286808</v>
      </c>
      <c r="P46" s="50">
        <v>120000</v>
      </c>
      <c r="Q46" s="24">
        <f t="shared" si="2"/>
        <v>8.323218311080284</v>
      </c>
      <c r="R46" s="24">
        <f t="shared" si="3"/>
        <v>1022000</v>
      </c>
      <c r="S46" s="24">
        <f t="shared" si="4"/>
        <v>70.886075949367083</v>
      </c>
      <c r="T46" s="11">
        <f>(1320+400+448+480+480+480+480)/5757*100</f>
        <v>71.009206183776271</v>
      </c>
      <c r="U46" s="57"/>
      <c r="V46" s="57"/>
    </row>
    <row r="47" spans="1:22" x14ac:dyDescent="0.25">
      <c r="A47" s="42"/>
      <c r="B47" s="43"/>
      <c r="C47" s="43"/>
      <c r="D47" s="44"/>
      <c r="E47" s="44"/>
      <c r="F47" s="44"/>
      <c r="G47" s="44"/>
      <c r="H47" s="44"/>
      <c r="I47" s="43"/>
      <c r="J47" s="39"/>
      <c r="K47" s="45"/>
      <c r="L47" s="81"/>
      <c r="M47" s="78"/>
      <c r="N47" s="24"/>
      <c r="O47" s="24"/>
      <c r="P47" s="50"/>
      <c r="Q47" s="24"/>
      <c r="R47" s="24"/>
      <c r="S47" s="24"/>
      <c r="T47" s="57"/>
      <c r="U47" s="57"/>
      <c r="V47" s="57"/>
    </row>
    <row r="48" spans="1:22" x14ac:dyDescent="0.25">
      <c r="A48" s="12">
        <v>1</v>
      </c>
      <c r="B48" s="13" t="s">
        <v>16</v>
      </c>
      <c r="C48" s="13" t="s">
        <v>17</v>
      </c>
      <c r="D48" s="20">
        <v>38</v>
      </c>
      <c r="E48" s="15" t="s">
        <v>23</v>
      </c>
      <c r="F48" s="82" t="s">
        <v>27</v>
      </c>
      <c r="G48" s="82" t="s">
        <v>28</v>
      </c>
      <c r="H48" s="82" t="s">
        <v>28</v>
      </c>
      <c r="I48" s="82" t="s">
        <v>56</v>
      </c>
      <c r="J48" s="83"/>
      <c r="K48" s="84" t="s">
        <v>57</v>
      </c>
      <c r="L48" s="71"/>
      <c r="M48" s="73">
        <f>SUM(M49:M49)</f>
        <v>9075000</v>
      </c>
      <c r="N48" s="24">
        <v>5400000</v>
      </c>
      <c r="O48" s="24">
        <v>59.504132231404959</v>
      </c>
      <c r="P48" s="73">
        <f>P49</f>
        <v>750000</v>
      </c>
      <c r="Q48" s="24">
        <f t="shared" si="2"/>
        <v>8.2644628099173563</v>
      </c>
      <c r="R48" s="24">
        <f t="shared" si="3"/>
        <v>6150000</v>
      </c>
      <c r="S48" s="24">
        <f t="shared" si="4"/>
        <v>67.768595041322314</v>
      </c>
      <c r="T48" s="73"/>
      <c r="U48" s="57"/>
      <c r="V48" s="57"/>
    </row>
    <row r="49" spans="1:22" x14ac:dyDescent="0.25">
      <c r="A49" s="42">
        <v>1</v>
      </c>
      <c r="B49" s="43" t="s">
        <v>16</v>
      </c>
      <c r="C49" s="43" t="s">
        <v>17</v>
      </c>
      <c r="D49" s="20">
        <v>38</v>
      </c>
      <c r="E49" s="15" t="s">
        <v>23</v>
      </c>
      <c r="F49" s="85" t="s">
        <v>27</v>
      </c>
      <c r="G49" s="85" t="s">
        <v>28</v>
      </c>
      <c r="H49" s="85" t="s">
        <v>28</v>
      </c>
      <c r="I49" s="85" t="s">
        <v>56</v>
      </c>
      <c r="J49" s="86" t="s">
        <v>16</v>
      </c>
      <c r="K49" s="87" t="s">
        <v>58</v>
      </c>
      <c r="L49" s="71"/>
      <c r="M49" s="76">
        <v>9075000</v>
      </c>
      <c r="N49" s="24">
        <v>5400000</v>
      </c>
      <c r="O49" s="24">
        <v>59.504132231404959</v>
      </c>
      <c r="P49" s="50">
        <v>750000</v>
      </c>
      <c r="Q49" s="24">
        <f t="shared" si="2"/>
        <v>8.2644628099173563</v>
      </c>
      <c r="R49" s="24">
        <f t="shared" si="3"/>
        <v>6150000</v>
      </c>
      <c r="S49" s="24">
        <f t="shared" si="4"/>
        <v>67.768595041322314</v>
      </c>
      <c r="T49" s="57">
        <f>8/11*100</f>
        <v>72.727272727272734</v>
      </c>
      <c r="U49" s="57"/>
      <c r="V49" s="57"/>
    </row>
    <row r="50" spans="1:22" x14ac:dyDescent="0.25">
      <c r="A50" s="42"/>
      <c r="B50" s="43"/>
      <c r="C50" s="43"/>
      <c r="D50" s="44"/>
      <c r="E50" s="44"/>
      <c r="F50" s="44"/>
      <c r="G50" s="44"/>
      <c r="H50" s="44"/>
      <c r="I50" s="43"/>
      <c r="J50" s="39"/>
      <c r="K50" s="45"/>
      <c r="L50" s="88"/>
      <c r="M50" s="76"/>
      <c r="N50" s="24"/>
      <c r="O50" s="24"/>
      <c r="P50" s="50"/>
      <c r="Q50" s="24"/>
      <c r="R50" s="24"/>
      <c r="S50" s="24"/>
      <c r="T50" s="57"/>
      <c r="U50" s="57"/>
      <c r="V50" s="57"/>
    </row>
    <row r="51" spans="1:22" x14ac:dyDescent="0.25">
      <c r="A51" s="12">
        <v>1</v>
      </c>
      <c r="B51" s="13" t="s">
        <v>16</v>
      </c>
      <c r="C51" s="13" t="s">
        <v>17</v>
      </c>
      <c r="D51" s="20">
        <v>38</v>
      </c>
      <c r="E51" s="15" t="s">
        <v>23</v>
      </c>
      <c r="F51" s="14">
        <v>5</v>
      </c>
      <c r="G51" s="14">
        <v>2</v>
      </c>
      <c r="H51" s="14">
        <v>2</v>
      </c>
      <c r="I51" s="13">
        <v>15</v>
      </c>
      <c r="J51" s="55"/>
      <c r="K51" s="40" t="s">
        <v>59</v>
      </c>
      <c r="L51" s="91"/>
      <c r="M51" s="73">
        <f>M52</f>
        <v>8600000</v>
      </c>
      <c r="N51" s="24">
        <v>4500000</v>
      </c>
      <c r="O51" s="24"/>
      <c r="P51" s="65">
        <f>P52</f>
        <v>0</v>
      </c>
      <c r="Q51" s="24"/>
      <c r="R51" s="24">
        <f t="shared" si="3"/>
        <v>4500000</v>
      </c>
      <c r="S51" s="24"/>
      <c r="T51" s="73"/>
      <c r="U51" s="57"/>
      <c r="V51" s="57"/>
    </row>
    <row r="52" spans="1:22" x14ac:dyDescent="0.25">
      <c r="A52" s="42">
        <v>1</v>
      </c>
      <c r="B52" s="43" t="s">
        <v>16</v>
      </c>
      <c r="C52" s="43" t="s">
        <v>17</v>
      </c>
      <c r="D52" s="20">
        <v>38</v>
      </c>
      <c r="E52" s="15" t="s">
        <v>23</v>
      </c>
      <c r="F52" s="44">
        <v>5</v>
      </c>
      <c r="G52" s="44">
        <v>2</v>
      </c>
      <c r="H52" s="44">
        <v>2</v>
      </c>
      <c r="I52" s="43">
        <v>15</v>
      </c>
      <c r="J52" s="39" t="s">
        <v>16</v>
      </c>
      <c r="K52" s="45" t="s">
        <v>85</v>
      </c>
      <c r="L52" s="75"/>
      <c r="M52" s="76">
        <v>8600000</v>
      </c>
      <c r="N52" s="24">
        <v>4500000</v>
      </c>
      <c r="O52" s="24"/>
      <c r="P52" s="50"/>
      <c r="Q52" s="24"/>
      <c r="R52" s="24">
        <f t="shared" si="3"/>
        <v>4500000</v>
      </c>
      <c r="S52" s="24"/>
      <c r="T52" s="57">
        <v>100</v>
      </c>
      <c r="U52" s="57"/>
      <c r="V52" s="57"/>
    </row>
    <row r="53" spans="1:22" x14ac:dyDescent="0.25">
      <c r="A53" s="42"/>
      <c r="B53" s="43"/>
      <c r="C53" s="43"/>
      <c r="D53" s="44"/>
      <c r="E53" s="44"/>
      <c r="F53" s="44"/>
      <c r="G53" s="44"/>
      <c r="H53" s="44"/>
      <c r="I53" s="43"/>
      <c r="J53" s="39"/>
      <c r="K53" s="92"/>
      <c r="L53" s="75"/>
      <c r="M53" s="76"/>
      <c r="N53" s="24"/>
      <c r="O53" s="24"/>
      <c r="P53" s="50"/>
      <c r="Q53" s="24"/>
      <c r="R53" s="24"/>
      <c r="S53" s="24"/>
      <c r="T53" s="57"/>
      <c r="U53" s="57"/>
      <c r="V53" s="57"/>
    </row>
    <row r="54" spans="1:22" ht="30" x14ac:dyDescent="0.25">
      <c r="A54" s="12">
        <v>1</v>
      </c>
      <c r="B54" s="13" t="s">
        <v>16</v>
      </c>
      <c r="C54" s="13" t="s">
        <v>17</v>
      </c>
      <c r="D54" s="20">
        <v>38</v>
      </c>
      <c r="E54" s="15" t="s">
        <v>23</v>
      </c>
      <c r="F54" s="14">
        <v>5</v>
      </c>
      <c r="G54" s="14">
        <v>2</v>
      </c>
      <c r="H54" s="14">
        <v>2</v>
      </c>
      <c r="I54" s="93">
        <v>17</v>
      </c>
      <c r="J54" s="94"/>
      <c r="K54" s="95" t="s">
        <v>60</v>
      </c>
      <c r="L54" s="75"/>
      <c r="M54" s="73">
        <f>M55</f>
        <v>15000000</v>
      </c>
      <c r="N54" s="24">
        <v>13000000</v>
      </c>
      <c r="O54" s="24">
        <v>86.666666666666671</v>
      </c>
      <c r="P54" s="73">
        <f>P55</f>
        <v>0</v>
      </c>
      <c r="Q54" s="24">
        <f t="shared" si="2"/>
        <v>0</v>
      </c>
      <c r="R54" s="24">
        <f t="shared" si="3"/>
        <v>13000000</v>
      </c>
      <c r="S54" s="24">
        <f t="shared" si="4"/>
        <v>86.666666666666671</v>
      </c>
      <c r="T54" s="73"/>
      <c r="U54" s="57"/>
      <c r="V54" s="57"/>
    </row>
    <row r="55" spans="1:22" x14ac:dyDescent="0.25">
      <c r="A55" s="42">
        <v>1</v>
      </c>
      <c r="B55" s="43" t="s">
        <v>16</v>
      </c>
      <c r="C55" s="43" t="s">
        <v>17</v>
      </c>
      <c r="D55" s="20">
        <v>38</v>
      </c>
      <c r="E55" s="15" t="s">
        <v>23</v>
      </c>
      <c r="F55" s="44">
        <v>5</v>
      </c>
      <c r="G55" s="44">
        <v>2</v>
      </c>
      <c r="H55" s="44">
        <v>2</v>
      </c>
      <c r="I55" s="96">
        <v>17</v>
      </c>
      <c r="J55" s="94" t="s">
        <v>17</v>
      </c>
      <c r="K55" s="97" t="s">
        <v>61</v>
      </c>
      <c r="L55" s="90"/>
      <c r="M55" s="76">
        <v>15000000</v>
      </c>
      <c r="N55" s="24">
        <v>13000000</v>
      </c>
      <c r="O55" s="24">
        <v>86.666666666666671</v>
      </c>
      <c r="P55" s="50"/>
      <c r="Q55" s="24">
        <f t="shared" si="2"/>
        <v>0</v>
      </c>
      <c r="R55" s="24">
        <f t="shared" si="3"/>
        <v>13000000</v>
      </c>
      <c r="S55" s="24">
        <f t="shared" si="4"/>
        <v>86.666666666666671</v>
      </c>
      <c r="T55" s="57">
        <v>100</v>
      </c>
      <c r="U55" s="57"/>
      <c r="V55" s="57"/>
    </row>
    <row r="56" spans="1:22" x14ac:dyDescent="0.25">
      <c r="A56" s="42"/>
      <c r="B56" s="43"/>
      <c r="C56" s="43"/>
      <c r="D56" s="44"/>
      <c r="E56" s="44"/>
      <c r="F56" s="44"/>
      <c r="G56" s="44"/>
      <c r="H56" s="44"/>
      <c r="I56" s="43"/>
      <c r="J56" s="39"/>
      <c r="K56" s="92"/>
      <c r="L56" s="81"/>
      <c r="M56" s="73"/>
      <c r="N56" s="24"/>
      <c r="O56" s="24"/>
      <c r="P56" s="65"/>
      <c r="Q56" s="24"/>
      <c r="R56" s="24"/>
      <c r="S56" s="24"/>
      <c r="T56" s="89"/>
      <c r="U56" s="57"/>
      <c r="V56" s="57"/>
    </row>
    <row r="57" spans="1:22" x14ac:dyDescent="0.25">
      <c r="A57" s="12">
        <v>1</v>
      </c>
      <c r="B57" s="13" t="s">
        <v>16</v>
      </c>
      <c r="C57" s="13" t="s">
        <v>17</v>
      </c>
      <c r="D57" s="20">
        <v>38</v>
      </c>
      <c r="E57" s="15" t="s">
        <v>23</v>
      </c>
      <c r="F57" s="14">
        <v>5</v>
      </c>
      <c r="G57" s="14">
        <v>2</v>
      </c>
      <c r="H57" s="14">
        <v>2</v>
      </c>
      <c r="I57" s="93">
        <v>20</v>
      </c>
      <c r="J57" s="94"/>
      <c r="K57" s="95" t="s">
        <v>62</v>
      </c>
      <c r="L57" s="98"/>
      <c r="M57" s="73">
        <f>SUM(M58:M60)</f>
        <v>23400000</v>
      </c>
      <c r="N57" s="24">
        <v>13255000</v>
      </c>
      <c r="O57" s="24">
        <v>56.645299145299141</v>
      </c>
      <c r="P57" s="73">
        <f>SUM(P58:P60)</f>
        <v>0</v>
      </c>
      <c r="Q57" s="24">
        <f t="shared" si="2"/>
        <v>0</v>
      </c>
      <c r="R57" s="24">
        <f t="shared" si="3"/>
        <v>13255000</v>
      </c>
      <c r="S57" s="24">
        <f t="shared" si="4"/>
        <v>56.645299145299141</v>
      </c>
      <c r="T57" s="73"/>
      <c r="U57" s="99"/>
      <c r="V57" s="100"/>
    </row>
    <row r="58" spans="1:22" x14ac:dyDescent="0.25">
      <c r="A58" s="42">
        <v>1</v>
      </c>
      <c r="B58" s="43" t="s">
        <v>16</v>
      </c>
      <c r="C58" s="43" t="s">
        <v>17</v>
      </c>
      <c r="D58" s="20">
        <v>38</v>
      </c>
      <c r="E58" s="15" t="s">
        <v>23</v>
      </c>
      <c r="F58" s="44">
        <v>5</v>
      </c>
      <c r="G58" s="44">
        <v>2</v>
      </c>
      <c r="H58" s="44">
        <v>2</v>
      </c>
      <c r="I58" s="96">
        <v>20</v>
      </c>
      <c r="J58" s="94" t="s">
        <v>23</v>
      </c>
      <c r="K58" s="97" t="s">
        <v>63</v>
      </c>
      <c r="L58" s="81"/>
      <c r="M58" s="76">
        <v>3000000</v>
      </c>
      <c r="N58" s="33">
        <v>0</v>
      </c>
      <c r="O58" s="33">
        <v>0</v>
      </c>
      <c r="P58" s="50"/>
      <c r="Q58" s="33">
        <f t="shared" si="2"/>
        <v>0</v>
      </c>
      <c r="R58" s="33">
        <f t="shared" si="3"/>
        <v>0</v>
      </c>
      <c r="S58" s="33">
        <f t="shared" si="4"/>
        <v>0</v>
      </c>
      <c r="T58" s="57"/>
      <c r="U58" s="57"/>
      <c r="V58" s="57"/>
    </row>
    <row r="59" spans="1:22" x14ac:dyDescent="0.25">
      <c r="A59" s="42">
        <v>1</v>
      </c>
      <c r="B59" s="43" t="s">
        <v>16</v>
      </c>
      <c r="C59" s="43" t="s">
        <v>17</v>
      </c>
      <c r="D59" s="20">
        <v>38</v>
      </c>
      <c r="E59" s="15" t="s">
        <v>23</v>
      </c>
      <c r="F59" s="44">
        <v>5</v>
      </c>
      <c r="G59" s="44">
        <v>2</v>
      </c>
      <c r="H59" s="44">
        <v>2</v>
      </c>
      <c r="I59" s="96">
        <v>20</v>
      </c>
      <c r="J59" s="94" t="s">
        <v>38</v>
      </c>
      <c r="K59" s="97" t="s">
        <v>64</v>
      </c>
      <c r="L59" s="101"/>
      <c r="M59" s="76">
        <v>15400000</v>
      </c>
      <c r="N59" s="33">
        <v>13255000</v>
      </c>
      <c r="O59" s="33">
        <v>86.071428571428584</v>
      </c>
      <c r="P59" s="50"/>
      <c r="Q59" s="33">
        <f t="shared" si="2"/>
        <v>0</v>
      </c>
      <c r="R59" s="33">
        <f t="shared" si="3"/>
        <v>13255000</v>
      </c>
      <c r="S59" s="33">
        <f t="shared" si="4"/>
        <v>86.071428571428584</v>
      </c>
      <c r="T59" s="57">
        <v>100</v>
      </c>
      <c r="U59" s="57"/>
      <c r="V59" s="57"/>
    </row>
    <row r="60" spans="1:22" x14ac:dyDescent="0.25">
      <c r="A60" s="42">
        <v>1</v>
      </c>
      <c r="B60" s="43" t="s">
        <v>16</v>
      </c>
      <c r="C60" s="43" t="s">
        <v>17</v>
      </c>
      <c r="D60" s="20">
        <v>38</v>
      </c>
      <c r="E60" s="15" t="s">
        <v>23</v>
      </c>
      <c r="F60" s="44">
        <v>5</v>
      </c>
      <c r="G60" s="44">
        <v>2</v>
      </c>
      <c r="H60" s="44">
        <v>2</v>
      </c>
      <c r="I60" s="96">
        <v>20</v>
      </c>
      <c r="J60" s="94" t="s">
        <v>65</v>
      </c>
      <c r="K60" s="97" t="s">
        <v>66</v>
      </c>
      <c r="L60" s="101"/>
      <c r="M60" s="76">
        <v>5000000</v>
      </c>
      <c r="N60" s="33">
        <v>0</v>
      </c>
      <c r="O60" s="33">
        <v>0</v>
      </c>
      <c r="P60" s="50"/>
      <c r="Q60" s="33">
        <f t="shared" si="2"/>
        <v>0</v>
      </c>
      <c r="R60" s="33">
        <f t="shared" si="3"/>
        <v>0</v>
      </c>
      <c r="S60" s="33">
        <f t="shared" si="4"/>
        <v>0</v>
      </c>
      <c r="T60" s="89"/>
      <c r="U60" s="100"/>
      <c r="V60" s="100"/>
    </row>
    <row r="61" spans="1:22" x14ac:dyDescent="0.25">
      <c r="A61" s="42"/>
      <c r="B61" s="43"/>
      <c r="C61" s="43"/>
      <c r="D61" s="44"/>
      <c r="E61" s="44"/>
      <c r="F61" s="44"/>
      <c r="G61" s="44"/>
      <c r="H61" s="44"/>
      <c r="I61" s="96"/>
      <c r="J61" s="94"/>
      <c r="K61" s="102"/>
      <c r="L61" s="101"/>
      <c r="M61" s="76"/>
      <c r="N61" s="33"/>
      <c r="O61" s="33"/>
      <c r="P61" s="50"/>
      <c r="Q61" s="33"/>
      <c r="R61" s="33"/>
      <c r="S61" s="33"/>
      <c r="T61" s="57"/>
      <c r="U61" s="57"/>
      <c r="V61" s="57"/>
    </row>
    <row r="62" spans="1:22" ht="30" x14ac:dyDescent="0.25">
      <c r="A62" s="12">
        <v>1</v>
      </c>
      <c r="B62" s="13" t="s">
        <v>16</v>
      </c>
      <c r="C62" s="13" t="s">
        <v>17</v>
      </c>
      <c r="D62" s="20">
        <v>38</v>
      </c>
      <c r="E62" s="15" t="s">
        <v>23</v>
      </c>
      <c r="F62" s="82" t="s">
        <v>27</v>
      </c>
      <c r="G62" s="82" t="s">
        <v>28</v>
      </c>
      <c r="H62" s="82" t="s">
        <v>28</v>
      </c>
      <c r="I62" s="82" t="s">
        <v>67</v>
      </c>
      <c r="J62" s="94"/>
      <c r="K62" s="103" t="s">
        <v>68</v>
      </c>
      <c r="L62" s="81"/>
      <c r="M62" s="73">
        <f>SUM(M63:M64)</f>
        <v>13000000</v>
      </c>
      <c r="N62" s="24">
        <v>5500000</v>
      </c>
      <c r="O62" s="24">
        <v>42.307692307692307</v>
      </c>
      <c r="P62" s="73">
        <f>SUM(P63:P64)</f>
        <v>0</v>
      </c>
      <c r="Q62" s="24">
        <f t="shared" si="2"/>
        <v>0</v>
      </c>
      <c r="R62" s="24">
        <f t="shared" si="3"/>
        <v>5500000</v>
      </c>
      <c r="S62" s="24">
        <f t="shared" si="4"/>
        <v>42.307692307692307</v>
      </c>
      <c r="T62" s="73"/>
      <c r="U62" s="57"/>
      <c r="V62" s="57"/>
    </row>
    <row r="63" spans="1:22" x14ac:dyDescent="0.25">
      <c r="A63" s="42">
        <v>1</v>
      </c>
      <c r="B63" s="43" t="s">
        <v>16</v>
      </c>
      <c r="C63" s="43" t="s">
        <v>17</v>
      </c>
      <c r="D63" s="20">
        <v>38</v>
      </c>
      <c r="E63" s="15" t="s">
        <v>23</v>
      </c>
      <c r="F63" s="85" t="s">
        <v>27</v>
      </c>
      <c r="G63" s="85" t="s">
        <v>28</v>
      </c>
      <c r="H63" s="85" t="s">
        <v>28</v>
      </c>
      <c r="I63" s="85" t="s">
        <v>67</v>
      </c>
      <c r="J63" s="94" t="s">
        <v>16</v>
      </c>
      <c r="K63" s="104" t="s">
        <v>69</v>
      </c>
      <c r="L63" s="81"/>
      <c r="M63" s="76">
        <v>3000000</v>
      </c>
      <c r="N63" s="33">
        <v>500000</v>
      </c>
      <c r="O63" s="33">
        <v>16.666666666666664</v>
      </c>
      <c r="P63" s="50"/>
      <c r="Q63" s="33">
        <f t="shared" si="2"/>
        <v>0</v>
      </c>
      <c r="R63" s="33">
        <f t="shared" si="3"/>
        <v>500000</v>
      </c>
      <c r="S63" s="33">
        <f t="shared" si="4"/>
        <v>16.666666666666664</v>
      </c>
      <c r="T63" s="57">
        <f>2/12*100</f>
        <v>16.666666666666664</v>
      </c>
      <c r="U63" s="57"/>
      <c r="V63" s="57"/>
    </row>
    <row r="64" spans="1:22" x14ac:dyDescent="0.25">
      <c r="A64" s="42">
        <v>1</v>
      </c>
      <c r="B64" s="43" t="s">
        <v>16</v>
      </c>
      <c r="C64" s="43" t="s">
        <v>17</v>
      </c>
      <c r="D64" s="20">
        <v>38</v>
      </c>
      <c r="E64" s="15" t="s">
        <v>23</v>
      </c>
      <c r="F64" s="85" t="s">
        <v>27</v>
      </c>
      <c r="G64" s="85" t="s">
        <v>28</v>
      </c>
      <c r="H64" s="85" t="s">
        <v>28</v>
      </c>
      <c r="I64" s="85" t="s">
        <v>67</v>
      </c>
      <c r="J64" s="94" t="s">
        <v>23</v>
      </c>
      <c r="K64" s="104" t="s">
        <v>70</v>
      </c>
      <c r="L64" s="81"/>
      <c r="M64" s="76">
        <v>10000000</v>
      </c>
      <c r="N64" s="33">
        <v>5000000</v>
      </c>
      <c r="O64" s="33">
        <v>50</v>
      </c>
      <c r="P64" s="50"/>
      <c r="Q64" s="33">
        <f t="shared" si="2"/>
        <v>0</v>
      </c>
      <c r="R64" s="33">
        <f t="shared" si="3"/>
        <v>5000000</v>
      </c>
      <c r="S64" s="33">
        <f t="shared" si="4"/>
        <v>50</v>
      </c>
      <c r="T64" s="57">
        <f>1/2*100</f>
        <v>50</v>
      </c>
      <c r="U64" s="57"/>
      <c r="V64" s="57"/>
    </row>
    <row r="65" spans="1:22" x14ac:dyDescent="0.25">
      <c r="A65" s="42"/>
      <c r="B65" s="43"/>
      <c r="C65" s="43"/>
      <c r="D65" s="44"/>
      <c r="E65" s="44"/>
      <c r="F65" s="44"/>
      <c r="G65" s="44"/>
      <c r="H65" s="44"/>
      <c r="I65" s="96"/>
      <c r="J65" s="94"/>
      <c r="K65" s="102"/>
      <c r="L65" s="81"/>
      <c r="M65" s="76"/>
      <c r="N65" s="24"/>
      <c r="O65" s="24"/>
      <c r="P65" s="50"/>
      <c r="Q65" s="24"/>
      <c r="R65" s="24"/>
      <c r="S65" s="24"/>
      <c r="T65" s="66"/>
      <c r="U65" s="57"/>
      <c r="V65" s="57"/>
    </row>
    <row r="66" spans="1:22" ht="30" x14ac:dyDescent="0.25">
      <c r="A66" s="12">
        <v>1</v>
      </c>
      <c r="B66" s="13" t="s">
        <v>16</v>
      </c>
      <c r="C66" s="13" t="s">
        <v>17</v>
      </c>
      <c r="D66" s="20">
        <v>38</v>
      </c>
      <c r="E66" s="15" t="s">
        <v>23</v>
      </c>
      <c r="F66" s="82" t="s">
        <v>27</v>
      </c>
      <c r="G66" s="82" t="s">
        <v>28</v>
      </c>
      <c r="H66" s="82" t="s">
        <v>28</v>
      </c>
      <c r="I66" s="82" t="s">
        <v>86</v>
      </c>
      <c r="J66" s="94"/>
      <c r="K66" s="103" t="s">
        <v>87</v>
      </c>
      <c r="L66" s="105"/>
      <c r="M66" s="106">
        <f>M67</f>
        <v>570100</v>
      </c>
      <c r="N66" s="24">
        <v>570000</v>
      </c>
      <c r="O66" s="24">
        <v>99.982459217681111</v>
      </c>
      <c r="P66" s="106">
        <f>P67</f>
        <v>0</v>
      </c>
      <c r="Q66" s="24">
        <f t="shared" si="2"/>
        <v>0</v>
      </c>
      <c r="R66" s="24">
        <f t="shared" si="3"/>
        <v>570000</v>
      </c>
      <c r="S66" s="24">
        <f t="shared" si="4"/>
        <v>99.982459217681111</v>
      </c>
      <c r="T66" s="106"/>
      <c r="U66" s="107"/>
      <c r="V66" s="107"/>
    </row>
    <row r="67" spans="1:22" x14ac:dyDescent="0.25">
      <c r="A67" s="42">
        <v>1</v>
      </c>
      <c r="B67" s="43" t="s">
        <v>16</v>
      </c>
      <c r="C67" s="43" t="s">
        <v>17</v>
      </c>
      <c r="D67" s="20">
        <v>38</v>
      </c>
      <c r="E67" s="15" t="s">
        <v>23</v>
      </c>
      <c r="F67" s="85" t="s">
        <v>27</v>
      </c>
      <c r="G67" s="85" t="s">
        <v>28</v>
      </c>
      <c r="H67" s="85" t="s">
        <v>28</v>
      </c>
      <c r="I67" s="85" t="s">
        <v>86</v>
      </c>
      <c r="J67" s="94" t="s">
        <v>17</v>
      </c>
      <c r="K67" s="104" t="s">
        <v>88</v>
      </c>
      <c r="L67" s="108"/>
      <c r="M67" s="66">
        <v>570100</v>
      </c>
      <c r="N67" s="33">
        <v>570000</v>
      </c>
      <c r="O67" s="33">
        <v>99.982459217681111</v>
      </c>
      <c r="P67" s="109"/>
      <c r="Q67" s="33">
        <f t="shared" si="2"/>
        <v>0</v>
      </c>
      <c r="R67" s="33">
        <f t="shared" si="3"/>
        <v>570000</v>
      </c>
      <c r="S67" s="33">
        <f t="shared" si="4"/>
        <v>99.982459217681111</v>
      </c>
      <c r="T67" s="8">
        <v>100</v>
      </c>
      <c r="U67" s="8"/>
      <c r="V67" s="8"/>
    </row>
    <row r="68" spans="1:22" x14ac:dyDescent="0.25">
      <c r="A68" s="42"/>
      <c r="B68" s="43"/>
      <c r="C68" s="43"/>
      <c r="D68" s="44"/>
      <c r="E68" s="44"/>
      <c r="F68" s="44"/>
      <c r="G68" s="44"/>
      <c r="H68" s="44"/>
      <c r="I68" s="96"/>
      <c r="J68" s="94"/>
      <c r="K68" s="102"/>
      <c r="L68" s="57"/>
      <c r="M68" s="57"/>
      <c r="N68" s="24"/>
      <c r="O68" s="24"/>
      <c r="P68" s="57"/>
      <c r="Q68" s="24"/>
      <c r="R68" s="24"/>
      <c r="S68" s="24"/>
      <c r="T68" s="57"/>
      <c r="U68" s="57"/>
      <c r="V68" s="57"/>
    </row>
    <row r="69" spans="1:22" x14ac:dyDescent="0.25">
      <c r="A69" s="12">
        <v>1</v>
      </c>
      <c r="B69" s="13" t="s">
        <v>16</v>
      </c>
      <c r="C69" s="13" t="s">
        <v>17</v>
      </c>
      <c r="D69" s="20">
        <v>38</v>
      </c>
      <c r="E69" s="15" t="s">
        <v>23</v>
      </c>
      <c r="F69" s="14">
        <v>5</v>
      </c>
      <c r="G69" s="14">
        <v>2</v>
      </c>
      <c r="H69" s="14">
        <v>3</v>
      </c>
      <c r="I69" s="13"/>
      <c r="J69" s="55"/>
      <c r="K69" s="110" t="s">
        <v>71</v>
      </c>
      <c r="L69" s="111"/>
      <c r="M69" s="112">
        <f>M70+M73</f>
        <v>14000000</v>
      </c>
      <c r="N69" s="38">
        <v>4600000</v>
      </c>
      <c r="O69" s="38">
        <v>32.857142857142854</v>
      </c>
      <c r="P69" s="134">
        <f>P70+P73</f>
        <v>0</v>
      </c>
      <c r="Q69" s="38">
        <f t="shared" si="2"/>
        <v>0</v>
      </c>
      <c r="R69" s="38">
        <f t="shared" si="3"/>
        <v>4600000</v>
      </c>
      <c r="S69" s="38">
        <f t="shared" si="4"/>
        <v>32.857142857142854</v>
      </c>
      <c r="T69" s="112"/>
      <c r="U69" s="89"/>
      <c r="V69" s="89"/>
    </row>
    <row r="70" spans="1:22" x14ac:dyDescent="0.25">
      <c r="A70" s="12">
        <v>1</v>
      </c>
      <c r="B70" s="13" t="s">
        <v>16</v>
      </c>
      <c r="C70" s="13" t="s">
        <v>17</v>
      </c>
      <c r="D70" s="20">
        <v>38</v>
      </c>
      <c r="E70" s="15" t="s">
        <v>23</v>
      </c>
      <c r="F70" s="14">
        <v>5</v>
      </c>
      <c r="G70" s="14">
        <v>2</v>
      </c>
      <c r="H70" s="14">
        <v>3</v>
      </c>
      <c r="I70" s="13">
        <v>16</v>
      </c>
      <c r="J70" s="55"/>
      <c r="K70" s="40" t="s">
        <v>89</v>
      </c>
      <c r="L70" s="57"/>
      <c r="M70" s="89">
        <f>SUM(M71:M71)</f>
        <v>4600000</v>
      </c>
      <c r="N70" s="24">
        <v>4600000</v>
      </c>
      <c r="O70" s="24">
        <v>100</v>
      </c>
      <c r="P70" s="89">
        <f>P71</f>
        <v>0</v>
      </c>
      <c r="Q70" s="24">
        <f t="shared" si="2"/>
        <v>0</v>
      </c>
      <c r="R70" s="24">
        <f t="shared" si="3"/>
        <v>4600000</v>
      </c>
      <c r="S70" s="24">
        <f t="shared" si="4"/>
        <v>100</v>
      </c>
      <c r="T70" s="89"/>
      <c r="U70" s="89"/>
      <c r="V70" s="89"/>
    </row>
    <row r="71" spans="1:22" x14ac:dyDescent="0.25">
      <c r="A71" s="42">
        <v>1</v>
      </c>
      <c r="B71" s="43" t="s">
        <v>16</v>
      </c>
      <c r="C71" s="43" t="s">
        <v>17</v>
      </c>
      <c r="D71" s="20">
        <v>38</v>
      </c>
      <c r="E71" s="15" t="s">
        <v>23</v>
      </c>
      <c r="F71" s="44">
        <v>5</v>
      </c>
      <c r="G71" s="44">
        <v>2</v>
      </c>
      <c r="H71" s="44">
        <v>3</v>
      </c>
      <c r="I71" s="43">
        <v>16</v>
      </c>
      <c r="J71" s="39" t="s">
        <v>40</v>
      </c>
      <c r="K71" s="45" t="s">
        <v>90</v>
      </c>
      <c r="L71" s="57"/>
      <c r="M71" s="57">
        <v>4600000</v>
      </c>
      <c r="N71" s="33">
        <v>4600000</v>
      </c>
      <c r="O71" s="33">
        <v>100</v>
      </c>
      <c r="P71" s="57"/>
      <c r="Q71" s="33">
        <f t="shared" si="2"/>
        <v>0</v>
      </c>
      <c r="R71" s="33">
        <f t="shared" si="3"/>
        <v>4600000</v>
      </c>
      <c r="S71" s="33">
        <f t="shared" si="4"/>
        <v>100</v>
      </c>
      <c r="T71" s="113">
        <v>100</v>
      </c>
      <c r="U71" s="113"/>
      <c r="V71" s="57"/>
    </row>
    <row r="72" spans="1:22" x14ac:dyDescent="0.25">
      <c r="A72" s="12"/>
      <c r="B72" s="13"/>
      <c r="C72" s="13"/>
      <c r="D72" s="20"/>
      <c r="E72" s="15"/>
      <c r="F72" s="14"/>
      <c r="G72" s="14"/>
      <c r="H72" s="14"/>
      <c r="I72" s="13"/>
      <c r="J72" s="55"/>
      <c r="K72" s="116"/>
      <c r="L72" s="57"/>
      <c r="M72" s="57"/>
      <c r="N72" s="33"/>
      <c r="O72" s="33"/>
      <c r="P72" s="57"/>
      <c r="Q72" s="33"/>
      <c r="R72" s="33"/>
      <c r="S72" s="33"/>
      <c r="T72" s="115"/>
      <c r="U72" s="115"/>
      <c r="V72" s="57"/>
    </row>
    <row r="73" spans="1:22" ht="17.25" customHeight="1" x14ac:dyDescent="0.25">
      <c r="A73" s="12">
        <v>1</v>
      </c>
      <c r="B73" s="13" t="s">
        <v>16</v>
      </c>
      <c r="C73" s="13" t="s">
        <v>17</v>
      </c>
      <c r="D73" s="20">
        <v>38</v>
      </c>
      <c r="E73" s="15" t="s">
        <v>23</v>
      </c>
      <c r="F73" s="14">
        <v>5</v>
      </c>
      <c r="G73" s="14">
        <v>2</v>
      </c>
      <c r="H73" s="14">
        <v>3</v>
      </c>
      <c r="I73" s="13">
        <v>23</v>
      </c>
      <c r="J73" s="55"/>
      <c r="K73" s="117" t="s">
        <v>72</v>
      </c>
      <c r="L73" s="57"/>
      <c r="M73" s="89">
        <f>M74</f>
        <v>9400000</v>
      </c>
      <c r="N73" s="24">
        <v>0</v>
      </c>
      <c r="O73" s="24">
        <v>0</v>
      </c>
      <c r="P73" s="89">
        <f>P74</f>
        <v>0</v>
      </c>
      <c r="Q73" s="24">
        <f t="shared" si="2"/>
        <v>0</v>
      </c>
      <c r="R73" s="24">
        <f t="shared" si="3"/>
        <v>0</v>
      </c>
      <c r="S73" s="24">
        <f t="shared" si="4"/>
        <v>0</v>
      </c>
      <c r="T73" s="89"/>
      <c r="U73" s="89"/>
      <c r="V73" s="89"/>
    </row>
    <row r="74" spans="1:22" ht="15.75" thickBot="1" x14ac:dyDescent="0.3">
      <c r="A74" s="42">
        <v>1</v>
      </c>
      <c r="B74" s="43" t="s">
        <v>16</v>
      </c>
      <c r="C74" s="43" t="s">
        <v>17</v>
      </c>
      <c r="D74" s="20">
        <v>38</v>
      </c>
      <c r="E74" s="15" t="s">
        <v>23</v>
      </c>
      <c r="F74" s="44">
        <v>5</v>
      </c>
      <c r="G74" s="44">
        <v>2</v>
      </c>
      <c r="H74" s="44">
        <v>3</v>
      </c>
      <c r="I74" s="43">
        <v>23</v>
      </c>
      <c r="J74" s="39" t="s">
        <v>17</v>
      </c>
      <c r="K74" s="114" t="s">
        <v>91</v>
      </c>
      <c r="L74" s="57"/>
      <c r="M74" s="57">
        <v>9400000</v>
      </c>
      <c r="N74" s="24">
        <v>0</v>
      </c>
      <c r="O74" s="24">
        <v>0</v>
      </c>
      <c r="P74" s="57"/>
      <c r="Q74" s="24">
        <f t="shared" si="2"/>
        <v>0</v>
      </c>
      <c r="R74" s="24">
        <f t="shared" si="3"/>
        <v>0</v>
      </c>
      <c r="S74" s="24">
        <f t="shared" si="4"/>
        <v>0</v>
      </c>
      <c r="T74" s="118"/>
      <c r="U74" s="119"/>
      <c r="V74" s="57"/>
    </row>
    <row r="75" spans="1:22" ht="15.75" thickBot="1" x14ac:dyDescent="0.3">
      <c r="A75" s="186" t="s">
        <v>73</v>
      </c>
      <c r="B75" s="187"/>
      <c r="C75" s="187"/>
      <c r="D75" s="187"/>
      <c r="E75" s="187"/>
      <c r="F75" s="187"/>
      <c r="G75" s="187"/>
      <c r="H75" s="187"/>
      <c r="I75" s="187"/>
      <c r="J75" s="187"/>
      <c r="K75" s="188"/>
      <c r="L75" s="146"/>
      <c r="M75" s="121">
        <f>M12</f>
        <v>641304000</v>
      </c>
      <c r="N75" s="122">
        <f t="shared" ref="N75:V75" si="7">N12</f>
        <v>344398700</v>
      </c>
      <c r="O75" s="135">
        <f t="shared" ref="O75" si="8">N75/M75*100</f>
        <v>53.702877262577495</v>
      </c>
      <c r="P75" s="122">
        <f t="shared" si="7"/>
        <v>30255820</v>
      </c>
      <c r="Q75" s="123">
        <f t="shared" si="2"/>
        <v>4.7178592368050092</v>
      </c>
      <c r="R75" s="124">
        <f t="shared" si="3"/>
        <v>374654520</v>
      </c>
      <c r="S75" s="135">
        <f t="shared" si="4"/>
        <v>58.420736499382507</v>
      </c>
      <c r="T75" s="122"/>
      <c r="U75" s="125">
        <f t="shared" si="7"/>
        <v>0</v>
      </c>
      <c r="V75" s="151">
        <f t="shared" si="7"/>
        <v>0</v>
      </c>
    </row>
    <row r="78" spans="1:22" x14ac:dyDescent="0.25">
      <c r="R78" s="189" t="s">
        <v>106</v>
      </c>
      <c r="S78" s="189"/>
      <c r="T78" s="189"/>
      <c r="U78" s="189"/>
    </row>
    <row r="79" spans="1:22" x14ac:dyDescent="0.25">
      <c r="R79" s="189" t="s">
        <v>74</v>
      </c>
      <c r="S79" s="189"/>
      <c r="T79" s="189"/>
      <c r="U79" s="189"/>
    </row>
    <row r="80" spans="1:22" x14ac:dyDescent="0.25">
      <c r="R80" s="147"/>
      <c r="S80" s="147"/>
      <c r="T80" s="147"/>
      <c r="U80" s="147"/>
    </row>
    <row r="81" spans="18:21" x14ac:dyDescent="0.25">
      <c r="R81" s="147"/>
      <c r="S81" s="147"/>
      <c r="T81" s="147"/>
      <c r="U81" s="147"/>
    </row>
    <row r="82" spans="18:21" x14ac:dyDescent="0.25">
      <c r="R82" s="127"/>
      <c r="S82" s="127"/>
      <c r="T82" s="127"/>
      <c r="U82" s="127"/>
    </row>
    <row r="83" spans="18:21" x14ac:dyDescent="0.25">
      <c r="R83" s="190" t="s">
        <v>75</v>
      </c>
      <c r="S83" s="190"/>
      <c r="T83" s="190"/>
      <c r="U83" s="190"/>
    </row>
    <row r="84" spans="18:21" x14ac:dyDescent="0.25">
      <c r="R84" s="183" t="s">
        <v>76</v>
      </c>
      <c r="S84" s="183"/>
      <c r="T84" s="183"/>
      <c r="U84" s="183"/>
    </row>
  </sheetData>
  <mergeCells count="22">
    <mergeCell ref="A1:V1"/>
    <mergeCell ref="A2:V2"/>
    <mergeCell ref="A3:V3"/>
    <mergeCell ref="A4:V4"/>
    <mergeCell ref="A6:J8"/>
    <mergeCell ref="K6:K8"/>
    <mergeCell ref="L6:L8"/>
    <mergeCell ref="M6:M8"/>
    <mergeCell ref="N6:T6"/>
    <mergeCell ref="U6:U8"/>
    <mergeCell ref="V6:V8"/>
    <mergeCell ref="N7:O7"/>
    <mergeCell ref="P7:Q7"/>
    <mergeCell ref="R7:T7"/>
    <mergeCell ref="N8:O8"/>
    <mergeCell ref="P8:Q8"/>
    <mergeCell ref="R84:U84"/>
    <mergeCell ref="R8:S8"/>
    <mergeCell ref="A75:K75"/>
    <mergeCell ref="R78:U78"/>
    <mergeCell ref="R79:U79"/>
    <mergeCell ref="R83:U83"/>
  </mergeCells>
  <pageMargins left="0.51181102362204722" right="0.31496062992125984" top="0.74803149606299213" bottom="0.74803149606299213" header="0.31496062992125984" footer="0.31496062992125984"/>
  <pageSetup paperSize="5" scale="6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juni</vt:lpstr>
      <vt:lpstr>juli</vt:lpstr>
      <vt:lpstr>agt</vt:lpstr>
      <vt:lpstr>sept</vt:lpstr>
      <vt:lpstr>okt</vt:lpstr>
      <vt:lpstr>nov</vt:lpstr>
      <vt:lpstr>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 PKM PASKAL</dc:creator>
  <cp:lastModifiedBy>Windows User</cp:lastModifiedBy>
  <cp:lastPrinted>2021-01-03T13:41:33Z</cp:lastPrinted>
  <dcterms:created xsi:type="dcterms:W3CDTF">2020-02-03T02:37:10Z</dcterms:created>
  <dcterms:modified xsi:type="dcterms:W3CDTF">2021-01-04T01:40:50Z</dcterms:modified>
</cp:coreProperties>
</file>